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3\Desktop\"/>
    </mc:Choice>
  </mc:AlternateContent>
  <bookViews>
    <workbookView xWindow="0" yWindow="0" windowWidth="28800" windowHeight="12330" tabRatio="858" firstSheet="6" activeTab="6"/>
  </bookViews>
  <sheets>
    <sheet name="Проект ТС-6 усл.свод" sheetId="33" state="hidden" r:id="rId1"/>
    <sheet name="Проект ТС-2усл.КРЕМ 05.07.17г." sheetId="35" state="hidden" r:id="rId2"/>
    <sheet name="Проект ТС-2усл.СЕМ-ДКРЕМ" sheetId="39" state="hidden" r:id="rId3"/>
    <sheet name="Проект ТС-4 усл." sheetId="36" state="hidden" r:id="rId4"/>
    <sheet name="Проект ТС-4 усл. (2)" sheetId="41" state="hidden" r:id="rId5"/>
    <sheet name="ТС-4 усл.ДКРЕМ" sheetId="49" state="hidden" r:id="rId6"/>
    <sheet name="1 усл." sheetId="44" r:id="rId7"/>
    <sheet name="2 усл." sheetId="45" r:id="rId8"/>
    <sheet name="3 усл." sheetId="46" state="hidden" r:id="rId9"/>
    <sheet name="4 усл." sheetId="47" state="hidden" r:id="rId10"/>
    <sheet name="Пояснительная" sheetId="43" state="hidden" r:id="rId11"/>
    <sheet name="ТС" sheetId="40" state="hidden" r:id="rId12"/>
    <sheet name="Для работы" sheetId="50" state="hidden" r:id="rId13"/>
    <sheet name="Проект ТС-4 усл.+КРЕМ (2)" sheetId="42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>#REF!</definedName>
    <definedName name="\m" localSheetId="6">#REF!</definedName>
    <definedName name="\m" localSheetId="7">#REF!</definedName>
    <definedName name="\m" localSheetId="8">#REF!</definedName>
    <definedName name="\m" localSheetId="9">#REF!</definedName>
    <definedName name="\m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>#REF!</definedName>
    <definedName name="\o" localSheetId="6">#REF!</definedName>
    <definedName name="\o" localSheetId="7">#REF!</definedName>
    <definedName name="\o" localSheetId="8">#REF!</definedName>
    <definedName name="\o" localSheetId="9">#REF!</definedName>
    <definedName name="\o">#REF!</definedName>
    <definedName name="_________SP1" localSheetId="6">[1]FES!#REF!</definedName>
    <definedName name="_________SP1" localSheetId="7">[1]FES!#REF!</definedName>
    <definedName name="_________SP1" localSheetId="8">[1]FES!#REF!</definedName>
    <definedName name="_________SP1" localSheetId="9">[1]FES!#REF!</definedName>
    <definedName name="_________SP1">[1]FES!#REF!</definedName>
    <definedName name="_________SP10" localSheetId="6">[1]FES!#REF!</definedName>
    <definedName name="_________SP10" localSheetId="7">[1]FES!#REF!</definedName>
    <definedName name="_________SP10" localSheetId="8">[1]FES!#REF!</definedName>
    <definedName name="_________SP10" localSheetId="9">[1]FES!#REF!</definedName>
    <definedName name="_________SP10">[1]FES!#REF!</definedName>
    <definedName name="_________SP11" localSheetId="6">[1]FES!#REF!</definedName>
    <definedName name="_________SP11" localSheetId="7">[1]FES!#REF!</definedName>
    <definedName name="_________SP11" localSheetId="8">[1]FES!#REF!</definedName>
    <definedName name="_________SP11" localSheetId="9">[1]FES!#REF!</definedName>
    <definedName name="_________SP11">[1]FES!#REF!</definedName>
    <definedName name="_________SP12" localSheetId="6">[1]FES!#REF!</definedName>
    <definedName name="_________SP12" localSheetId="7">[1]FES!#REF!</definedName>
    <definedName name="_________SP12" localSheetId="8">[1]FES!#REF!</definedName>
    <definedName name="_________SP12" localSheetId="9">[1]FES!#REF!</definedName>
    <definedName name="_________SP12">[1]FES!#REF!</definedName>
    <definedName name="_________SP13" localSheetId="6">[1]FES!#REF!</definedName>
    <definedName name="_________SP13" localSheetId="7">[1]FES!#REF!</definedName>
    <definedName name="_________SP13" localSheetId="8">[1]FES!#REF!</definedName>
    <definedName name="_________SP13" localSheetId="9">[1]FES!#REF!</definedName>
    <definedName name="_________SP13">[1]FES!#REF!</definedName>
    <definedName name="_________SP14" localSheetId="6">[1]FES!#REF!</definedName>
    <definedName name="_________SP14" localSheetId="7">[1]FES!#REF!</definedName>
    <definedName name="_________SP14" localSheetId="8">[1]FES!#REF!</definedName>
    <definedName name="_________SP14" localSheetId="9">[1]FES!#REF!</definedName>
    <definedName name="_________SP14">[1]FES!#REF!</definedName>
    <definedName name="_________SP15" localSheetId="6">[1]FES!#REF!</definedName>
    <definedName name="_________SP15" localSheetId="7">[1]FES!#REF!</definedName>
    <definedName name="_________SP15" localSheetId="8">[1]FES!#REF!</definedName>
    <definedName name="_________SP15" localSheetId="9">[1]FES!#REF!</definedName>
    <definedName name="_________SP15">[1]FES!#REF!</definedName>
    <definedName name="_________SP16" localSheetId="6">[1]FES!#REF!</definedName>
    <definedName name="_________SP16" localSheetId="7">[1]FES!#REF!</definedName>
    <definedName name="_________SP16" localSheetId="8">[1]FES!#REF!</definedName>
    <definedName name="_________SP16" localSheetId="9">[1]FES!#REF!</definedName>
    <definedName name="_________SP16">[1]FES!#REF!</definedName>
    <definedName name="_________SP17" localSheetId="6">[1]FES!#REF!</definedName>
    <definedName name="_________SP17" localSheetId="7">[1]FES!#REF!</definedName>
    <definedName name="_________SP17" localSheetId="8">[1]FES!#REF!</definedName>
    <definedName name="_________SP17" localSheetId="9">[1]FES!#REF!</definedName>
    <definedName name="_________SP17">[1]FES!#REF!</definedName>
    <definedName name="_________SP18" localSheetId="6">[1]FES!#REF!</definedName>
    <definedName name="_________SP18" localSheetId="7">[1]FES!#REF!</definedName>
    <definedName name="_________SP18" localSheetId="8">[1]FES!#REF!</definedName>
    <definedName name="_________SP18" localSheetId="9">[1]FES!#REF!</definedName>
    <definedName name="_________SP18">[1]FES!#REF!</definedName>
    <definedName name="_________SP19" localSheetId="6">[1]FES!#REF!</definedName>
    <definedName name="_________SP19" localSheetId="7">[1]FES!#REF!</definedName>
    <definedName name="_________SP19" localSheetId="8">[1]FES!#REF!</definedName>
    <definedName name="_________SP19" localSheetId="9">[1]FES!#REF!</definedName>
    <definedName name="_________SP19">[1]FES!#REF!</definedName>
    <definedName name="_________SP2" localSheetId="6">[1]FES!#REF!</definedName>
    <definedName name="_________SP2" localSheetId="7">[1]FES!#REF!</definedName>
    <definedName name="_________SP2" localSheetId="8">[1]FES!#REF!</definedName>
    <definedName name="_________SP2" localSheetId="9">[1]FES!#REF!</definedName>
    <definedName name="_________SP2">[1]FES!#REF!</definedName>
    <definedName name="_________SP20" localSheetId="6">[1]FES!#REF!</definedName>
    <definedName name="_________SP20" localSheetId="7">[1]FES!#REF!</definedName>
    <definedName name="_________SP20" localSheetId="8">[1]FES!#REF!</definedName>
    <definedName name="_________SP20" localSheetId="9">[1]FES!#REF!</definedName>
    <definedName name="_________SP20">[1]FES!#REF!</definedName>
    <definedName name="_________SP3" localSheetId="6">[1]FES!#REF!</definedName>
    <definedName name="_________SP3" localSheetId="7">[1]FES!#REF!</definedName>
    <definedName name="_________SP3" localSheetId="8">[1]FES!#REF!</definedName>
    <definedName name="_________SP3" localSheetId="9">[1]FES!#REF!</definedName>
    <definedName name="_________SP3">[1]FES!#REF!</definedName>
    <definedName name="_________SP4" localSheetId="6">[1]FES!#REF!</definedName>
    <definedName name="_________SP4" localSheetId="7">[1]FES!#REF!</definedName>
    <definedName name="_________SP4" localSheetId="8">[1]FES!#REF!</definedName>
    <definedName name="_________SP4" localSheetId="9">[1]FES!#REF!</definedName>
    <definedName name="_________SP4">[1]FES!#REF!</definedName>
    <definedName name="_________SP5" localSheetId="6">[1]FES!#REF!</definedName>
    <definedName name="_________SP5" localSheetId="7">[1]FES!#REF!</definedName>
    <definedName name="_________SP5" localSheetId="8">[1]FES!#REF!</definedName>
    <definedName name="_________SP5" localSheetId="9">[1]FES!#REF!</definedName>
    <definedName name="_________SP5">[1]FES!#REF!</definedName>
    <definedName name="_________SP7" localSheetId="6">[1]FES!#REF!</definedName>
    <definedName name="_________SP7" localSheetId="7">[1]FES!#REF!</definedName>
    <definedName name="_________SP7" localSheetId="8">[1]FES!#REF!</definedName>
    <definedName name="_________SP7" localSheetId="9">[1]FES!#REF!</definedName>
    <definedName name="_________SP7">[1]FES!#REF!</definedName>
    <definedName name="_________SP8" localSheetId="6">[1]FES!#REF!</definedName>
    <definedName name="_________SP8" localSheetId="7">[1]FES!#REF!</definedName>
    <definedName name="_________SP8" localSheetId="8">[1]FES!#REF!</definedName>
    <definedName name="_________SP8" localSheetId="9">[1]FES!#REF!</definedName>
    <definedName name="_________SP8">[1]FES!#REF!</definedName>
    <definedName name="_________SP9" localSheetId="6">[1]FES!#REF!</definedName>
    <definedName name="_________SP9" localSheetId="7">[1]FES!#REF!</definedName>
    <definedName name="_________SP9" localSheetId="8">[1]FES!#REF!</definedName>
    <definedName name="_________SP9" localSheetId="9">[1]FES!#REF!</definedName>
    <definedName name="_________SP9">[1]FES!#REF!</definedName>
    <definedName name="_______SP1" localSheetId="6">[1]FES!#REF!</definedName>
    <definedName name="_______SP1" localSheetId="7">[1]FES!#REF!</definedName>
    <definedName name="_______SP1" localSheetId="8">[1]FES!#REF!</definedName>
    <definedName name="_______SP1" localSheetId="9">[1]FES!#REF!</definedName>
    <definedName name="_______SP1">[1]FES!#REF!</definedName>
    <definedName name="_______SP10" localSheetId="6">[1]FES!#REF!</definedName>
    <definedName name="_______SP10" localSheetId="7">[1]FES!#REF!</definedName>
    <definedName name="_______SP10" localSheetId="8">[1]FES!#REF!</definedName>
    <definedName name="_______SP10" localSheetId="9">[1]FES!#REF!</definedName>
    <definedName name="_______SP10">[1]FES!#REF!</definedName>
    <definedName name="_______SP11" localSheetId="6">[1]FES!#REF!</definedName>
    <definedName name="_______SP11" localSheetId="7">[1]FES!#REF!</definedName>
    <definedName name="_______SP11" localSheetId="8">[1]FES!#REF!</definedName>
    <definedName name="_______SP11" localSheetId="9">[1]FES!#REF!</definedName>
    <definedName name="_______SP11">[1]FES!#REF!</definedName>
    <definedName name="_______SP12" localSheetId="6">[1]FES!#REF!</definedName>
    <definedName name="_______SP12" localSheetId="7">[1]FES!#REF!</definedName>
    <definedName name="_______SP12" localSheetId="8">[1]FES!#REF!</definedName>
    <definedName name="_______SP12" localSheetId="9">[1]FES!#REF!</definedName>
    <definedName name="_______SP12">[1]FES!#REF!</definedName>
    <definedName name="_______SP13" localSheetId="6">[1]FES!#REF!</definedName>
    <definedName name="_______SP13" localSheetId="7">[1]FES!#REF!</definedName>
    <definedName name="_______SP13" localSheetId="8">[1]FES!#REF!</definedName>
    <definedName name="_______SP13" localSheetId="9">[1]FES!#REF!</definedName>
    <definedName name="_______SP13">[1]FES!#REF!</definedName>
    <definedName name="_______SP14" localSheetId="6">[1]FES!#REF!</definedName>
    <definedName name="_______SP14" localSheetId="7">[1]FES!#REF!</definedName>
    <definedName name="_______SP14" localSheetId="8">[1]FES!#REF!</definedName>
    <definedName name="_______SP14" localSheetId="9">[1]FES!#REF!</definedName>
    <definedName name="_______SP14">[1]FES!#REF!</definedName>
    <definedName name="_______SP15" localSheetId="6">[1]FES!#REF!</definedName>
    <definedName name="_______SP15" localSheetId="7">[1]FES!#REF!</definedName>
    <definedName name="_______SP15" localSheetId="8">[1]FES!#REF!</definedName>
    <definedName name="_______SP15" localSheetId="9">[1]FES!#REF!</definedName>
    <definedName name="_______SP15">[1]FES!#REF!</definedName>
    <definedName name="_______SP16" localSheetId="6">[1]FES!#REF!</definedName>
    <definedName name="_______SP16" localSheetId="7">[1]FES!#REF!</definedName>
    <definedName name="_______SP16" localSheetId="8">[1]FES!#REF!</definedName>
    <definedName name="_______SP16" localSheetId="9">[1]FES!#REF!</definedName>
    <definedName name="_______SP16">[1]FES!#REF!</definedName>
    <definedName name="_______SP17" localSheetId="6">[1]FES!#REF!</definedName>
    <definedName name="_______SP17" localSheetId="7">[1]FES!#REF!</definedName>
    <definedName name="_______SP17" localSheetId="8">[1]FES!#REF!</definedName>
    <definedName name="_______SP17" localSheetId="9">[1]FES!#REF!</definedName>
    <definedName name="_______SP17">[1]FES!#REF!</definedName>
    <definedName name="_______SP18" localSheetId="6">[1]FES!#REF!</definedName>
    <definedName name="_______SP18" localSheetId="7">[1]FES!#REF!</definedName>
    <definedName name="_______SP18" localSheetId="8">[1]FES!#REF!</definedName>
    <definedName name="_______SP18" localSheetId="9">[1]FES!#REF!</definedName>
    <definedName name="_______SP18">[1]FES!#REF!</definedName>
    <definedName name="_______SP19" localSheetId="6">[1]FES!#REF!</definedName>
    <definedName name="_______SP19" localSheetId="7">[1]FES!#REF!</definedName>
    <definedName name="_______SP19" localSheetId="8">[1]FES!#REF!</definedName>
    <definedName name="_______SP19" localSheetId="9">[1]FES!#REF!</definedName>
    <definedName name="_______SP19">[1]FES!#REF!</definedName>
    <definedName name="_______SP2" localSheetId="6">[1]FES!#REF!</definedName>
    <definedName name="_______SP2" localSheetId="7">[1]FES!#REF!</definedName>
    <definedName name="_______SP2" localSheetId="8">[1]FES!#REF!</definedName>
    <definedName name="_______SP2" localSheetId="9">[1]FES!#REF!</definedName>
    <definedName name="_______SP2">[1]FES!#REF!</definedName>
    <definedName name="_______SP20" localSheetId="6">[1]FES!#REF!</definedName>
    <definedName name="_______SP20" localSheetId="7">[1]FES!#REF!</definedName>
    <definedName name="_______SP20" localSheetId="8">[1]FES!#REF!</definedName>
    <definedName name="_______SP20" localSheetId="9">[1]FES!#REF!</definedName>
    <definedName name="_______SP20">[1]FES!#REF!</definedName>
    <definedName name="_______SP3" localSheetId="6">[1]FES!#REF!</definedName>
    <definedName name="_______SP3" localSheetId="7">[1]FES!#REF!</definedName>
    <definedName name="_______SP3" localSheetId="8">[1]FES!#REF!</definedName>
    <definedName name="_______SP3" localSheetId="9">[1]FES!#REF!</definedName>
    <definedName name="_______SP3">[1]FES!#REF!</definedName>
    <definedName name="_______SP4" localSheetId="6">[1]FES!#REF!</definedName>
    <definedName name="_______SP4" localSheetId="7">[1]FES!#REF!</definedName>
    <definedName name="_______SP4" localSheetId="8">[1]FES!#REF!</definedName>
    <definedName name="_______SP4" localSheetId="9">[1]FES!#REF!</definedName>
    <definedName name="_______SP4">[1]FES!#REF!</definedName>
    <definedName name="_______SP5" localSheetId="6">[1]FES!#REF!</definedName>
    <definedName name="_______SP5" localSheetId="7">[1]FES!#REF!</definedName>
    <definedName name="_______SP5" localSheetId="8">[1]FES!#REF!</definedName>
    <definedName name="_______SP5" localSheetId="9">[1]FES!#REF!</definedName>
    <definedName name="_______SP5">[1]FES!#REF!</definedName>
    <definedName name="_______SP7" localSheetId="6">[1]FES!#REF!</definedName>
    <definedName name="_______SP7" localSheetId="7">[1]FES!#REF!</definedName>
    <definedName name="_______SP7" localSheetId="8">[1]FES!#REF!</definedName>
    <definedName name="_______SP7" localSheetId="9">[1]FES!#REF!</definedName>
    <definedName name="_______SP7">[1]FES!#REF!</definedName>
    <definedName name="_______SP8" localSheetId="6">[1]FES!#REF!</definedName>
    <definedName name="_______SP8" localSheetId="7">[1]FES!#REF!</definedName>
    <definedName name="_______SP8" localSheetId="8">[1]FES!#REF!</definedName>
    <definedName name="_______SP8" localSheetId="9">[1]FES!#REF!</definedName>
    <definedName name="_______SP8">[1]FES!#REF!</definedName>
    <definedName name="_______SP9" localSheetId="6">[1]FES!#REF!</definedName>
    <definedName name="_______SP9" localSheetId="7">[1]FES!#REF!</definedName>
    <definedName name="_______SP9" localSheetId="8">[1]FES!#REF!</definedName>
    <definedName name="_______SP9" localSheetId="9">[1]FES!#REF!</definedName>
    <definedName name="_______SP9">[1]FES!#REF!</definedName>
    <definedName name="______SP1" localSheetId="6">[1]FES!#REF!</definedName>
    <definedName name="______SP1" localSheetId="7">[1]FES!#REF!</definedName>
    <definedName name="______SP1" localSheetId="8">[1]FES!#REF!</definedName>
    <definedName name="______SP1" localSheetId="9">[1]FES!#REF!</definedName>
    <definedName name="______SP1">[1]FES!#REF!</definedName>
    <definedName name="______SP10" localSheetId="6">[1]FES!#REF!</definedName>
    <definedName name="______SP10" localSheetId="7">[1]FES!#REF!</definedName>
    <definedName name="______SP10" localSheetId="8">[1]FES!#REF!</definedName>
    <definedName name="______SP10" localSheetId="9">[1]FES!#REF!</definedName>
    <definedName name="______SP10">[1]FES!#REF!</definedName>
    <definedName name="______SP11" localSheetId="6">[1]FES!#REF!</definedName>
    <definedName name="______SP11" localSheetId="7">[1]FES!#REF!</definedName>
    <definedName name="______SP11" localSheetId="8">[1]FES!#REF!</definedName>
    <definedName name="______SP11" localSheetId="9">[1]FES!#REF!</definedName>
    <definedName name="______SP11">[1]FES!#REF!</definedName>
    <definedName name="______SP12" localSheetId="6">[1]FES!#REF!</definedName>
    <definedName name="______SP12" localSheetId="7">[1]FES!#REF!</definedName>
    <definedName name="______SP12" localSheetId="8">[1]FES!#REF!</definedName>
    <definedName name="______SP12" localSheetId="9">[1]FES!#REF!</definedName>
    <definedName name="______SP12">[1]FES!#REF!</definedName>
    <definedName name="______SP13" localSheetId="6">[1]FES!#REF!</definedName>
    <definedName name="______SP13" localSheetId="7">[1]FES!#REF!</definedName>
    <definedName name="______SP13" localSheetId="8">[1]FES!#REF!</definedName>
    <definedName name="______SP13" localSheetId="9">[1]FES!#REF!</definedName>
    <definedName name="______SP13">[1]FES!#REF!</definedName>
    <definedName name="______SP14" localSheetId="6">[1]FES!#REF!</definedName>
    <definedName name="______SP14" localSheetId="7">[1]FES!#REF!</definedName>
    <definedName name="______SP14" localSheetId="8">[1]FES!#REF!</definedName>
    <definedName name="______SP14" localSheetId="9">[1]FES!#REF!</definedName>
    <definedName name="______SP14">[1]FES!#REF!</definedName>
    <definedName name="______SP15" localSheetId="6">[1]FES!#REF!</definedName>
    <definedName name="______SP15" localSheetId="7">[1]FES!#REF!</definedName>
    <definedName name="______SP15" localSheetId="8">[1]FES!#REF!</definedName>
    <definedName name="______SP15" localSheetId="9">[1]FES!#REF!</definedName>
    <definedName name="______SP15">[1]FES!#REF!</definedName>
    <definedName name="______SP16" localSheetId="6">[1]FES!#REF!</definedName>
    <definedName name="______SP16" localSheetId="7">[1]FES!#REF!</definedName>
    <definedName name="______SP16" localSheetId="8">[1]FES!#REF!</definedName>
    <definedName name="______SP16" localSheetId="9">[1]FES!#REF!</definedName>
    <definedName name="______SP16">[1]FES!#REF!</definedName>
    <definedName name="______SP17" localSheetId="6">[1]FES!#REF!</definedName>
    <definedName name="______SP17" localSheetId="7">[1]FES!#REF!</definedName>
    <definedName name="______SP17" localSheetId="8">[1]FES!#REF!</definedName>
    <definedName name="______SP17" localSheetId="9">[1]FES!#REF!</definedName>
    <definedName name="______SP17">[1]FES!#REF!</definedName>
    <definedName name="______SP18" localSheetId="6">[1]FES!#REF!</definedName>
    <definedName name="______SP18" localSheetId="7">[1]FES!#REF!</definedName>
    <definedName name="______SP18" localSheetId="8">[1]FES!#REF!</definedName>
    <definedName name="______SP18" localSheetId="9">[1]FES!#REF!</definedName>
    <definedName name="______SP18">[1]FES!#REF!</definedName>
    <definedName name="______SP19" localSheetId="6">[1]FES!#REF!</definedName>
    <definedName name="______SP19" localSheetId="7">[1]FES!#REF!</definedName>
    <definedName name="______SP19" localSheetId="8">[1]FES!#REF!</definedName>
    <definedName name="______SP19" localSheetId="9">[1]FES!#REF!</definedName>
    <definedName name="______SP19">[1]FES!#REF!</definedName>
    <definedName name="______SP2" localSheetId="6">[1]FES!#REF!</definedName>
    <definedName name="______SP2" localSheetId="7">[1]FES!#REF!</definedName>
    <definedName name="______SP2" localSheetId="8">[1]FES!#REF!</definedName>
    <definedName name="______SP2" localSheetId="9">[1]FES!#REF!</definedName>
    <definedName name="______SP2">[1]FES!#REF!</definedName>
    <definedName name="______SP20" localSheetId="6">[1]FES!#REF!</definedName>
    <definedName name="______SP20" localSheetId="7">[1]FES!#REF!</definedName>
    <definedName name="______SP20" localSheetId="8">[1]FES!#REF!</definedName>
    <definedName name="______SP20" localSheetId="9">[1]FES!#REF!</definedName>
    <definedName name="______SP20">[1]FES!#REF!</definedName>
    <definedName name="______SP3" localSheetId="6">[1]FES!#REF!</definedName>
    <definedName name="______SP3" localSheetId="7">[1]FES!#REF!</definedName>
    <definedName name="______SP3" localSheetId="8">[1]FES!#REF!</definedName>
    <definedName name="______SP3" localSheetId="9">[1]FES!#REF!</definedName>
    <definedName name="______SP3">[1]FES!#REF!</definedName>
    <definedName name="______SP4" localSheetId="6">[1]FES!#REF!</definedName>
    <definedName name="______SP4" localSheetId="7">[1]FES!#REF!</definedName>
    <definedName name="______SP4" localSheetId="8">[1]FES!#REF!</definedName>
    <definedName name="______SP4" localSheetId="9">[1]FES!#REF!</definedName>
    <definedName name="______SP4">[1]FES!#REF!</definedName>
    <definedName name="______SP5" localSheetId="6">[1]FES!#REF!</definedName>
    <definedName name="______SP5" localSheetId="7">[1]FES!#REF!</definedName>
    <definedName name="______SP5" localSheetId="8">[1]FES!#REF!</definedName>
    <definedName name="______SP5" localSheetId="9">[1]FES!#REF!</definedName>
    <definedName name="______SP5">[1]FES!#REF!</definedName>
    <definedName name="______SP7" localSheetId="6">[1]FES!#REF!</definedName>
    <definedName name="______SP7" localSheetId="7">[1]FES!#REF!</definedName>
    <definedName name="______SP7" localSheetId="8">[1]FES!#REF!</definedName>
    <definedName name="______SP7" localSheetId="9">[1]FES!#REF!</definedName>
    <definedName name="______SP7">[1]FES!#REF!</definedName>
    <definedName name="______SP8" localSheetId="6">[1]FES!#REF!</definedName>
    <definedName name="______SP8" localSheetId="7">[1]FES!#REF!</definedName>
    <definedName name="______SP8" localSheetId="8">[1]FES!#REF!</definedName>
    <definedName name="______SP8" localSheetId="9">[1]FES!#REF!</definedName>
    <definedName name="______SP8">[1]FES!#REF!</definedName>
    <definedName name="______SP9" localSheetId="6">[1]FES!#REF!</definedName>
    <definedName name="______SP9" localSheetId="7">[1]FES!#REF!</definedName>
    <definedName name="______SP9" localSheetId="8">[1]FES!#REF!</definedName>
    <definedName name="______SP9" localSheetId="9">[1]FES!#REF!</definedName>
    <definedName name="______SP9">[1]FES!#REF!</definedName>
    <definedName name="_____B650000" localSheetId="6">#REF!</definedName>
    <definedName name="_____B650000" localSheetId="7">#REF!</definedName>
    <definedName name="_____B650000" localSheetId="8">#REF!</definedName>
    <definedName name="_____B650000" localSheetId="9">#REF!</definedName>
    <definedName name="_____B650000">#REF!</definedName>
    <definedName name="_____SP1" localSheetId="6">[1]FES!#REF!</definedName>
    <definedName name="_____SP1" localSheetId="7">[1]FES!#REF!</definedName>
    <definedName name="_____SP1" localSheetId="8">[1]FES!#REF!</definedName>
    <definedName name="_____SP1" localSheetId="9">[1]FES!#REF!</definedName>
    <definedName name="_____SP1">[1]FES!#REF!</definedName>
    <definedName name="_____SP10" localSheetId="6">[1]FES!#REF!</definedName>
    <definedName name="_____SP10" localSheetId="7">[1]FES!#REF!</definedName>
    <definedName name="_____SP10" localSheetId="8">[1]FES!#REF!</definedName>
    <definedName name="_____SP10" localSheetId="9">[1]FES!#REF!</definedName>
    <definedName name="_____SP10">[1]FES!#REF!</definedName>
    <definedName name="_____SP11" localSheetId="6">[1]FES!#REF!</definedName>
    <definedName name="_____SP11" localSheetId="7">[1]FES!#REF!</definedName>
    <definedName name="_____SP11" localSheetId="8">[1]FES!#REF!</definedName>
    <definedName name="_____SP11" localSheetId="9">[1]FES!#REF!</definedName>
    <definedName name="_____SP11">[1]FES!#REF!</definedName>
    <definedName name="_____SP12" localSheetId="6">[1]FES!#REF!</definedName>
    <definedName name="_____SP12" localSheetId="7">[1]FES!#REF!</definedName>
    <definedName name="_____SP12" localSheetId="8">[1]FES!#REF!</definedName>
    <definedName name="_____SP12" localSheetId="9">[1]FES!#REF!</definedName>
    <definedName name="_____SP12">[1]FES!#REF!</definedName>
    <definedName name="_____SP13" localSheetId="6">[1]FES!#REF!</definedName>
    <definedName name="_____SP13" localSheetId="7">[1]FES!#REF!</definedName>
    <definedName name="_____SP13" localSheetId="8">[1]FES!#REF!</definedName>
    <definedName name="_____SP13" localSheetId="9">[1]FES!#REF!</definedName>
    <definedName name="_____SP13">[1]FES!#REF!</definedName>
    <definedName name="_____SP14" localSheetId="6">[1]FES!#REF!</definedName>
    <definedName name="_____SP14" localSheetId="7">[1]FES!#REF!</definedName>
    <definedName name="_____SP14" localSheetId="8">[1]FES!#REF!</definedName>
    <definedName name="_____SP14" localSheetId="9">[1]FES!#REF!</definedName>
    <definedName name="_____SP14">[1]FES!#REF!</definedName>
    <definedName name="_____SP15" localSheetId="6">[1]FES!#REF!</definedName>
    <definedName name="_____SP15" localSheetId="7">[1]FES!#REF!</definedName>
    <definedName name="_____SP15" localSheetId="8">[1]FES!#REF!</definedName>
    <definedName name="_____SP15" localSheetId="9">[1]FES!#REF!</definedName>
    <definedName name="_____SP15">[1]FES!#REF!</definedName>
    <definedName name="_____SP16" localSheetId="6">[1]FES!#REF!</definedName>
    <definedName name="_____SP16" localSheetId="7">[1]FES!#REF!</definedName>
    <definedName name="_____SP16" localSheetId="8">[1]FES!#REF!</definedName>
    <definedName name="_____SP16" localSheetId="9">[1]FES!#REF!</definedName>
    <definedName name="_____SP16">[1]FES!#REF!</definedName>
    <definedName name="_____SP17" localSheetId="6">[1]FES!#REF!</definedName>
    <definedName name="_____SP17" localSheetId="7">[1]FES!#REF!</definedName>
    <definedName name="_____SP17" localSheetId="8">[1]FES!#REF!</definedName>
    <definedName name="_____SP17" localSheetId="9">[1]FES!#REF!</definedName>
    <definedName name="_____SP17">[1]FES!#REF!</definedName>
    <definedName name="_____SP18" localSheetId="6">[1]FES!#REF!</definedName>
    <definedName name="_____SP18" localSheetId="7">[1]FES!#REF!</definedName>
    <definedName name="_____SP18" localSheetId="8">[1]FES!#REF!</definedName>
    <definedName name="_____SP18" localSheetId="9">[1]FES!#REF!</definedName>
    <definedName name="_____SP18">[1]FES!#REF!</definedName>
    <definedName name="_____SP19" localSheetId="6">[1]FES!#REF!</definedName>
    <definedName name="_____SP19" localSheetId="7">[1]FES!#REF!</definedName>
    <definedName name="_____SP19" localSheetId="8">[1]FES!#REF!</definedName>
    <definedName name="_____SP19" localSheetId="9">[1]FES!#REF!</definedName>
    <definedName name="_____SP19">[1]FES!#REF!</definedName>
    <definedName name="_____SP2" localSheetId="6">[1]FES!#REF!</definedName>
    <definedName name="_____SP2" localSheetId="7">[1]FES!#REF!</definedName>
    <definedName name="_____SP2" localSheetId="8">[1]FES!#REF!</definedName>
    <definedName name="_____SP2" localSheetId="9">[1]FES!#REF!</definedName>
    <definedName name="_____SP2">[1]FES!#REF!</definedName>
    <definedName name="_____SP20" localSheetId="6">[1]FES!#REF!</definedName>
    <definedName name="_____SP20" localSheetId="7">[1]FES!#REF!</definedName>
    <definedName name="_____SP20" localSheetId="8">[1]FES!#REF!</definedName>
    <definedName name="_____SP20" localSheetId="9">[1]FES!#REF!</definedName>
    <definedName name="_____SP20">[1]FES!#REF!</definedName>
    <definedName name="_____SP3" localSheetId="6">[1]FES!#REF!</definedName>
    <definedName name="_____SP3" localSheetId="7">[1]FES!#REF!</definedName>
    <definedName name="_____SP3" localSheetId="8">[1]FES!#REF!</definedName>
    <definedName name="_____SP3" localSheetId="9">[1]FES!#REF!</definedName>
    <definedName name="_____SP3">[1]FES!#REF!</definedName>
    <definedName name="_____SP4" localSheetId="6">[1]FES!#REF!</definedName>
    <definedName name="_____SP4" localSheetId="7">[1]FES!#REF!</definedName>
    <definedName name="_____SP4" localSheetId="8">[1]FES!#REF!</definedName>
    <definedName name="_____SP4" localSheetId="9">[1]FES!#REF!</definedName>
    <definedName name="_____SP4">[1]FES!#REF!</definedName>
    <definedName name="_____SP5" localSheetId="6">[1]FES!#REF!</definedName>
    <definedName name="_____SP5" localSheetId="7">[1]FES!#REF!</definedName>
    <definedName name="_____SP5" localSheetId="8">[1]FES!#REF!</definedName>
    <definedName name="_____SP5" localSheetId="9">[1]FES!#REF!</definedName>
    <definedName name="_____SP5">[1]FES!#REF!</definedName>
    <definedName name="_____SP7" localSheetId="6">[1]FES!#REF!</definedName>
    <definedName name="_____SP7" localSheetId="7">[1]FES!#REF!</definedName>
    <definedName name="_____SP7" localSheetId="8">[1]FES!#REF!</definedName>
    <definedName name="_____SP7" localSheetId="9">[1]FES!#REF!</definedName>
    <definedName name="_____SP7">[1]FES!#REF!</definedName>
    <definedName name="_____SP8" localSheetId="6">[1]FES!#REF!</definedName>
    <definedName name="_____SP8" localSheetId="7">[1]FES!#REF!</definedName>
    <definedName name="_____SP8" localSheetId="8">[1]FES!#REF!</definedName>
    <definedName name="_____SP8" localSheetId="9">[1]FES!#REF!</definedName>
    <definedName name="_____SP8">[1]FES!#REF!</definedName>
    <definedName name="_____SP9" localSheetId="6">[1]FES!#REF!</definedName>
    <definedName name="_____SP9" localSheetId="7">[1]FES!#REF!</definedName>
    <definedName name="_____SP9" localSheetId="8">[1]FES!#REF!</definedName>
    <definedName name="_____SP9" localSheetId="9">[1]FES!#REF!</definedName>
    <definedName name="_____SP9">[1]FES!#REF!</definedName>
    <definedName name="____B270000" localSheetId="6">#REF!</definedName>
    <definedName name="____B270000" localSheetId="7">#REF!</definedName>
    <definedName name="____B270000" localSheetId="8">#REF!</definedName>
    <definedName name="____B270000" localSheetId="9">#REF!</definedName>
    <definedName name="____B270000">#REF!</definedName>
    <definedName name="____B650000" localSheetId="6">#REF!</definedName>
    <definedName name="____B650000" localSheetId="7">#REF!</definedName>
    <definedName name="____B650000" localSheetId="8">#REF!</definedName>
    <definedName name="____B650000" localSheetId="9">#REF!</definedName>
    <definedName name="____B650000">#REF!</definedName>
    <definedName name="____DAT1" localSheetId="6">'[2]ЦХЛ 2004'!#REF!</definedName>
    <definedName name="____DAT1" localSheetId="7">'[2]ЦХЛ 2004'!#REF!</definedName>
    <definedName name="____DAT1" localSheetId="8">'[2]ЦХЛ 2004'!#REF!</definedName>
    <definedName name="____DAT1" localSheetId="9">'[2]ЦХЛ 2004'!#REF!</definedName>
    <definedName name="____DAT1">'[2]ЦХЛ 2004'!#REF!</definedName>
    <definedName name="____DAT2" localSheetId="6">'[2]ЦХЛ 2004'!#REF!</definedName>
    <definedName name="____DAT2" localSheetId="7">'[2]ЦХЛ 2004'!#REF!</definedName>
    <definedName name="____DAT2" localSheetId="8">'[2]ЦХЛ 2004'!#REF!</definedName>
    <definedName name="____DAT2" localSheetId="9">'[2]ЦХЛ 2004'!#REF!</definedName>
    <definedName name="____DAT2">'[2]ЦХЛ 2004'!#REF!</definedName>
    <definedName name="____DAT3" localSheetId="6">'[2]ЦХЛ 2004'!#REF!</definedName>
    <definedName name="____DAT3" localSheetId="7">'[2]ЦХЛ 2004'!#REF!</definedName>
    <definedName name="____DAT3" localSheetId="8">'[2]ЦХЛ 2004'!#REF!</definedName>
    <definedName name="____DAT3" localSheetId="9">'[2]ЦХЛ 2004'!#REF!</definedName>
    <definedName name="____DAT3">'[2]ЦХЛ 2004'!#REF!</definedName>
    <definedName name="____DAT4" localSheetId="6">'[2]ЦХЛ 2004'!#REF!</definedName>
    <definedName name="____DAT4" localSheetId="7">'[2]ЦХЛ 2004'!#REF!</definedName>
    <definedName name="____DAT4" localSheetId="8">'[2]ЦХЛ 2004'!#REF!</definedName>
    <definedName name="____DAT4" localSheetId="9">'[2]ЦХЛ 2004'!#REF!</definedName>
    <definedName name="____DAT4">'[2]ЦХЛ 2004'!#REF!</definedName>
    <definedName name="____DAT5" localSheetId="6">'[2]ЦХЛ 2004'!#REF!</definedName>
    <definedName name="____DAT5" localSheetId="7">'[2]ЦХЛ 2004'!#REF!</definedName>
    <definedName name="____DAT5" localSheetId="8">'[2]ЦХЛ 2004'!#REF!</definedName>
    <definedName name="____DAT5" localSheetId="9">'[2]ЦХЛ 2004'!#REF!</definedName>
    <definedName name="____DAT5">'[2]ЦХЛ 2004'!#REF!</definedName>
    <definedName name="____DAT7" localSheetId="6">#REF!</definedName>
    <definedName name="____DAT7" localSheetId="7">#REF!</definedName>
    <definedName name="____DAT7" localSheetId="8">#REF!</definedName>
    <definedName name="____DAT7" localSheetId="9">#REF!</definedName>
    <definedName name="____DAT7">#REF!</definedName>
    <definedName name="____DAT8" localSheetId="6">#REF!</definedName>
    <definedName name="____DAT8" localSheetId="7">#REF!</definedName>
    <definedName name="____DAT8" localSheetId="8">#REF!</definedName>
    <definedName name="____DAT8" localSheetId="9">#REF!</definedName>
    <definedName name="____DAT8">#REF!</definedName>
    <definedName name="____DAT9" localSheetId="6">#REF!</definedName>
    <definedName name="____DAT9" localSheetId="7">#REF!</definedName>
    <definedName name="____DAT9" localSheetId="8">#REF!</definedName>
    <definedName name="____DAT9" localSheetId="9">#REF!</definedName>
    <definedName name="____DAT9">#REF!</definedName>
    <definedName name="____SP1" localSheetId="6">[1]FES!#REF!</definedName>
    <definedName name="____SP1" localSheetId="7">[1]FES!#REF!</definedName>
    <definedName name="____SP1" localSheetId="8">[1]FES!#REF!</definedName>
    <definedName name="____SP1" localSheetId="9">[1]FES!#REF!</definedName>
    <definedName name="____SP1">[1]FES!#REF!</definedName>
    <definedName name="____SP10" localSheetId="6">[1]FES!#REF!</definedName>
    <definedName name="____SP10" localSheetId="7">[1]FES!#REF!</definedName>
    <definedName name="____SP10" localSheetId="8">[1]FES!#REF!</definedName>
    <definedName name="____SP10" localSheetId="9">[1]FES!#REF!</definedName>
    <definedName name="____SP10">[1]FES!#REF!</definedName>
    <definedName name="____SP11" localSheetId="6">[1]FES!#REF!</definedName>
    <definedName name="____SP11" localSheetId="7">[1]FES!#REF!</definedName>
    <definedName name="____SP11" localSheetId="8">[1]FES!#REF!</definedName>
    <definedName name="____SP11" localSheetId="9">[1]FES!#REF!</definedName>
    <definedName name="____SP11">[1]FES!#REF!</definedName>
    <definedName name="____SP12" localSheetId="6">[1]FES!#REF!</definedName>
    <definedName name="____SP12" localSheetId="7">[1]FES!#REF!</definedName>
    <definedName name="____SP12" localSheetId="8">[1]FES!#REF!</definedName>
    <definedName name="____SP12" localSheetId="9">[1]FES!#REF!</definedName>
    <definedName name="____SP12">[1]FES!#REF!</definedName>
    <definedName name="____SP13" localSheetId="6">[1]FES!#REF!</definedName>
    <definedName name="____SP13" localSheetId="7">[1]FES!#REF!</definedName>
    <definedName name="____SP13" localSheetId="8">[1]FES!#REF!</definedName>
    <definedName name="____SP13" localSheetId="9">[1]FES!#REF!</definedName>
    <definedName name="____SP13">[1]FES!#REF!</definedName>
    <definedName name="____SP14" localSheetId="6">[1]FES!#REF!</definedName>
    <definedName name="____SP14" localSheetId="7">[1]FES!#REF!</definedName>
    <definedName name="____SP14" localSheetId="8">[1]FES!#REF!</definedName>
    <definedName name="____SP14" localSheetId="9">[1]FES!#REF!</definedName>
    <definedName name="____SP14">[1]FES!#REF!</definedName>
    <definedName name="____SP15" localSheetId="6">[1]FES!#REF!</definedName>
    <definedName name="____SP15" localSheetId="7">[1]FES!#REF!</definedName>
    <definedName name="____SP15" localSheetId="8">[1]FES!#REF!</definedName>
    <definedName name="____SP15" localSheetId="9">[1]FES!#REF!</definedName>
    <definedName name="____SP15">[1]FES!#REF!</definedName>
    <definedName name="____SP16" localSheetId="6">[1]FES!#REF!</definedName>
    <definedName name="____SP16" localSheetId="7">[1]FES!#REF!</definedName>
    <definedName name="____SP16" localSheetId="8">[1]FES!#REF!</definedName>
    <definedName name="____SP16" localSheetId="9">[1]FES!#REF!</definedName>
    <definedName name="____SP16">[1]FES!#REF!</definedName>
    <definedName name="____SP17" localSheetId="6">[1]FES!#REF!</definedName>
    <definedName name="____SP17" localSheetId="7">[1]FES!#REF!</definedName>
    <definedName name="____SP17" localSheetId="8">[1]FES!#REF!</definedName>
    <definedName name="____SP17" localSheetId="9">[1]FES!#REF!</definedName>
    <definedName name="____SP17">[1]FES!#REF!</definedName>
    <definedName name="____SP18" localSheetId="6">[1]FES!#REF!</definedName>
    <definedName name="____SP18" localSheetId="7">[1]FES!#REF!</definedName>
    <definedName name="____SP18" localSheetId="8">[1]FES!#REF!</definedName>
    <definedName name="____SP18" localSheetId="9">[1]FES!#REF!</definedName>
    <definedName name="____SP18">[1]FES!#REF!</definedName>
    <definedName name="____SP19" localSheetId="6">[1]FES!#REF!</definedName>
    <definedName name="____SP19" localSheetId="7">[1]FES!#REF!</definedName>
    <definedName name="____SP19" localSheetId="8">[1]FES!#REF!</definedName>
    <definedName name="____SP19" localSheetId="9">[1]FES!#REF!</definedName>
    <definedName name="____SP19">[1]FES!#REF!</definedName>
    <definedName name="____SP2" localSheetId="6">[1]FES!#REF!</definedName>
    <definedName name="____SP2" localSheetId="7">[1]FES!#REF!</definedName>
    <definedName name="____SP2" localSheetId="8">[1]FES!#REF!</definedName>
    <definedName name="____SP2" localSheetId="9">[1]FES!#REF!</definedName>
    <definedName name="____SP2">[1]FES!#REF!</definedName>
    <definedName name="____SP20" localSheetId="6">[1]FES!#REF!</definedName>
    <definedName name="____SP20" localSheetId="7">[1]FES!#REF!</definedName>
    <definedName name="____SP20" localSheetId="8">[1]FES!#REF!</definedName>
    <definedName name="____SP20" localSheetId="9">[1]FES!#REF!</definedName>
    <definedName name="____SP20">[1]FES!#REF!</definedName>
    <definedName name="____SP3" localSheetId="6">[1]FES!#REF!</definedName>
    <definedName name="____SP3" localSheetId="7">[1]FES!#REF!</definedName>
    <definedName name="____SP3" localSheetId="8">[1]FES!#REF!</definedName>
    <definedName name="____SP3" localSheetId="9">[1]FES!#REF!</definedName>
    <definedName name="____SP3">[1]FES!#REF!</definedName>
    <definedName name="____SP4" localSheetId="6">[1]FES!#REF!</definedName>
    <definedName name="____SP4" localSheetId="7">[1]FES!#REF!</definedName>
    <definedName name="____SP4" localSheetId="8">[1]FES!#REF!</definedName>
    <definedName name="____SP4" localSheetId="9">[1]FES!#REF!</definedName>
    <definedName name="____SP4">[1]FES!#REF!</definedName>
    <definedName name="____SP5" localSheetId="6">[1]FES!#REF!</definedName>
    <definedName name="____SP5" localSheetId="7">[1]FES!#REF!</definedName>
    <definedName name="____SP5" localSheetId="8">[1]FES!#REF!</definedName>
    <definedName name="____SP5" localSheetId="9">[1]FES!#REF!</definedName>
    <definedName name="____SP5">[1]FES!#REF!</definedName>
    <definedName name="____SP7" localSheetId="6">[1]FES!#REF!</definedName>
    <definedName name="____SP7" localSheetId="7">[1]FES!#REF!</definedName>
    <definedName name="____SP7" localSheetId="8">[1]FES!#REF!</definedName>
    <definedName name="____SP7" localSheetId="9">[1]FES!#REF!</definedName>
    <definedName name="____SP7">[1]FES!#REF!</definedName>
    <definedName name="____SP8" localSheetId="6">[1]FES!#REF!</definedName>
    <definedName name="____SP8" localSheetId="7">[1]FES!#REF!</definedName>
    <definedName name="____SP8" localSheetId="8">[1]FES!#REF!</definedName>
    <definedName name="____SP8" localSheetId="9">[1]FES!#REF!</definedName>
    <definedName name="____SP8">[1]FES!#REF!</definedName>
    <definedName name="____SP9" localSheetId="6">[1]FES!#REF!</definedName>
    <definedName name="____SP9" localSheetId="7">[1]FES!#REF!</definedName>
    <definedName name="____SP9" localSheetId="8">[1]FES!#REF!</definedName>
    <definedName name="____SP9" localSheetId="9">[1]FES!#REF!</definedName>
    <definedName name="____SP9">[1]FES!#REF!</definedName>
    <definedName name="___B270000" localSheetId="6">#REF!</definedName>
    <definedName name="___B270000" localSheetId="7">#REF!</definedName>
    <definedName name="___B270000" localSheetId="8">#REF!</definedName>
    <definedName name="___B270000" localSheetId="9">#REF!</definedName>
    <definedName name="___B270000">#REF!</definedName>
    <definedName name="___B650000" localSheetId="6">#REF!</definedName>
    <definedName name="___B650000" localSheetId="7">#REF!</definedName>
    <definedName name="___B650000" localSheetId="8">#REF!</definedName>
    <definedName name="___B650000" localSheetId="9">#REF!</definedName>
    <definedName name="___B650000">#REF!</definedName>
    <definedName name="___DAT1" localSheetId="6">'[2]ЦХЛ 2004'!#REF!</definedName>
    <definedName name="___DAT1" localSheetId="7">'[2]ЦХЛ 2004'!#REF!</definedName>
    <definedName name="___DAT1" localSheetId="8">'[2]ЦХЛ 2004'!#REF!</definedName>
    <definedName name="___DAT1" localSheetId="9">'[2]ЦХЛ 2004'!#REF!</definedName>
    <definedName name="___DAT1">'[2]ЦХЛ 2004'!#REF!</definedName>
    <definedName name="___DAT2" localSheetId="6">'[2]ЦХЛ 2004'!#REF!</definedName>
    <definedName name="___DAT2" localSheetId="7">'[2]ЦХЛ 2004'!#REF!</definedName>
    <definedName name="___DAT2" localSheetId="8">'[2]ЦХЛ 2004'!#REF!</definedName>
    <definedName name="___DAT2" localSheetId="9">'[2]ЦХЛ 2004'!#REF!</definedName>
    <definedName name="___DAT2">'[2]ЦХЛ 2004'!#REF!</definedName>
    <definedName name="___DAT3" localSheetId="6">'[2]ЦХЛ 2004'!#REF!</definedName>
    <definedName name="___DAT3" localSheetId="7">'[2]ЦХЛ 2004'!#REF!</definedName>
    <definedName name="___DAT3" localSheetId="8">'[2]ЦХЛ 2004'!#REF!</definedName>
    <definedName name="___DAT3" localSheetId="9">'[2]ЦХЛ 2004'!#REF!</definedName>
    <definedName name="___DAT3">'[2]ЦХЛ 2004'!#REF!</definedName>
    <definedName name="___DAT4" localSheetId="6">'[2]ЦХЛ 2004'!#REF!</definedName>
    <definedName name="___DAT4" localSheetId="7">'[2]ЦХЛ 2004'!#REF!</definedName>
    <definedName name="___DAT4" localSheetId="8">'[2]ЦХЛ 2004'!#REF!</definedName>
    <definedName name="___DAT4" localSheetId="9">'[2]ЦХЛ 2004'!#REF!</definedName>
    <definedName name="___DAT4">'[2]ЦХЛ 2004'!#REF!</definedName>
    <definedName name="___DAT5" localSheetId="6">'[2]ЦХЛ 2004'!#REF!</definedName>
    <definedName name="___DAT5" localSheetId="7">'[2]ЦХЛ 2004'!#REF!</definedName>
    <definedName name="___DAT5" localSheetId="8">'[2]ЦХЛ 2004'!#REF!</definedName>
    <definedName name="___DAT5" localSheetId="9">'[2]ЦХЛ 2004'!#REF!</definedName>
    <definedName name="___DAT5">'[2]ЦХЛ 2004'!#REF!</definedName>
    <definedName name="___DAT6" localSheetId="6">#REF!</definedName>
    <definedName name="___DAT6" localSheetId="7">#REF!</definedName>
    <definedName name="___DAT6" localSheetId="8">#REF!</definedName>
    <definedName name="___DAT6" localSheetId="9">#REF!</definedName>
    <definedName name="___DAT6">#REF!</definedName>
    <definedName name="___DAT7" localSheetId="6">#REF!</definedName>
    <definedName name="___DAT7" localSheetId="7">#REF!</definedName>
    <definedName name="___DAT7" localSheetId="8">#REF!</definedName>
    <definedName name="___DAT7" localSheetId="9">#REF!</definedName>
    <definedName name="___DAT7">#REF!</definedName>
    <definedName name="___DAT8" localSheetId="6">#REF!</definedName>
    <definedName name="___DAT8" localSheetId="7">#REF!</definedName>
    <definedName name="___DAT8" localSheetId="8">#REF!</definedName>
    <definedName name="___DAT8" localSheetId="9">#REF!</definedName>
    <definedName name="___DAT8">#REF!</definedName>
    <definedName name="___DAT9" localSheetId="6">#REF!</definedName>
    <definedName name="___DAT9" localSheetId="7">#REF!</definedName>
    <definedName name="___DAT9" localSheetId="8">#REF!</definedName>
    <definedName name="___DAT9" localSheetId="9">#REF!</definedName>
    <definedName name="___DAT9">#REF!</definedName>
    <definedName name="___SP1" localSheetId="6">[3]FES!#REF!</definedName>
    <definedName name="___SP1" localSheetId="7">[3]FES!#REF!</definedName>
    <definedName name="___SP1" localSheetId="8">[3]FES!#REF!</definedName>
    <definedName name="___SP1" localSheetId="9">[3]FES!#REF!</definedName>
    <definedName name="___SP1">[3]FES!#REF!</definedName>
    <definedName name="___SP10" localSheetId="6">[3]FES!#REF!</definedName>
    <definedName name="___SP10" localSheetId="7">[3]FES!#REF!</definedName>
    <definedName name="___SP10" localSheetId="8">[3]FES!#REF!</definedName>
    <definedName name="___SP10" localSheetId="9">[3]FES!#REF!</definedName>
    <definedName name="___SP10">[3]FES!#REF!</definedName>
    <definedName name="___SP11" localSheetId="6">[3]FES!#REF!</definedName>
    <definedName name="___SP11" localSheetId="7">[3]FES!#REF!</definedName>
    <definedName name="___SP11" localSheetId="8">[3]FES!#REF!</definedName>
    <definedName name="___SP11" localSheetId="9">[3]FES!#REF!</definedName>
    <definedName name="___SP11">[3]FES!#REF!</definedName>
    <definedName name="___SP12" localSheetId="6">[3]FES!#REF!</definedName>
    <definedName name="___SP12" localSheetId="7">[3]FES!#REF!</definedName>
    <definedName name="___SP12" localSheetId="8">[3]FES!#REF!</definedName>
    <definedName name="___SP12" localSheetId="9">[3]FES!#REF!</definedName>
    <definedName name="___SP12">[3]FES!#REF!</definedName>
    <definedName name="___SP13" localSheetId="6">[3]FES!#REF!</definedName>
    <definedName name="___SP13" localSheetId="7">[3]FES!#REF!</definedName>
    <definedName name="___SP13" localSheetId="8">[3]FES!#REF!</definedName>
    <definedName name="___SP13" localSheetId="9">[3]FES!#REF!</definedName>
    <definedName name="___SP13">[3]FES!#REF!</definedName>
    <definedName name="___SP14" localSheetId="6">[3]FES!#REF!</definedName>
    <definedName name="___SP14" localSheetId="7">[3]FES!#REF!</definedName>
    <definedName name="___SP14" localSheetId="8">[3]FES!#REF!</definedName>
    <definedName name="___SP14" localSheetId="9">[3]FES!#REF!</definedName>
    <definedName name="___SP14">[3]FES!#REF!</definedName>
    <definedName name="___SP15" localSheetId="6">[3]FES!#REF!</definedName>
    <definedName name="___SP15" localSheetId="7">[3]FES!#REF!</definedName>
    <definedName name="___SP15" localSheetId="8">[3]FES!#REF!</definedName>
    <definedName name="___SP15" localSheetId="9">[3]FES!#REF!</definedName>
    <definedName name="___SP15">[3]FES!#REF!</definedName>
    <definedName name="___SP16" localSheetId="6">[3]FES!#REF!</definedName>
    <definedName name="___SP16" localSheetId="7">[3]FES!#REF!</definedName>
    <definedName name="___SP16" localSheetId="8">[3]FES!#REF!</definedName>
    <definedName name="___SP16" localSheetId="9">[3]FES!#REF!</definedName>
    <definedName name="___SP16">[3]FES!#REF!</definedName>
    <definedName name="___SP17" localSheetId="6">[3]FES!#REF!</definedName>
    <definedName name="___SP17" localSheetId="7">[3]FES!#REF!</definedName>
    <definedName name="___SP17" localSheetId="8">[3]FES!#REF!</definedName>
    <definedName name="___SP17" localSheetId="9">[3]FES!#REF!</definedName>
    <definedName name="___SP17">[3]FES!#REF!</definedName>
    <definedName name="___SP18" localSheetId="6">[3]FES!#REF!</definedName>
    <definedName name="___SP18" localSheetId="7">[3]FES!#REF!</definedName>
    <definedName name="___SP18" localSheetId="8">[3]FES!#REF!</definedName>
    <definedName name="___SP18" localSheetId="9">[3]FES!#REF!</definedName>
    <definedName name="___SP18">[3]FES!#REF!</definedName>
    <definedName name="___SP19" localSheetId="6">[3]FES!#REF!</definedName>
    <definedName name="___SP19" localSheetId="7">[3]FES!#REF!</definedName>
    <definedName name="___SP19" localSheetId="8">[3]FES!#REF!</definedName>
    <definedName name="___SP19" localSheetId="9">[3]FES!#REF!</definedName>
    <definedName name="___SP19">[3]FES!#REF!</definedName>
    <definedName name="___SP2" localSheetId="6">[3]FES!#REF!</definedName>
    <definedName name="___SP2" localSheetId="7">[3]FES!#REF!</definedName>
    <definedName name="___SP2" localSheetId="8">[3]FES!#REF!</definedName>
    <definedName name="___SP2" localSheetId="9">[3]FES!#REF!</definedName>
    <definedName name="___SP2">[3]FES!#REF!</definedName>
    <definedName name="___SP20" localSheetId="6">[3]FES!#REF!</definedName>
    <definedName name="___SP20" localSheetId="7">[3]FES!#REF!</definedName>
    <definedName name="___SP20" localSheetId="8">[3]FES!#REF!</definedName>
    <definedName name="___SP20" localSheetId="9">[3]FES!#REF!</definedName>
    <definedName name="___SP20">[3]FES!#REF!</definedName>
    <definedName name="___SP3" localSheetId="6">[3]FES!#REF!</definedName>
    <definedName name="___SP3" localSheetId="7">[3]FES!#REF!</definedName>
    <definedName name="___SP3" localSheetId="8">[3]FES!#REF!</definedName>
    <definedName name="___SP3" localSheetId="9">[3]FES!#REF!</definedName>
    <definedName name="___SP3">[3]FES!#REF!</definedName>
    <definedName name="___SP4" localSheetId="6">[3]FES!#REF!</definedName>
    <definedName name="___SP4" localSheetId="7">[3]FES!#REF!</definedName>
    <definedName name="___SP4" localSheetId="8">[3]FES!#REF!</definedName>
    <definedName name="___SP4" localSheetId="9">[3]FES!#REF!</definedName>
    <definedName name="___SP4">[3]FES!#REF!</definedName>
    <definedName name="___SP5" localSheetId="6">[3]FES!#REF!</definedName>
    <definedName name="___SP5" localSheetId="7">[3]FES!#REF!</definedName>
    <definedName name="___SP5" localSheetId="8">[3]FES!#REF!</definedName>
    <definedName name="___SP5" localSheetId="9">[3]FES!#REF!</definedName>
    <definedName name="___SP5">[3]FES!#REF!</definedName>
    <definedName name="___SP7" localSheetId="6">[3]FES!#REF!</definedName>
    <definedName name="___SP7" localSheetId="7">[3]FES!#REF!</definedName>
    <definedName name="___SP7" localSheetId="8">[3]FES!#REF!</definedName>
    <definedName name="___SP7" localSheetId="9">[3]FES!#REF!</definedName>
    <definedName name="___SP7">[3]FES!#REF!</definedName>
    <definedName name="___SP8" localSheetId="6">[3]FES!#REF!</definedName>
    <definedName name="___SP8" localSheetId="7">[3]FES!#REF!</definedName>
    <definedName name="___SP8" localSheetId="8">[3]FES!#REF!</definedName>
    <definedName name="___SP8" localSheetId="9">[3]FES!#REF!</definedName>
    <definedName name="___SP8">[3]FES!#REF!</definedName>
    <definedName name="___SP9" localSheetId="6">[3]FES!#REF!</definedName>
    <definedName name="___SP9" localSheetId="7">[3]FES!#REF!</definedName>
    <definedName name="___SP9" localSheetId="8">[3]FES!#REF!</definedName>
    <definedName name="___SP9" localSheetId="9">[3]FES!#REF!</definedName>
    <definedName name="___SP9">[3]FES!#REF!</definedName>
    <definedName name="__B270000" localSheetId="6">#REF!</definedName>
    <definedName name="__B270000" localSheetId="7">#REF!</definedName>
    <definedName name="__B270000" localSheetId="8">#REF!</definedName>
    <definedName name="__B270000" localSheetId="9">#REF!</definedName>
    <definedName name="__B270000">#REF!</definedName>
    <definedName name="__B650000" localSheetId="6">#REF!</definedName>
    <definedName name="__B650000" localSheetId="7">#REF!</definedName>
    <definedName name="__B650000" localSheetId="8">#REF!</definedName>
    <definedName name="__B650000" localSheetId="9">#REF!</definedName>
    <definedName name="__B650000">#REF!</definedName>
    <definedName name="__DAT6" localSheetId="6">#REF!</definedName>
    <definedName name="__DAT6" localSheetId="7">#REF!</definedName>
    <definedName name="__DAT6" localSheetId="8">#REF!</definedName>
    <definedName name="__DAT6" localSheetId="9">#REF!</definedName>
    <definedName name="__DAT6">#REF!</definedName>
    <definedName name="__DAT7" localSheetId="6">#REF!</definedName>
    <definedName name="__DAT7" localSheetId="7">#REF!</definedName>
    <definedName name="__DAT7" localSheetId="8">#REF!</definedName>
    <definedName name="__DAT7" localSheetId="9">#REF!</definedName>
    <definedName name="__DAT7">#REF!</definedName>
    <definedName name="__DAT8" localSheetId="6">#REF!</definedName>
    <definedName name="__DAT8" localSheetId="7">#REF!</definedName>
    <definedName name="__DAT8" localSheetId="8">#REF!</definedName>
    <definedName name="__DAT8" localSheetId="9">#REF!</definedName>
    <definedName name="__DAT8">#REF!</definedName>
    <definedName name="__DAT9" localSheetId="6">#REF!</definedName>
    <definedName name="__DAT9" localSheetId="7">#REF!</definedName>
    <definedName name="__DAT9" localSheetId="8">#REF!</definedName>
    <definedName name="__DAT9" localSheetId="9">#REF!</definedName>
    <definedName name="__DAT9">#REF!</definedName>
    <definedName name="__SP1" localSheetId="6">[1]FES!#REF!</definedName>
    <definedName name="__SP1" localSheetId="7">[1]FES!#REF!</definedName>
    <definedName name="__SP1" localSheetId="8">[1]FES!#REF!</definedName>
    <definedName name="__SP1" localSheetId="9">[1]FES!#REF!</definedName>
    <definedName name="__SP1">[1]FES!#REF!</definedName>
    <definedName name="__SP10" localSheetId="6">[1]FES!#REF!</definedName>
    <definedName name="__SP10" localSheetId="7">[1]FES!#REF!</definedName>
    <definedName name="__SP10" localSheetId="8">[1]FES!#REF!</definedName>
    <definedName name="__SP10" localSheetId="9">[1]FES!#REF!</definedName>
    <definedName name="__SP10">[1]FES!#REF!</definedName>
    <definedName name="__SP11" localSheetId="6">[1]FES!#REF!</definedName>
    <definedName name="__SP11" localSheetId="7">[1]FES!#REF!</definedName>
    <definedName name="__SP11" localSheetId="8">[1]FES!#REF!</definedName>
    <definedName name="__SP11" localSheetId="9">[1]FES!#REF!</definedName>
    <definedName name="__SP11">[1]FES!#REF!</definedName>
    <definedName name="__SP12" localSheetId="6">[1]FES!#REF!</definedName>
    <definedName name="__SP12" localSheetId="7">[1]FES!#REF!</definedName>
    <definedName name="__SP12" localSheetId="8">[1]FES!#REF!</definedName>
    <definedName name="__SP12" localSheetId="9">[1]FES!#REF!</definedName>
    <definedName name="__SP12">[1]FES!#REF!</definedName>
    <definedName name="__SP13" localSheetId="6">[1]FES!#REF!</definedName>
    <definedName name="__SP13" localSheetId="7">[1]FES!#REF!</definedName>
    <definedName name="__SP13" localSheetId="8">[1]FES!#REF!</definedName>
    <definedName name="__SP13" localSheetId="9">[1]FES!#REF!</definedName>
    <definedName name="__SP13">[1]FES!#REF!</definedName>
    <definedName name="__SP14" localSheetId="6">[1]FES!#REF!</definedName>
    <definedName name="__SP14" localSheetId="7">[1]FES!#REF!</definedName>
    <definedName name="__SP14" localSheetId="8">[1]FES!#REF!</definedName>
    <definedName name="__SP14" localSheetId="9">[1]FES!#REF!</definedName>
    <definedName name="__SP14">[1]FES!#REF!</definedName>
    <definedName name="__SP15" localSheetId="6">[1]FES!#REF!</definedName>
    <definedName name="__SP15" localSheetId="7">[1]FES!#REF!</definedName>
    <definedName name="__SP15" localSheetId="8">[1]FES!#REF!</definedName>
    <definedName name="__SP15" localSheetId="9">[1]FES!#REF!</definedName>
    <definedName name="__SP15">[1]FES!#REF!</definedName>
    <definedName name="__SP16" localSheetId="6">[1]FES!#REF!</definedName>
    <definedName name="__SP16" localSheetId="7">[1]FES!#REF!</definedName>
    <definedName name="__SP16" localSheetId="8">[1]FES!#REF!</definedName>
    <definedName name="__SP16" localSheetId="9">[1]FES!#REF!</definedName>
    <definedName name="__SP16">[1]FES!#REF!</definedName>
    <definedName name="__SP17" localSheetId="6">[1]FES!#REF!</definedName>
    <definedName name="__SP17" localSheetId="7">[1]FES!#REF!</definedName>
    <definedName name="__SP17" localSheetId="8">[1]FES!#REF!</definedName>
    <definedName name="__SP17" localSheetId="9">[1]FES!#REF!</definedName>
    <definedName name="__SP17">[1]FES!#REF!</definedName>
    <definedName name="__SP18" localSheetId="6">[1]FES!#REF!</definedName>
    <definedName name="__SP18" localSheetId="7">[1]FES!#REF!</definedName>
    <definedName name="__SP18" localSheetId="8">[1]FES!#REF!</definedName>
    <definedName name="__SP18" localSheetId="9">[1]FES!#REF!</definedName>
    <definedName name="__SP18">[1]FES!#REF!</definedName>
    <definedName name="__SP19" localSheetId="6">[1]FES!#REF!</definedName>
    <definedName name="__SP19" localSheetId="7">[1]FES!#REF!</definedName>
    <definedName name="__SP19" localSheetId="8">[1]FES!#REF!</definedName>
    <definedName name="__SP19" localSheetId="9">[1]FES!#REF!</definedName>
    <definedName name="__SP19">[1]FES!#REF!</definedName>
    <definedName name="__SP2" localSheetId="6">[1]FES!#REF!</definedName>
    <definedName name="__SP2" localSheetId="7">[1]FES!#REF!</definedName>
    <definedName name="__SP2" localSheetId="8">[1]FES!#REF!</definedName>
    <definedName name="__SP2" localSheetId="9">[1]FES!#REF!</definedName>
    <definedName name="__SP2">[1]FES!#REF!</definedName>
    <definedName name="__SP20" localSheetId="6">[1]FES!#REF!</definedName>
    <definedName name="__SP20" localSheetId="7">[1]FES!#REF!</definedName>
    <definedName name="__SP20" localSheetId="8">[1]FES!#REF!</definedName>
    <definedName name="__SP20" localSheetId="9">[1]FES!#REF!</definedName>
    <definedName name="__SP20">[1]FES!#REF!</definedName>
    <definedName name="__SP3" localSheetId="6">[1]FES!#REF!</definedName>
    <definedName name="__SP3" localSheetId="7">[1]FES!#REF!</definedName>
    <definedName name="__SP3" localSheetId="8">[1]FES!#REF!</definedName>
    <definedName name="__SP3" localSheetId="9">[1]FES!#REF!</definedName>
    <definedName name="__SP3">[1]FES!#REF!</definedName>
    <definedName name="__SP4" localSheetId="6">[1]FES!#REF!</definedName>
    <definedName name="__SP4" localSheetId="7">[1]FES!#REF!</definedName>
    <definedName name="__SP4" localSheetId="8">[1]FES!#REF!</definedName>
    <definedName name="__SP4" localSheetId="9">[1]FES!#REF!</definedName>
    <definedName name="__SP4">[1]FES!#REF!</definedName>
    <definedName name="__SP5" localSheetId="6">[1]FES!#REF!</definedName>
    <definedName name="__SP5" localSheetId="7">[1]FES!#REF!</definedName>
    <definedName name="__SP5" localSheetId="8">[1]FES!#REF!</definedName>
    <definedName name="__SP5" localSheetId="9">[1]FES!#REF!</definedName>
    <definedName name="__SP5">[1]FES!#REF!</definedName>
    <definedName name="__SP7" localSheetId="6">[1]FES!#REF!</definedName>
    <definedName name="__SP7" localSheetId="7">[1]FES!#REF!</definedName>
    <definedName name="__SP7" localSheetId="8">[1]FES!#REF!</definedName>
    <definedName name="__SP7" localSheetId="9">[1]FES!#REF!</definedName>
    <definedName name="__SP7">[1]FES!#REF!</definedName>
    <definedName name="__SP8" localSheetId="6">[1]FES!#REF!</definedName>
    <definedName name="__SP8" localSheetId="7">[1]FES!#REF!</definedName>
    <definedName name="__SP8" localSheetId="8">[1]FES!#REF!</definedName>
    <definedName name="__SP8" localSheetId="9">[1]FES!#REF!</definedName>
    <definedName name="__SP8">[1]FES!#REF!</definedName>
    <definedName name="__SP9" localSheetId="6">[1]FES!#REF!</definedName>
    <definedName name="__SP9" localSheetId="7">[1]FES!#REF!</definedName>
    <definedName name="__SP9" localSheetId="8">[1]FES!#REF!</definedName>
    <definedName name="__SP9" localSheetId="9">[1]FES!#REF!</definedName>
    <definedName name="__SP9">[1]FES!#REF!</definedName>
    <definedName name="_1__123Graph_ACHART_4" localSheetId="6" hidden="1">#REF!</definedName>
    <definedName name="_1__123Graph_ACHART_4" localSheetId="7" hidden="1">#REF!</definedName>
    <definedName name="_1__123Graph_ACHART_4" localSheetId="8" hidden="1">#REF!</definedName>
    <definedName name="_1__123Graph_ACHART_4" localSheetId="9" hidden="1">#REF!</definedName>
    <definedName name="_1__123Graph_ACHART_4" localSheetId="12" hidden="1">#REF!</definedName>
    <definedName name="_1__123Graph_ACHART_4" localSheetId="1" hidden="1">#REF!</definedName>
    <definedName name="_1__123Graph_ACHART_4" localSheetId="2" hidden="1">#REF!</definedName>
    <definedName name="_1__123Graph_ACHART_4" localSheetId="3" hidden="1">#REF!</definedName>
    <definedName name="_1__123Graph_ACHART_4" localSheetId="4" hidden="1">#REF!</definedName>
    <definedName name="_1__123Graph_ACHART_4" localSheetId="13" hidden="1">#REF!</definedName>
    <definedName name="_1__123Graph_ACHART_4" localSheetId="0" hidden="1">#REF!</definedName>
    <definedName name="_1__123Graph_ACHART_4" localSheetId="11" hidden="1">#REF!</definedName>
    <definedName name="_1__123Graph_ACHART_4" localSheetId="5" hidden="1">#REF!</definedName>
    <definedName name="_1__123Graph_ACHART_4" hidden="1">#REF!</definedName>
    <definedName name="_10__123Graph_AChart_14G" hidden="1">'[4]Treatment Summary'!$F$145:$Q$145</definedName>
    <definedName name="_100__123Graph_BChart_33G" localSheetId="6" hidden="1">'[5]Treatment Summary'!#REF!</definedName>
    <definedName name="_100__123Graph_BChart_33G" localSheetId="7" hidden="1">'[5]Treatment Summary'!#REF!</definedName>
    <definedName name="_100__123Graph_BChart_33G" localSheetId="8" hidden="1">'[5]Treatment Summary'!#REF!</definedName>
    <definedName name="_100__123Graph_BChart_33G" localSheetId="9" hidden="1">'[5]Treatment Summary'!#REF!</definedName>
    <definedName name="_100__123Graph_BChart_33G" localSheetId="12" hidden="1">'[5]Treatment Summary'!#REF!</definedName>
    <definedName name="_100__123Graph_BChart_33G" localSheetId="1" hidden="1">'[5]Treatment Summary'!#REF!</definedName>
    <definedName name="_100__123Graph_BChart_33G" localSheetId="2" hidden="1">'[5]Treatment Summary'!#REF!</definedName>
    <definedName name="_100__123Graph_BChart_33G" localSheetId="3" hidden="1">'[5]Treatment Summary'!#REF!</definedName>
    <definedName name="_100__123Graph_BChart_33G" localSheetId="4" hidden="1">'[5]Treatment Summary'!#REF!</definedName>
    <definedName name="_100__123Graph_BChart_33G" localSheetId="13" hidden="1">'[5]Treatment Summary'!#REF!</definedName>
    <definedName name="_100__123Graph_BChart_33G" localSheetId="0" hidden="1">'[5]Treatment Summary'!#REF!</definedName>
    <definedName name="_100__123Graph_BChart_33G" localSheetId="11" hidden="1">'[5]Treatment Summary'!#REF!</definedName>
    <definedName name="_100__123Graph_BChart_33G" localSheetId="5" hidden="1">'[5]Treatment Summary'!#REF!</definedName>
    <definedName name="_100__123Graph_BChart_33G" hidden="1">'[5]Treatment Summary'!#REF!</definedName>
    <definedName name="_102__123Graph_BChart_34G" localSheetId="6" hidden="1">'[5]Treatment Summary'!#REF!</definedName>
    <definedName name="_102__123Graph_BChart_34G" localSheetId="7" hidden="1">'[5]Treatment Summary'!#REF!</definedName>
    <definedName name="_102__123Graph_BChart_34G" localSheetId="8" hidden="1">'[5]Treatment Summary'!#REF!</definedName>
    <definedName name="_102__123Graph_BChart_34G" localSheetId="9" hidden="1">'[5]Treatment Summary'!#REF!</definedName>
    <definedName name="_102__123Graph_BChart_34G" localSheetId="12" hidden="1">'[5]Treatment Summary'!#REF!</definedName>
    <definedName name="_102__123Graph_BChart_34G" localSheetId="1" hidden="1">'[5]Treatment Summary'!#REF!</definedName>
    <definedName name="_102__123Graph_BChart_34G" localSheetId="2" hidden="1">'[5]Treatment Summary'!#REF!</definedName>
    <definedName name="_102__123Graph_BChart_34G" localSheetId="3" hidden="1">'[5]Treatment Summary'!#REF!</definedName>
    <definedName name="_102__123Graph_BChart_34G" localSheetId="4" hidden="1">'[5]Treatment Summary'!#REF!</definedName>
    <definedName name="_102__123Graph_BChart_34G" localSheetId="13" hidden="1">'[5]Treatment Summary'!#REF!</definedName>
    <definedName name="_102__123Graph_BChart_34G" localSheetId="0" hidden="1">'[5]Treatment Summary'!#REF!</definedName>
    <definedName name="_102__123Graph_BChart_34G" localSheetId="11" hidden="1">'[5]Treatment Summary'!#REF!</definedName>
    <definedName name="_102__123Graph_BChart_34G" localSheetId="5" hidden="1">'[5]Treatment Summary'!#REF!</definedName>
    <definedName name="_102__123Graph_BChart_34G" hidden="1">'[5]Treatment Summary'!#REF!</definedName>
    <definedName name="_104__123Graph_BChart_35G" hidden="1">'[4]Treatment Summary'!$F$217:$Q$217</definedName>
    <definedName name="_106__123Graph_BChart_37G" hidden="1">'[4]Treatment Summary'!$F$223:$Q$223</definedName>
    <definedName name="_108__123Graph_BChart_38G" hidden="1">'[4]Treatment Summary'!$F$231:$Q$231</definedName>
    <definedName name="_110__123Graph_BChart_39G" hidden="1">'[4]Treatment Summary'!$F$244:$Q$244</definedName>
    <definedName name="_112__123Graph_BChart_40G" hidden="1">'[4]Treatment Summary'!$F$257:$Q$257</definedName>
    <definedName name="_114__123Graph_BChart_41G" hidden="1">'[4]Treatment Summary'!$F$270:$Q$270</definedName>
    <definedName name="_116__123Graph_BChart_42G" hidden="1">'[4]Treatment Summary'!$F$278:$Q$278</definedName>
    <definedName name="_118__123Graph_BChart_43G" hidden="1">'[4]Treatment Summary'!$F$279:$Q$279</definedName>
    <definedName name="_12__123Graph_AChart_15G" hidden="1">'[4]Treatment Summary'!$F$147:$Q$147</definedName>
    <definedName name="_120__123Graph_CChart_25G" hidden="1">'[4]Treatment Summary'!$F$160:$Q$160</definedName>
    <definedName name="_122__123Graph_CChart_26G" hidden="1">'[4]Treatment Summary'!$F$166:$Q$166</definedName>
    <definedName name="_124__123Graph_CChart_27G" hidden="1">'[4]Treatment Summary'!$F$174:$Q$174</definedName>
    <definedName name="_126__123Graph_CChart_28G" hidden="1">'[4]Treatment Summary'!$F$180:$Q$180</definedName>
    <definedName name="_128__123Graph_CChart_29G" hidden="1">'[4]Treatment Summary'!$F$187:$Q$187</definedName>
    <definedName name="_130__123Graph_CChart_30G" hidden="1">'[4]Treatment Summary'!$F$199:$Q$199</definedName>
    <definedName name="_132__123Graph_CChart_32G" hidden="1">'[4]Treatment Summary'!$F$212:$Q$212</definedName>
    <definedName name="_134__123Graph_CChart_33G" localSheetId="6" hidden="1">'[5]Treatment Summary'!#REF!</definedName>
    <definedName name="_134__123Graph_CChart_33G" localSheetId="7" hidden="1">'[5]Treatment Summary'!#REF!</definedName>
    <definedName name="_134__123Graph_CChart_33G" localSheetId="8" hidden="1">'[5]Treatment Summary'!#REF!</definedName>
    <definedName name="_134__123Graph_CChart_33G" localSheetId="9" hidden="1">'[5]Treatment Summary'!#REF!</definedName>
    <definedName name="_134__123Graph_CChart_33G" localSheetId="12" hidden="1">'[5]Treatment Summary'!#REF!</definedName>
    <definedName name="_134__123Graph_CChart_33G" localSheetId="1" hidden="1">'[5]Treatment Summary'!#REF!</definedName>
    <definedName name="_134__123Graph_CChart_33G" localSheetId="2" hidden="1">'[5]Treatment Summary'!#REF!</definedName>
    <definedName name="_134__123Graph_CChart_33G" localSheetId="3" hidden="1">'[5]Treatment Summary'!#REF!</definedName>
    <definedName name="_134__123Graph_CChart_33G" localSheetId="4" hidden="1">'[5]Treatment Summary'!#REF!</definedName>
    <definedName name="_134__123Graph_CChart_33G" localSheetId="13" hidden="1">'[5]Treatment Summary'!#REF!</definedName>
    <definedName name="_134__123Graph_CChart_33G" localSheetId="0" hidden="1">'[5]Treatment Summary'!#REF!</definedName>
    <definedName name="_134__123Graph_CChart_33G" localSheetId="11" hidden="1">'[5]Treatment Summary'!#REF!</definedName>
    <definedName name="_134__123Graph_CChart_33G" localSheetId="5" hidden="1">'[5]Treatment Summary'!#REF!</definedName>
    <definedName name="_134__123Graph_CChart_33G" hidden="1">'[5]Treatment Summary'!#REF!</definedName>
    <definedName name="_136__123Graph_CChart_34G" hidden="1">'[4]Treatment Summary'!$F$214:$Q$214</definedName>
    <definedName name="_138__123Graph_CChart_35G" hidden="1">'[4]Treatment Summary'!$F$218:$Q$218</definedName>
    <definedName name="_14__123Graph_AChart_16G" hidden="1">'[4]Treatment Summary'!$F$144:$Q$144</definedName>
    <definedName name="_140__123Graph_CChart_38G" hidden="1">'[4]Treatment Summary'!$F$232:$Q$232</definedName>
    <definedName name="_142__123Graph_CChart_39G" hidden="1">'[4]Treatment Summary'!$F$245:$Q$245</definedName>
    <definedName name="_144__123Graph_CChart_40G" hidden="1">'[4]Treatment Summary'!$F$258:$Q$258</definedName>
    <definedName name="_146__123Graph_CChart_42G" hidden="1">'[4]Treatment Summary'!$F$281:$Q$281</definedName>
    <definedName name="_148__123Graph_CChart_43G" hidden="1">'[4]Treatment Summary'!$F$282:$Q$282</definedName>
    <definedName name="_150__123Graph_DChart_25G" hidden="1">'[4]Treatment Summary'!$F$161:$Q$161</definedName>
    <definedName name="_152__123Graph_DChart_26G" hidden="1">'[4]Treatment Summary'!$F$167:$Q$167</definedName>
    <definedName name="_154__123Graph_DChart_27G" hidden="1">'[4]Treatment Summary'!$F$175:$Q$175</definedName>
    <definedName name="_156__123Graph_DChart_38G" hidden="1">'[4]Treatment Summary'!$F$233:$Q$233</definedName>
    <definedName name="_158__123Graph_DChart_39G" hidden="1">'[4]Treatment Summary'!$F$246:$Q$246</definedName>
    <definedName name="_16__123Graph_AChart_17G" hidden="1">'[4]Treatment Summary'!$F$140:$Q$140</definedName>
    <definedName name="_160__123Graph_DChart_40G" hidden="1">'[4]Treatment Summary'!$F$259:$Q$259</definedName>
    <definedName name="_162__123Graph_DChart_42G" hidden="1">'[4]Treatment Summary'!$F$284:$Q$284</definedName>
    <definedName name="_164__123Graph_DChart_43G" hidden="1">'[4]Treatment Summary'!$F$285:$Q$285</definedName>
    <definedName name="_166__123Graph_EChart_26G" hidden="1">'[4]Treatment Summary'!$F$169:$Q$169</definedName>
    <definedName name="_168__123Graph_EChart_38G" hidden="1">'[4]Treatment Summary'!$F$234:$Q$234</definedName>
    <definedName name="_170__123Graph_EChart_39G" hidden="1">'[4]Treatment Summary'!$F$247:$Q$247</definedName>
    <definedName name="_172__123Graph_EChart_40G" hidden="1">'[4]Treatment Summary'!$F$260:$Q$260</definedName>
    <definedName name="_174__123Graph_EChart_42G" hidden="1">'[4]Treatment Summary'!$F$287:$Q$287</definedName>
    <definedName name="_176__123Graph_EChart_43G" hidden="1">'[4]Treatment Summary'!$F$288:$Q$288</definedName>
    <definedName name="_178__123Graph_FChart_38G" hidden="1">'[4]Treatment Summary'!$F$235:$Q$235</definedName>
    <definedName name="_18__123Graph_AChart_18G" hidden="1">'[4]Treatment Summary'!$F$143:$Q$143</definedName>
    <definedName name="_180__123Graph_FChart_39G" hidden="1">'[4]Treatment Summary'!$F$248:$Q$248</definedName>
    <definedName name="_182__123Graph_FChart_40G" hidden="1">'[4]Treatment Summary'!$F$261:$Q$261</definedName>
    <definedName name="_184__123Graph_XChart_10G" hidden="1">'[4]Treatment Summary'!$F$3:$Q$3</definedName>
    <definedName name="_186__123Graph_XChart_11G" hidden="1">'[4]Treatment Summary'!$F$138:$Q$138</definedName>
    <definedName name="_188__123Graph_XChart_12G" hidden="1">'[4]Treatment Summary'!$F$138:$Q$138</definedName>
    <definedName name="_190__123Graph_XChart_13G" hidden="1">'[4]Treatment Summary'!$F$138:$Q$138</definedName>
    <definedName name="_192__123Graph_XChart_14G" hidden="1">'[4]Treatment Summary'!$F$138:$Q$138</definedName>
    <definedName name="_194__123Graph_XChart_15G" hidden="1">'[4]Treatment Summary'!$F$138:$Q$138</definedName>
    <definedName name="_196__123Graph_XChart_16G" hidden="1">'[4]Treatment Summary'!$F$138:$Q$138</definedName>
    <definedName name="_198__123Graph_XChart_17G" hidden="1">'[4]Treatment Summary'!$F$138:$Q$138</definedName>
    <definedName name="_2__123Graph_AChart_10G" hidden="1">'[4]Treatment Summary'!$F$70:$Q$70</definedName>
    <definedName name="_2__123Graph_XCHART_3" localSheetId="6" hidden="1">#REF!</definedName>
    <definedName name="_2__123Graph_XCHART_3" localSheetId="7" hidden="1">#REF!</definedName>
    <definedName name="_2__123Graph_XCHART_3" localSheetId="8" hidden="1">#REF!</definedName>
    <definedName name="_2__123Graph_XCHART_3" localSheetId="9" hidden="1">#REF!</definedName>
    <definedName name="_2__123Graph_XCHART_3" localSheetId="12" hidden="1">#REF!</definedName>
    <definedName name="_2__123Graph_XCHART_3" localSheetId="1" hidden="1">#REF!</definedName>
    <definedName name="_2__123Graph_XCHART_3" localSheetId="2" hidden="1">#REF!</definedName>
    <definedName name="_2__123Graph_XCHART_3" localSheetId="3" hidden="1">#REF!</definedName>
    <definedName name="_2__123Graph_XCHART_3" localSheetId="4" hidden="1">#REF!</definedName>
    <definedName name="_2__123Graph_XCHART_3" localSheetId="13" hidden="1">#REF!</definedName>
    <definedName name="_2__123Graph_XCHART_3" localSheetId="0" hidden="1">#REF!</definedName>
    <definedName name="_2__123Graph_XCHART_3" localSheetId="11" hidden="1">#REF!</definedName>
    <definedName name="_2__123Graph_XCHART_3" localSheetId="5" hidden="1">#REF!</definedName>
    <definedName name="_2__123Graph_XCHART_3" hidden="1">#REF!</definedName>
    <definedName name="_20__123Graph_AChart_19G" hidden="1">'[4]Treatment Summary'!$F$152:$Q$152</definedName>
    <definedName name="_200__123Graph_XChart_18G" hidden="1">'[4]Treatment Summary'!$F$138:$Q$138</definedName>
    <definedName name="_202__123Graph_XChart_20G" hidden="1">'[4]Treatment Summary'!$F$138:$Q$138</definedName>
    <definedName name="_204__123Graph_XChart_21G" hidden="1">'[4]Treatment Summary'!$F$138:$Q$138</definedName>
    <definedName name="_206__123Graph_XChart_22G" hidden="1">'[4]Treatment Summary'!$F$155:$Q$155</definedName>
    <definedName name="_208__123Graph_XChart_23G" hidden="1">'[4]Treatment Summary'!$F$138:$Q$138</definedName>
    <definedName name="_210__123Graph_XChart_25G" hidden="1">'[4]Treatment Summary'!$F$138:$Q$138</definedName>
    <definedName name="_212__123Graph_XChart_26G" hidden="1">'[4]Treatment Summary'!$F$138:$Q$138</definedName>
    <definedName name="_214__123Graph_XChart_27G" hidden="1">'[4]Treatment Summary'!$F$138:$Q$138</definedName>
    <definedName name="_216__123Graph_XChart_28G" hidden="1">'[4]Treatment Summary'!$F$138:$Q$138</definedName>
    <definedName name="_218__123Graph_XChart_29G" hidden="1">'[4]Treatment Summary'!$F$138:$Q$138</definedName>
    <definedName name="_22__123Graph_AChart_20G" hidden="1">'[4]Treatment Summary'!$F$153:$Q$153</definedName>
    <definedName name="_220__123Graph_XChart_30G" hidden="1">'[4]Treatment Summary'!$F$138:$Q$138</definedName>
    <definedName name="_222__123Graph_XChart_31G" hidden="1">'[4]Treatment Summary'!$F$138:$Q$138</definedName>
    <definedName name="_224__123Graph_XChart_32G" hidden="1">'[4]Treatment Summary'!$F$138:$Q$138</definedName>
    <definedName name="_226__123Graph_XChart_33G" hidden="1">'[4]Treatment Summary'!$F$138:$Q$138</definedName>
    <definedName name="_228__123Graph_XChart_34G" hidden="1">'[4]Treatment Summary'!$F$138:$Q$138</definedName>
    <definedName name="_230__123Graph_XChart_35G" hidden="1">'[4]Treatment Summary'!$F$138:$Q$138</definedName>
    <definedName name="_232__123Graph_XChart_36G" hidden="1">'[4]Treatment Summary'!$F$138:$Q$138</definedName>
    <definedName name="_234__123Graph_XChart_37G" hidden="1">'[4]Treatment Summary'!$F$138:$Q$138</definedName>
    <definedName name="_236__123Graph_XChart_38G" hidden="1">'[4]Treatment Summary'!$F$138:$Q$138</definedName>
    <definedName name="_238__123Graph_XChart_39G" hidden="1">'[4]Treatment Summary'!$F$138:$Q$138</definedName>
    <definedName name="_24__123Graph_AChart_21G" hidden="1">'[4]Treatment Summary'!$F$154:$Q$154</definedName>
    <definedName name="_240__123Graph_XChart_40G" hidden="1">'[4]Treatment Summary'!$F$138:$Q$138</definedName>
    <definedName name="_242__123Graph_XChart_41G" hidden="1">'[4]Treatment Summary'!$F$138:$Q$138</definedName>
    <definedName name="_244__123Graph_XChart_42G" hidden="1">'[4]Treatment Summary'!$F$138:$Q$138</definedName>
    <definedName name="_246__123Graph_XChart_43G" hidden="1">'[4]Treatment Summary'!$F$138:$Q$138</definedName>
    <definedName name="_248__123Graph_XChart_4G" hidden="1">'[4]Treatment Summary'!$F$3:$Q$3</definedName>
    <definedName name="_250__123Graph_XChart_5G" hidden="1">'[4]Treatment Summary'!$F$3:$Q$3</definedName>
    <definedName name="_252__123Graph_XChart_6G" hidden="1">'[4]Treatment Summary'!$F$3:$Q$3</definedName>
    <definedName name="_254__123Graph_XChart_7G" hidden="1">'[4]Treatment Summary'!$F$3:$Q$3</definedName>
    <definedName name="_256__123Graph_XChart_8G" hidden="1">'[4]Treatment Summary'!$F$3:$Q$3</definedName>
    <definedName name="_258__123Graph_XChart_9G" hidden="1">'[4]Treatment Summary'!$F$3:$Q$3</definedName>
    <definedName name="_26__123Graph_AChart_22G" hidden="1">'[4]Treatment Summary'!$F$155:$Q$155</definedName>
    <definedName name="_28__123Graph_AChart_23G" hidden="1">'[4]Treatment Summary'!$F$148:$Q$148</definedName>
    <definedName name="_3__123Graph_XCHART_4" localSheetId="6" hidden="1">#REF!</definedName>
    <definedName name="_3__123Graph_XCHART_4" localSheetId="7" hidden="1">#REF!</definedName>
    <definedName name="_3__123Graph_XCHART_4" localSheetId="8" hidden="1">#REF!</definedName>
    <definedName name="_3__123Graph_XCHART_4" localSheetId="9" hidden="1">#REF!</definedName>
    <definedName name="_3__123Graph_XCHART_4" localSheetId="12" hidden="1">#REF!</definedName>
    <definedName name="_3__123Graph_XCHART_4" localSheetId="1" hidden="1">#REF!</definedName>
    <definedName name="_3__123Graph_XCHART_4" localSheetId="2" hidden="1">#REF!</definedName>
    <definedName name="_3__123Graph_XCHART_4" localSheetId="3" hidden="1">#REF!</definedName>
    <definedName name="_3__123Graph_XCHART_4" localSheetId="4" hidden="1">#REF!</definedName>
    <definedName name="_3__123Graph_XCHART_4" localSheetId="13" hidden="1">#REF!</definedName>
    <definedName name="_3__123Graph_XCHART_4" localSheetId="0" hidden="1">#REF!</definedName>
    <definedName name="_3__123Graph_XCHART_4" localSheetId="11" hidden="1">#REF!</definedName>
    <definedName name="_3__123Graph_XCHART_4" localSheetId="5" hidden="1">#REF!</definedName>
    <definedName name="_3__123Graph_XCHART_4" hidden="1">#REF!</definedName>
    <definedName name="_30__123Graph_AChart_24G" hidden="1">'[4]Treatment Summary'!$F$149:$Q$149</definedName>
    <definedName name="_32__123Graph_AChart_25G" hidden="1">'[4]Treatment Summary'!$F$158:$Q$158</definedName>
    <definedName name="_34__123Graph_AChart_26G" hidden="1">'[4]Treatment Summary'!$F$164:$Q$164</definedName>
    <definedName name="_36__123Graph_AChart_27G" hidden="1">'[4]Treatment Summary'!$F$172:$Q$172</definedName>
    <definedName name="_38__123Graph_AChart_28G" hidden="1">'[4]Treatment Summary'!$F$178:$Q$178</definedName>
    <definedName name="_4__123Graph_AChart_11G" hidden="1">'[4]Treatment Summary'!$F$142:$Q$142</definedName>
    <definedName name="_40__123Graph_AChart_29G" hidden="1">'[4]Treatment Summary'!$F$190:$Q$190</definedName>
    <definedName name="_42__123Graph_AChart_30G" hidden="1">'[4]Treatment Summary'!$F$197:$Q$197</definedName>
    <definedName name="_44__123Graph_AChart_31G" hidden="1">'[4]Treatment Summary'!$F$204:$Q$204</definedName>
    <definedName name="_46__123Graph_AChart_32G" hidden="1">'[4]Treatment Summary'!$F$210:$Q$210</definedName>
    <definedName name="_48__123Graph_AChart_33G" localSheetId="6" hidden="1">'[5]Treatment Summary'!#REF!</definedName>
    <definedName name="_48__123Graph_AChart_33G" localSheetId="7" hidden="1">'[5]Treatment Summary'!#REF!</definedName>
    <definedName name="_48__123Graph_AChart_33G" localSheetId="8" hidden="1">'[5]Treatment Summary'!#REF!</definedName>
    <definedName name="_48__123Graph_AChart_33G" localSheetId="9" hidden="1">'[5]Treatment Summary'!#REF!</definedName>
    <definedName name="_48__123Graph_AChart_33G" localSheetId="12" hidden="1">'[5]Treatment Summary'!#REF!</definedName>
    <definedName name="_48__123Graph_AChart_33G" localSheetId="1" hidden="1">'[5]Treatment Summary'!#REF!</definedName>
    <definedName name="_48__123Graph_AChart_33G" localSheetId="2" hidden="1">'[5]Treatment Summary'!#REF!</definedName>
    <definedName name="_48__123Graph_AChart_33G" localSheetId="3" hidden="1">'[5]Treatment Summary'!#REF!</definedName>
    <definedName name="_48__123Graph_AChart_33G" localSheetId="4" hidden="1">'[5]Treatment Summary'!#REF!</definedName>
    <definedName name="_48__123Graph_AChart_33G" localSheetId="13" hidden="1">'[5]Treatment Summary'!#REF!</definedName>
    <definedName name="_48__123Graph_AChart_33G" localSheetId="0" hidden="1">'[5]Treatment Summary'!#REF!</definedName>
    <definedName name="_48__123Graph_AChart_33G" localSheetId="11" hidden="1">'[5]Treatment Summary'!#REF!</definedName>
    <definedName name="_48__123Graph_AChart_33G" localSheetId="5" hidden="1">'[5]Treatment Summary'!#REF!</definedName>
    <definedName name="_48__123Graph_AChart_33G" hidden="1">'[5]Treatment Summary'!#REF!</definedName>
    <definedName name="_50__123Graph_AChart_34G" localSheetId="6" hidden="1">'[5]Treatment Summary'!#REF!</definedName>
    <definedName name="_50__123Graph_AChart_34G" localSheetId="7" hidden="1">'[5]Treatment Summary'!#REF!</definedName>
    <definedName name="_50__123Graph_AChart_34G" localSheetId="8" hidden="1">'[5]Treatment Summary'!#REF!</definedName>
    <definedName name="_50__123Graph_AChart_34G" localSheetId="9" hidden="1">'[5]Treatment Summary'!#REF!</definedName>
    <definedName name="_50__123Graph_AChart_34G" localSheetId="12" hidden="1">'[5]Treatment Summary'!#REF!</definedName>
    <definedName name="_50__123Graph_AChart_34G" localSheetId="1" hidden="1">'[5]Treatment Summary'!#REF!</definedName>
    <definedName name="_50__123Graph_AChart_34G" localSheetId="2" hidden="1">'[5]Treatment Summary'!#REF!</definedName>
    <definedName name="_50__123Graph_AChart_34G" localSheetId="3" hidden="1">'[5]Treatment Summary'!#REF!</definedName>
    <definedName name="_50__123Graph_AChart_34G" localSheetId="4" hidden="1">'[5]Treatment Summary'!#REF!</definedName>
    <definedName name="_50__123Graph_AChart_34G" localSheetId="13" hidden="1">'[5]Treatment Summary'!#REF!</definedName>
    <definedName name="_50__123Graph_AChart_34G" localSheetId="0" hidden="1">'[5]Treatment Summary'!#REF!</definedName>
    <definedName name="_50__123Graph_AChart_34G" localSheetId="11" hidden="1">'[5]Treatment Summary'!#REF!</definedName>
    <definedName name="_50__123Graph_AChart_34G" localSheetId="5" hidden="1">'[5]Treatment Summary'!#REF!</definedName>
    <definedName name="_50__123Graph_AChart_34G" hidden="1">'[5]Treatment Summary'!#REF!</definedName>
    <definedName name="_52__123Graph_AChart_35G" hidden="1">'[4]Treatment Summary'!$F$216:$Q$216</definedName>
    <definedName name="_54__123Graph_AChart_36G" hidden="1">'[4]Treatment Summary'!$F$220:$Q$220</definedName>
    <definedName name="_56__123Graph_AChart_37G" hidden="1">'[4]Treatment Summary'!$F$222:$Q$222</definedName>
    <definedName name="_58__123Graph_AChart_38G" hidden="1">'[4]Treatment Summary'!$F$230:$Q$230</definedName>
    <definedName name="_6__123Graph_AChart_12G" hidden="1">'[4]Treatment Summary'!$F$146:$Q$146</definedName>
    <definedName name="_60__123Graph_AChart_39G" hidden="1">'[4]Treatment Summary'!$F$243:$Q$243</definedName>
    <definedName name="_62__123Graph_AChart_3G" hidden="1">'[4]Treatment Summary'!$F$8:$Q$8</definedName>
    <definedName name="_64__123Graph_AChart_40G" hidden="1">'[4]Treatment Summary'!$F$256:$Q$256</definedName>
    <definedName name="_66__123Graph_AChart_41G" hidden="1">'[4]Treatment Summary'!$F$269:$Q$269</definedName>
    <definedName name="_68__123Graph_AChart_42G" hidden="1">'[4]Treatment Summary'!$F$275:$Q$275</definedName>
    <definedName name="_70__123Graph_AChart_43G" hidden="1">'[4]Treatment Summary'!$F$276:$Q$276</definedName>
    <definedName name="_72__123Graph_AChart_4G" hidden="1">'[4]Treatment Summary'!$F$11:$Q$11</definedName>
    <definedName name="_74__123Graph_AChart_5G" hidden="1">'[4]Treatment Summary'!$F$13:$Q$13</definedName>
    <definedName name="_76__123Graph_AChart_6G" hidden="1">'[4]Treatment Summary'!$F$15:$Q$15</definedName>
    <definedName name="_78__123Graph_AChart_7G" hidden="1">'[4]Treatment Summary'!$F$18:$Q$18</definedName>
    <definedName name="_8__123Graph_AChart_13G" hidden="1">'[4]Treatment Summary'!$F$141:$Q$141</definedName>
    <definedName name="_80__123Graph_AChart_8G" hidden="1">'[4]Treatment Summary'!$F$16:$Q$16</definedName>
    <definedName name="_82__123Graph_AChart_9G" localSheetId="6" hidden="1">'[5]Treatment Summary'!#REF!</definedName>
    <definedName name="_82__123Graph_AChart_9G" localSheetId="7" hidden="1">'[5]Treatment Summary'!#REF!</definedName>
    <definedName name="_82__123Graph_AChart_9G" localSheetId="8" hidden="1">'[5]Treatment Summary'!#REF!</definedName>
    <definedName name="_82__123Graph_AChart_9G" localSheetId="9" hidden="1">'[5]Treatment Summary'!#REF!</definedName>
    <definedName name="_82__123Graph_AChart_9G" localSheetId="12" hidden="1">'[5]Treatment Summary'!#REF!</definedName>
    <definedName name="_82__123Graph_AChart_9G" localSheetId="1" hidden="1">'[5]Treatment Summary'!#REF!</definedName>
    <definedName name="_82__123Graph_AChart_9G" localSheetId="2" hidden="1">'[5]Treatment Summary'!#REF!</definedName>
    <definedName name="_82__123Graph_AChart_9G" localSheetId="3" hidden="1">'[5]Treatment Summary'!#REF!</definedName>
    <definedName name="_82__123Graph_AChart_9G" localSheetId="4" hidden="1">'[5]Treatment Summary'!#REF!</definedName>
    <definedName name="_82__123Graph_AChart_9G" localSheetId="13" hidden="1">'[5]Treatment Summary'!#REF!</definedName>
    <definedName name="_82__123Graph_AChart_9G" localSheetId="0" hidden="1">'[5]Treatment Summary'!#REF!</definedName>
    <definedName name="_82__123Graph_AChart_9G" localSheetId="11" hidden="1">'[5]Treatment Summary'!#REF!</definedName>
    <definedName name="_82__123Graph_AChart_9G" localSheetId="5" hidden="1">'[5]Treatment Summary'!#REF!</definedName>
    <definedName name="_82__123Graph_AChart_9G" hidden="1">'[5]Treatment Summary'!#REF!</definedName>
    <definedName name="_84__123Graph_BChart_25G" hidden="1">'[4]Treatment Summary'!$F$159:$Q$159</definedName>
    <definedName name="_86__123Graph_BChart_26G" hidden="1">'[4]Treatment Summary'!$F$165:$Q$165</definedName>
    <definedName name="_88__123Graph_BChart_27G" hidden="1">'[4]Treatment Summary'!$F$173:$Q$173</definedName>
    <definedName name="_90__123Graph_BChart_28G" hidden="1">'[4]Treatment Summary'!$F$179:$Q$179</definedName>
    <definedName name="_92__123Graph_BChart_29G" hidden="1">'[4]Treatment Summary'!$F$193:$Q$193</definedName>
    <definedName name="_94__123Graph_BChart_30G" hidden="1">'[4]Treatment Summary'!$F$198:$Q$198</definedName>
    <definedName name="_96__123Graph_BChart_31G" hidden="1">'[4]Treatment Summary'!$F$206:$Q$206</definedName>
    <definedName name="_98__123Graph_BChart_32G" hidden="1">'[4]Treatment Summary'!$F$211:$Q$211</definedName>
    <definedName name="_a" localSheetId="6">#REF!</definedName>
    <definedName name="_a" localSheetId="7">#REF!</definedName>
    <definedName name="_a" localSheetId="8">#REF!</definedName>
    <definedName name="_a" localSheetId="9">#REF!</definedName>
    <definedName name="_a">#REF!</definedName>
    <definedName name="_a_13" localSheetId="6">#REF!</definedName>
    <definedName name="_a_13" localSheetId="7">#REF!</definedName>
    <definedName name="_a_13" localSheetId="8">#REF!</definedName>
    <definedName name="_a_13" localSheetId="9">#REF!</definedName>
    <definedName name="_a_13">#REF!</definedName>
    <definedName name="_a_16" localSheetId="6">#REF!</definedName>
    <definedName name="_a_16" localSheetId="7">#REF!</definedName>
    <definedName name="_a_16" localSheetId="8">#REF!</definedName>
    <definedName name="_a_16" localSheetId="9">#REF!</definedName>
    <definedName name="_a_16">#REF!</definedName>
    <definedName name="_a_18" localSheetId="6">#REF!</definedName>
    <definedName name="_a_18" localSheetId="7">#REF!</definedName>
    <definedName name="_a_18" localSheetId="8">#REF!</definedName>
    <definedName name="_a_18" localSheetId="9">#REF!</definedName>
    <definedName name="_a_18">#REF!</definedName>
    <definedName name="_B270000" localSheetId="6">#REF!</definedName>
    <definedName name="_B270000" localSheetId="7">#REF!</definedName>
    <definedName name="_B270000" localSheetId="8">#REF!</definedName>
    <definedName name="_B270000" localSheetId="9">#REF!</definedName>
    <definedName name="_B270000">#REF!</definedName>
    <definedName name="_B650000" localSheetId="6">#REF!</definedName>
    <definedName name="_B650000" localSheetId="7">#REF!</definedName>
    <definedName name="_B650000" localSheetId="8">#REF!</definedName>
    <definedName name="_B650000" localSheetId="9">#REF!</definedName>
    <definedName name="_B650000">#REF!</definedName>
    <definedName name="_DAT1" localSheetId="6">'[2]ЦХЛ 2004'!#REF!</definedName>
    <definedName name="_DAT1" localSheetId="7">'[2]ЦХЛ 2004'!#REF!</definedName>
    <definedName name="_DAT1" localSheetId="8">'[2]ЦХЛ 2004'!#REF!</definedName>
    <definedName name="_DAT1" localSheetId="9">'[2]ЦХЛ 2004'!#REF!</definedName>
    <definedName name="_DAT1">'[2]ЦХЛ 2004'!#REF!</definedName>
    <definedName name="_DAT2" localSheetId="6">'[2]ЦХЛ 2004'!#REF!</definedName>
    <definedName name="_DAT2" localSheetId="7">'[2]ЦХЛ 2004'!#REF!</definedName>
    <definedName name="_DAT2" localSheetId="8">'[2]ЦХЛ 2004'!#REF!</definedName>
    <definedName name="_DAT2" localSheetId="9">'[2]ЦХЛ 2004'!#REF!</definedName>
    <definedName name="_DAT2">'[2]ЦХЛ 2004'!#REF!</definedName>
    <definedName name="_DAT3" localSheetId="6">'[2]ЦХЛ 2004'!#REF!</definedName>
    <definedName name="_DAT3" localSheetId="7">'[2]ЦХЛ 2004'!#REF!</definedName>
    <definedName name="_DAT3" localSheetId="8">'[2]ЦХЛ 2004'!#REF!</definedName>
    <definedName name="_DAT3" localSheetId="9">'[2]ЦХЛ 2004'!#REF!</definedName>
    <definedName name="_DAT3">'[2]ЦХЛ 2004'!#REF!</definedName>
    <definedName name="_DAT4" localSheetId="6">'[2]ЦХЛ 2004'!#REF!</definedName>
    <definedName name="_DAT4" localSheetId="7">'[2]ЦХЛ 2004'!#REF!</definedName>
    <definedName name="_DAT4" localSheetId="8">'[2]ЦХЛ 2004'!#REF!</definedName>
    <definedName name="_DAT4" localSheetId="9">'[2]ЦХЛ 2004'!#REF!</definedName>
    <definedName name="_DAT4">'[2]ЦХЛ 2004'!#REF!</definedName>
    <definedName name="_DAT5" localSheetId="6">'[2]ЦХЛ 2004'!#REF!</definedName>
    <definedName name="_DAT5" localSheetId="7">'[2]ЦХЛ 2004'!#REF!</definedName>
    <definedName name="_DAT5" localSheetId="8">'[2]ЦХЛ 2004'!#REF!</definedName>
    <definedName name="_DAT5" localSheetId="9">'[2]ЦХЛ 2004'!#REF!</definedName>
    <definedName name="_DAT5">'[2]ЦХЛ 2004'!#REF!</definedName>
    <definedName name="_DAT6" localSheetId="6">#REF!</definedName>
    <definedName name="_DAT6" localSheetId="7">#REF!</definedName>
    <definedName name="_DAT6" localSheetId="8">#REF!</definedName>
    <definedName name="_DAT6" localSheetId="9">#REF!</definedName>
    <definedName name="_DAT6">#REF!</definedName>
    <definedName name="_DAT7" localSheetId="6">#REF!</definedName>
    <definedName name="_DAT7" localSheetId="7">#REF!</definedName>
    <definedName name="_DAT7" localSheetId="8">#REF!</definedName>
    <definedName name="_DAT7" localSheetId="9">#REF!</definedName>
    <definedName name="_DAT7">#REF!</definedName>
    <definedName name="_DAT8" localSheetId="6">#REF!</definedName>
    <definedName name="_DAT8" localSheetId="7">#REF!</definedName>
    <definedName name="_DAT8" localSheetId="8">#REF!</definedName>
    <definedName name="_DAT8" localSheetId="9">#REF!</definedName>
    <definedName name="_DAT8">#REF!</definedName>
    <definedName name="_DAT9" localSheetId="6">#REF!</definedName>
    <definedName name="_DAT9" localSheetId="7">#REF!</definedName>
    <definedName name="_DAT9" localSheetId="8">#REF!</definedName>
    <definedName name="_DAT9" localSheetId="9">#REF!</definedName>
    <definedName name="_DAT9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12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13" hidden="1">#REF!</definedName>
    <definedName name="_Key2" localSheetId="0" hidden="1">#REF!</definedName>
    <definedName name="_Key2" localSheetId="11" hidden="1">#REF!</definedName>
    <definedName name="_Key2" localSheetId="5" hidden="1">#REF!</definedName>
    <definedName name="_Key2" hidden="1">#REF!</definedName>
    <definedName name="_m" localSheetId="6">#REF!</definedName>
    <definedName name="_m" localSheetId="7">#REF!</definedName>
    <definedName name="_m" localSheetId="8">#REF!</definedName>
    <definedName name="_m" localSheetId="9">#REF!</definedName>
    <definedName name="_m">#REF!</definedName>
    <definedName name="_m_13" localSheetId="6">#REF!</definedName>
    <definedName name="_m_13" localSheetId="7">#REF!</definedName>
    <definedName name="_m_13" localSheetId="8">#REF!</definedName>
    <definedName name="_m_13" localSheetId="9">#REF!</definedName>
    <definedName name="_m_13">#REF!</definedName>
    <definedName name="_m_16" localSheetId="6">#REF!</definedName>
    <definedName name="_m_16" localSheetId="7">#REF!</definedName>
    <definedName name="_m_16" localSheetId="8">#REF!</definedName>
    <definedName name="_m_16" localSheetId="9">#REF!</definedName>
    <definedName name="_m_16">#REF!</definedName>
    <definedName name="_m_18" localSheetId="6">#REF!</definedName>
    <definedName name="_m_18" localSheetId="7">#REF!</definedName>
    <definedName name="_m_18" localSheetId="8">#REF!</definedName>
    <definedName name="_m_18" localSheetId="9">#REF!</definedName>
    <definedName name="_m_18">#REF!</definedName>
    <definedName name="_m_list">[6]Dictionaries!$B$2:$B$13</definedName>
    <definedName name="_n" localSheetId="6">#REF!</definedName>
    <definedName name="_n" localSheetId="7">#REF!</definedName>
    <definedName name="_n" localSheetId="8">#REF!</definedName>
    <definedName name="_n" localSheetId="9">#REF!</definedName>
    <definedName name="_n">#REF!</definedName>
    <definedName name="_n_13" localSheetId="6">#REF!</definedName>
    <definedName name="_n_13" localSheetId="7">#REF!</definedName>
    <definedName name="_n_13" localSheetId="8">#REF!</definedName>
    <definedName name="_n_13" localSheetId="9">#REF!</definedName>
    <definedName name="_n_13">#REF!</definedName>
    <definedName name="_n_16" localSheetId="6">#REF!</definedName>
    <definedName name="_n_16" localSheetId="7">#REF!</definedName>
    <definedName name="_n_16" localSheetId="8">#REF!</definedName>
    <definedName name="_n_16" localSheetId="9">#REF!</definedName>
    <definedName name="_n_16">#REF!</definedName>
    <definedName name="_n_18" localSheetId="6">#REF!</definedName>
    <definedName name="_n_18" localSheetId="7">#REF!</definedName>
    <definedName name="_n_18" localSheetId="8">#REF!</definedName>
    <definedName name="_n_18" localSheetId="9">#REF!</definedName>
    <definedName name="_n_18">#REF!</definedName>
    <definedName name="_o" localSheetId="6">#REF!</definedName>
    <definedName name="_o" localSheetId="7">#REF!</definedName>
    <definedName name="_o" localSheetId="8">#REF!</definedName>
    <definedName name="_o" localSheetId="9">#REF!</definedName>
    <definedName name="_o">#REF!</definedName>
    <definedName name="_o_13" localSheetId="6">#REF!</definedName>
    <definedName name="_o_13" localSheetId="7">#REF!</definedName>
    <definedName name="_o_13" localSheetId="8">#REF!</definedName>
    <definedName name="_o_13" localSheetId="9">#REF!</definedName>
    <definedName name="_o_13">#REF!</definedName>
    <definedName name="_o_16" localSheetId="6">#REF!</definedName>
    <definedName name="_o_16" localSheetId="7">#REF!</definedName>
    <definedName name="_o_16" localSheetId="8">#REF!</definedName>
    <definedName name="_o_16" localSheetId="9">#REF!</definedName>
    <definedName name="_o_16">#REF!</definedName>
    <definedName name="_o_18" localSheetId="6">#REF!</definedName>
    <definedName name="_o_18" localSheetId="7">#REF!</definedName>
    <definedName name="_o_18" localSheetId="8">#REF!</definedName>
    <definedName name="_o_18" localSheetId="9">#REF!</definedName>
    <definedName name="_o_18">#REF!</definedName>
    <definedName name="_Order2" hidden="1">0</definedName>
    <definedName name="_period">[7]Содержание!$D$4</definedName>
    <definedName name="_Regression_Out" localSheetId="6" hidden="1">#REF!</definedName>
    <definedName name="_Regression_Out" localSheetId="7" hidden="1">#REF!</definedName>
    <definedName name="_Regression_Out" localSheetId="8" hidden="1">#REF!</definedName>
    <definedName name="_Regression_Out" localSheetId="9" hidden="1">#REF!</definedName>
    <definedName name="_Regression_Out" localSheetId="12" hidden="1">#REF!</definedName>
    <definedName name="_Regression_Out" localSheetId="1" hidden="1">#REF!</definedName>
    <definedName name="_Regression_Out" localSheetId="2" hidden="1">#REF!</definedName>
    <definedName name="_Regression_Out" localSheetId="3" hidden="1">#REF!</definedName>
    <definedName name="_Regression_Out" localSheetId="4" hidden="1">#REF!</definedName>
    <definedName name="_Regression_Out" localSheetId="13" hidden="1">#REF!</definedName>
    <definedName name="_Regression_Out" localSheetId="0" hidden="1">#REF!</definedName>
    <definedName name="_Regression_Out" localSheetId="11" hidden="1">#REF!</definedName>
    <definedName name="_Regression_Out" localSheetId="5" hidden="1">#REF!</definedName>
    <definedName name="_Regression_Out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localSheetId="12" hidden="1">#REF!</definedName>
    <definedName name="_Regression_X" localSheetId="1" hidden="1">#REF!</definedName>
    <definedName name="_Regression_X" localSheetId="2" hidden="1">#REF!</definedName>
    <definedName name="_Regression_X" localSheetId="3" hidden="1">#REF!</definedName>
    <definedName name="_Regression_X" localSheetId="4" hidden="1">#REF!</definedName>
    <definedName name="_Regression_X" localSheetId="13" hidden="1">#REF!</definedName>
    <definedName name="_Regression_X" localSheetId="0" hidden="1">#REF!</definedName>
    <definedName name="_Regression_X" localSheetId="11" hidden="1">#REF!</definedName>
    <definedName name="_Regression_X" localSheetId="5" hidden="1">#REF!</definedName>
    <definedName name="_Regression_X" hidden="1">#REF!</definedName>
    <definedName name="_Regression_Y" localSheetId="6" hidden="1">#REF!</definedName>
    <definedName name="_Regression_Y" localSheetId="7" hidden="1">#REF!</definedName>
    <definedName name="_Regression_Y" localSheetId="8" hidden="1">#REF!</definedName>
    <definedName name="_Regression_Y" localSheetId="9" hidden="1">#REF!</definedName>
    <definedName name="_Regression_Y" localSheetId="12" hidden="1">#REF!</definedName>
    <definedName name="_Regression_Y" localSheetId="1" hidden="1">#REF!</definedName>
    <definedName name="_Regression_Y" localSheetId="2" hidden="1">#REF!</definedName>
    <definedName name="_Regression_Y" localSheetId="3" hidden="1">#REF!</definedName>
    <definedName name="_Regression_Y" localSheetId="4" hidden="1">#REF!</definedName>
    <definedName name="_Regression_Y" localSheetId="13" hidden="1">#REF!</definedName>
    <definedName name="_Regression_Y" localSheetId="0" hidden="1">#REF!</definedName>
    <definedName name="_Regression_Y" localSheetId="11" hidden="1">#REF!</definedName>
    <definedName name="_Regression_Y" localSheetId="5" hidden="1">#REF!</definedName>
    <definedName name="_Regression_Y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2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13" hidden="1">#REF!</definedName>
    <definedName name="_Sort" localSheetId="0" hidden="1">#REF!</definedName>
    <definedName name="_Sort" localSheetId="11" hidden="1">#REF!</definedName>
    <definedName name="_Sort" localSheetId="5" hidden="1">#REF!</definedName>
    <definedName name="_Sort" hidden="1">#REF!</definedName>
    <definedName name="_SP1" localSheetId="6">[1]FES!#REF!</definedName>
    <definedName name="_SP1" localSheetId="7">[1]FES!#REF!</definedName>
    <definedName name="_SP1" localSheetId="8">[1]FES!#REF!</definedName>
    <definedName name="_SP1" localSheetId="9">[1]FES!#REF!</definedName>
    <definedName name="_SP1">[1]FES!#REF!</definedName>
    <definedName name="_SP10" localSheetId="6">[1]FES!#REF!</definedName>
    <definedName name="_SP10" localSheetId="7">[1]FES!#REF!</definedName>
    <definedName name="_SP10" localSheetId="8">[1]FES!#REF!</definedName>
    <definedName name="_SP10" localSheetId="9">[1]FES!#REF!</definedName>
    <definedName name="_SP10">[1]FES!#REF!</definedName>
    <definedName name="_SP11" localSheetId="6">[1]FES!#REF!</definedName>
    <definedName name="_SP11" localSheetId="7">[1]FES!#REF!</definedName>
    <definedName name="_SP11" localSheetId="8">[1]FES!#REF!</definedName>
    <definedName name="_SP11" localSheetId="9">[1]FES!#REF!</definedName>
    <definedName name="_SP11">[1]FES!#REF!</definedName>
    <definedName name="_SP12" localSheetId="6">[1]FES!#REF!</definedName>
    <definedName name="_SP12" localSheetId="7">[1]FES!#REF!</definedName>
    <definedName name="_SP12" localSheetId="8">[1]FES!#REF!</definedName>
    <definedName name="_SP12" localSheetId="9">[1]FES!#REF!</definedName>
    <definedName name="_SP12">[1]FES!#REF!</definedName>
    <definedName name="_SP13" localSheetId="6">[1]FES!#REF!</definedName>
    <definedName name="_SP13" localSheetId="7">[1]FES!#REF!</definedName>
    <definedName name="_SP13" localSheetId="8">[1]FES!#REF!</definedName>
    <definedName name="_SP13" localSheetId="9">[1]FES!#REF!</definedName>
    <definedName name="_SP13">[1]FES!#REF!</definedName>
    <definedName name="_SP14" localSheetId="6">[1]FES!#REF!</definedName>
    <definedName name="_SP14" localSheetId="7">[1]FES!#REF!</definedName>
    <definedName name="_SP14" localSheetId="8">[1]FES!#REF!</definedName>
    <definedName name="_SP14" localSheetId="9">[1]FES!#REF!</definedName>
    <definedName name="_SP14">[1]FES!#REF!</definedName>
    <definedName name="_SP15" localSheetId="6">[1]FES!#REF!</definedName>
    <definedName name="_SP15" localSheetId="7">[1]FES!#REF!</definedName>
    <definedName name="_SP15" localSheetId="8">[1]FES!#REF!</definedName>
    <definedName name="_SP15" localSheetId="9">[1]FES!#REF!</definedName>
    <definedName name="_SP15">[1]FES!#REF!</definedName>
    <definedName name="_SP16" localSheetId="6">[1]FES!#REF!</definedName>
    <definedName name="_SP16" localSheetId="7">[1]FES!#REF!</definedName>
    <definedName name="_SP16" localSheetId="8">[1]FES!#REF!</definedName>
    <definedName name="_SP16" localSheetId="9">[1]FES!#REF!</definedName>
    <definedName name="_SP16">[1]FES!#REF!</definedName>
    <definedName name="_SP17" localSheetId="6">[1]FES!#REF!</definedName>
    <definedName name="_SP17" localSheetId="7">[1]FES!#REF!</definedName>
    <definedName name="_SP17" localSheetId="8">[1]FES!#REF!</definedName>
    <definedName name="_SP17" localSheetId="9">[1]FES!#REF!</definedName>
    <definedName name="_SP17">[1]FES!#REF!</definedName>
    <definedName name="_SP18" localSheetId="6">[1]FES!#REF!</definedName>
    <definedName name="_SP18" localSheetId="7">[1]FES!#REF!</definedName>
    <definedName name="_SP18" localSheetId="8">[1]FES!#REF!</definedName>
    <definedName name="_SP18" localSheetId="9">[1]FES!#REF!</definedName>
    <definedName name="_SP18">[1]FES!#REF!</definedName>
    <definedName name="_SP19" localSheetId="6">[1]FES!#REF!</definedName>
    <definedName name="_SP19" localSheetId="7">[1]FES!#REF!</definedName>
    <definedName name="_SP19" localSheetId="8">[1]FES!#REF!</definedName>
    <definedName name="_SP19" localSheetId="9">[1]FES!#REF!</definedName>
    <definedName name="_SP19">[1]FES!#REF!</definedName>
    <definedName name="_SP2" localSheetId="6">[1]FES!#REF!</definedName>
    <definedName name="_SP2" localSheetId="7">[1]FES!#REF!</definedName>
    <definedName name="_SP2" localSheetId="8">[1]FES!#REF!</definedName>
    <definedName name="_SP2" localSheetId="9">[1]FES!#REF!</definedName>
    <definedName name="_SP2">[1]FES!#REF!</definedName>
    <definedName name="_SP20" localSheetId="6">[1]FES!#REF!</definedName>
    <definedName name="_SP20" localSheetId="7">[1]FES!#REF!</definedName>
    <definedName name="_SP20" localSheetId="8">[1]FES!#REF!</definedName>
    <definedName name="_SP20" localSheetId="9">[1]FES!#REF!</definedName>
    <definedName name="_SP20">[1]FES!#REF!</definedName>
    <definedName name="_SP3" localSheetId="6">[1]FES!#REF!</definedName>
    <definedName name="_SP3" localSheetId="7">[1]FES!#REF!</definedName>
    <definedName name="_SP3" localSheetId="8">[1]FES!#REF!</definedName>
    <definedName name="_SP3" localSheetId="9">[1]FES!#REF!</definedName>
    <definedName name="_SP3">[1]FES!#REF!</definedName>
    <definedName name="_SP4" localSheetId="6">[1]FES!#REF!</definedName>
    <definedName name="_SP4" localSheetId="7">[1]FES!#REF!</definedName>
    <definedName name="_SP4" localSheetId="8">[1]FES!#REF!</definedName>
    <definedName name="_SP4" localSheetId="9">[1]FES!#REF!</definedName>
    <definedName name="_SP4">[1]FES!#REF!</definedName>
    <definedName name="_SP5" localSheetId="6">[1]FES!#REF!</definedName>
    <definedName name="_SP5" localSheetId="7">[1]FES!#REF!</definedName>
    <definedName name="_SP5" localSheetId="8">[1]FES!#REF!</definedName>
    <definedName name="_SP5" localSheetId="9">[1]FES!#REF!</definedName>
    <definedName name="_SP5">[1]FES!#REF!</definedName>
    <definedName name="_SP7" localSheetId="6">[1]FES!#REF!</definedName>
    <definedName name="_SP7" localSheetId="7">[1]FES!#REF!</definedName>
    <definedName name="_SP7" localSheetId="8">[1]FES!#REF!</definedName>
    <definedName name="_SP7" localSheetId="9">[1]FES!#REF!</definedName>
    <definedName name="_SP7">[1]FES!#REF!</definedName>
    <definedName name="_SP8" localSheetId="6">[1]FES!#REF!</definedName>
    <definedName name="_SP8" localSheetId="7">[1]FES!#REF!</definedName>
    <definedName name="_SP8" localSheetId="8">[1]FES!#REF!</definedName>
    <definedName name="_SP8" localSheetId="9">[1]FES!#REF!</definedName>
    <definedName name="_SP8">[1]FES!#REF!</definedName>
    <definedName name="_SP9" localSheetId="6">[1]FES!#REF!</definedName>
    <definedName name="_SP9" localSheetId="7">[1]FES!#REF!</definedName>
    <definedName name="_SP9" localSheetId="8">[1]FES!#REF!</definedName>
    <definedName name="_SP9" localSheetId="9">[1]FES!#REF!</definedName>
    <definedName name="_SP9">[1]FES!#REF!</definedName>
    <definedName name="_wrn2" localSheetId="12" hidden="1">{"glc1",#N/A,FALSE,"GLC";"glc2",#N/A,FALSE,"GLC";"glc3",#N/A,FALSE,"GLC";"glc4",#N/A,FALSE,"GLC";"glc5",#N/A,FALSE,"GLC"}</definedName>
    <definedName name="_wrn2" localSheetId="5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year">[7]Содержание!$D$5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12" hidden="1">#REF!</definedName>
    <definedName name="_xlnm._FilterDatabase" localSheetId="1" hidden="1">#REF!</definedName>
    <definedName name="_xlnm._FilterDatabase" localSheetId="2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13" hidden="1">#REF!</definedName>
    <definedName name="_xlnm._FilterDatabase" localSheetId="0" hidden="1">#REF!</definedName>
    <definedName name="_xlnm._FilterDatabase" localSheetId="11" hidden="1">#REF!</definedName>
    <definedName name="_xlnm._FilterDatabase" localSheetId="5" hidden="1">#REF!</definedName>
    <definedName name="_xlnm._FilterDatabase" hidden="1">#REF!</definedName>
    <definedName name="anscount" hidden="1">2</definedName>
    <definedName name="as">#N/A</definedName>
    <definedName name="AS2DocOpenMode" hidden="1">"AS2DocumentEdit"</definedName>
    <definedName name="AS2ReportLS" hidden="1">1</definedName>
    <definedName name="AS2SyncStepLS" hidden="1">0</definedName>
    <definedName name="AS2TickmarkLS" localSheetId="6" hidden="1">#REF!</definedName>
    <definedName name="AS2TickmarkLS" localSheetId="7" hidden="1">#REF!</definedName>
    <definedName name="AS2TickmarkLS" localSheetId="8" hidden="1">#REF!</definedName>
    <definedName name="AS2TickmarkLS" localSheetId="9" hidden="1">#REF!</definedName>
    <definedName name="AS2TickmarkLS" hidden="1">#REF!</definedName>
    <definedName name="AS2VersionLS" hidden="1">300</definedName>
    <definedName name="assel" localSheetId="6">#REF!</definedName>
    <definedName name="assel" localSheetId="7">#REF!</definedName>
    <definedName name="assel" localSheetId="8">#REF!</definedName>
    <definedName name="assel" localSheetId="9">#REF!</definedName>
    <definedName name="assel">#REF!</definedName>
    <definedName name="B" localSheetId="6">[8]д.7.001!#REF!</definedName>
    <definedName name="B" localSheetId="7">[8]д.7.001!#REF!</definedName>
    <definedName name="B" localSheetId="8">[8]д.7.001!#REF!</definedName>
    <definedName name="B" localSheetId="9">[8]д.7.001!#REF!</definedName>
    <definedName name="B">[8]д.7.001!#REF!</definedName>
    <definedName name="B6500000" localSheetId="6">#REF!</definedName>
    <definedName name="B6500000" localSheetId="7">#REF!</definedName>
    <definedName name="B6500000" localSheetId="8">#REF!</definedName>
    <definedName name="B6500000" localSheetId="9">#REF!</definedName>
    <definedName name="B6500000">#REF!</definedName>
    <definedName name="BaseInsPrem">'[9]I KEY INFORMATION'!$E$63</definedName>
    <definedName name="BaseYr">'[9]I KEY INFORMATION'!$I$20</definedName>
    <definedName name="BasicFee">'[9]I KEY INFORMATION'!$I$299</definedName>
    <definedName name="Beg_Bal" localSheetId="6">#REF!</definedName>
    <definedName name="Beg_Bal" localSheetId="7">#REF!</definedName>
    <definedName name="Beg_Bal" localSheetId="8">#REF!</definedName>
    <definedName name="Beg_Bal" localSheetId="9">#REF!</definedName>
    <definedName name="Beg_Bal">#REF!</definedName>
    <definedName name="BG_Del" hidden="1">15</definedName>
    <definedName name="BG_Ins" hidden="1">4</definedName>
    <definedName name="BG_Mod" hidden="1">6</definedName>
    <definedName name="BLPH1" hidden="1">'[10]Read me first'!$D$15</definedName>
    <definedName name="BLPH2" hidden="1">'[10]Read me first'!$Z$15</definedName>
    <definedName name="cad" localSheetId="6">#REF!</definedName>
    <definedName name="cad" localSheetId="7">#REF!</definedName>
    <definedName name="cad" localSheetId="8">#REF!</definedName>
    <definedName name="cad" localSheetId="9">#REF!</definedName>
    <definedName name="cad" localSheetId="12">#REF!</definedName>
    <definedName name="cad" localSheetId="1">#REF!</definedName>
    <definedName name="cad" localSheetId="2">#REF!</definedName>
    <definedName name="cad" localSheetId="3">#REF!</definedName>
    <definedName name="cad" localSheetId="4">#REF!</definedName>
    <definedName name="cad" localSheetId="13">#REF!</definedName>
    <definedName name="cad" localSheetId="0">#REF!</definedName>
    <definedName name="cad" localSheetId="11">#REF!</definedName>
    <definedName name="cad" localSheetId="5">#REF!</definedName>
    <definedName name="cad">#REF!</definedName>
    <definedName name="CAPEX" localSheetId="6">#REF!</definedName>
    <definedName name="CAPEX" localSheetId="7">#REF!</definedName>
    <definedName name="CAPEX" localSheetId="8">#REF!</definedName>
    <definedName name="CAPEX" localSheetId="9">#REF!</definedName>
    <definedName name="CAPEX" localSheetId="12">#REF!</definedName>
    <definedName name="CAPEX" localSheetId="1">#REF!</definedName>
    <definedName name="CAPEX" localSheetId="2">#REF!</definedName>
    <definedName name="CAPEX" localSheetId="3">#REF!</definedName>
    <definedName name="CAPEX" localSheetId="4">#REF!</definedName>
    <definedName name="CAPEX" localSheetId="13">#REF!</definedName>
    <definedName name="CAPEX" localSheetId="0">#REF!</definedName>
    <definedName name="CAPEX" localSheetId="11">#REF!</definedName>
    <definedName name="CAPEX" localSheetId="5">#REF!</definedName>
    <definedName name="CAPEX">#REF!</definedName>
    <definedName name="cd" localSheetId="6">#REF!</definedName>
    <definedName name="cd" localSheetId="7">#REF!</definedName>
    <definedName name="cd" localSheetId="8">#REF!</definedName>
    <definedName name="cd" localSheetId="9">#REF!</definedName>
    <definedName name="cd">#REF!</definedName>
    <definedName name="cis" localSheetId="6">#REF!</definedName>
    <definedName name="cis" localSheetId="7">#REF!</definedName>
    <definedName name="cis" localSheetId="8">#REF!</definedName>
    <definedName name="cis" localSheetId="9">#REF!</definedName>
    <definedName name="cis">#REF!</definedName>
    <definedName name="ClDate">[11]Info!$G$6</definedName>
    <definedName name="CompOt">#N/A</definedName>
    <definedName name="CompOt_11">#N/A</definedName>
    <definedName name="CompOt_12">#N/A</definedName>
    <definedName name="CompOt_13">#N/A</definedName>
    <definedName name="CompOt_14">#N/A</definedName>
    <definedName name="CompOt_16">#N/A</definedName>
    <definedName name="CompOt_17">#N/A</definedName>
    <definedName name="CompOt_18">#N/A</definedName>
    <definedName name="CompOt_19">#N/A</definedName>
    <definedName name="CompRas">#N/A</definedName>
    <definedName name="CompRas_11">#N/A</definedName>
    <definedName name="CompRas_12">#N/A</definedName>
    <definedName name="CompRas_13">#N/A</definedName>
    <definedName name="CompRas_14">#N/A</definedName>
    <definedName name="CompRas_16">#N/A</definedName>
    <definedName name="CompRas_17">#N/A</definedName>
    <definedName name="CompRas_18">#N/A</definedName>
    <definedName name="CompRas_19">#N/A</definedName>
    <definedName name="compras1">#N/A</definedName>
    <definedName name="csnab" localSheetId="6">#REF!</definedName>
    <definedName name="csnab" localSheetId="7">#REF!</definedName>
    <definedName name="csnab" localSheetId="8">#REF!</definedName>
    <definedName name="csnab" localSheetId="9">#REF!</definedName>
    <definedName name="csnab">#REF!</definedName>
    <definedName name="ct" localSheetId="6">#REF!</definedName>
    <definedName name="ct" localSheetId="7">#REF!</definedName>
    <definedName name="ct" localSheetId="8">#REF!</definedName>
    <definedName name="ct" localSheetId="9">#REF!</definedName>
    <definedName name="ct">#REF!</definedName>
    <definedName name="CurrAppl">'[9]I KEY INFORMATION'!$I$15</definedName>
    <definedName name="cv" localSheetId="6">#REF!</definedName>
    <definedName name="cv" localSheetId="7">#REF!</definedName>
    <definedName name="cv" localSheetId="8">#REF!</definedName>
    <definedName name="cv" localSheetId="9">#REF!</definedName>
    <definedName name="cv">#REF!</definedName>
    <definedName name="cvo" localSheetId="6">#REF!</definedName>
    <definedName name="cvo" localSheetId="7">#REF!</definedName>
    <definedName name="cvo" localSheetId="8">#REF!</definedName>
    <definedName name="cvo" localSheetId="9">#REF!</definedName>
    <definedName name="cvo">#REF!</definedName>
    <definedName name="czhs" localSheetId="6">#REF!</definedName>
    <definedName name="czhs" localSheetId="7">#REF!</definedName>
    <definedName name="czhs" localSheetId="8">#REF!</definedName>
    <definedName name="czhs" localSheetId="9">#REF!</definedName>
    <definedName name="czhs">#REF!</definedName>
    <definedName name="Data">[12]sheet0!$C$2</definedName>
    <definedName name="ddd">#N/A</definedName>
    <definedName name="det">#N/A</definedName>
    <definedName name="dgfhd">'[13]I KEY INFORMATION'!$I$299</definedName>
    <definedName name="DistrRate1">'[9]I KEY INFORMATION'!$I$359</definedName>
    <definedName name="DistrRate2">'[9]I KEY INFORMATION'!$I$360</definedName>
    <definedName name="End_Bal" localSheetId="6">#REF!</definedName>
    <definedName name="End_Bal" localSheetId="7">#REF!</definedName>
    <definedName name="End_Bal" localSheetId="8">#REF!</definedName>
    <definedName name="End_Bal" localSheetId="9">#REF!</definedName>
    <definedName name="End_Bal">#REF!</definedName>
    <definedName name="ew">#N/A</definedName>
    <definedName name="ew_11">#N/A</definedName>
    <definedName name="ew_12">#N/A</definedName>
    <definedName name="ew_13">#N/A</definedName>
    <definedName name="ew_14">#N/A</definedName>
    <definedName name="ew_16">#N/A</definedName>
    <definedName name="ew_17">#N/A</definedName>
    <definedName name="ew_18">#N/A</definedName>
    <definedName name="ew_19">#N/A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9">#REF!</definedName>
    <definedName name="Excel_BuiltIn_Print_Area_2">#REF!</definedName>
    <definedName name="Excel_BuiltIn_Print_Area_4" localSheetId="6">#REF!</definedName>
    <definedName name="Excel_BuiltIn_Print_Area_4" localSheetId="7">#REF!</definedName>
    <definedName name="Excel_BuiltIn_Print_Area_4" localSheetId="8">#REF!</definedName>
    <definedName name="Excel_BuiltIn_Print_Area_4" localSheetId="9">#REF!</definedName>
    <definedName name="Excel_BuiltIn_Print_Area_4">#REF!</definedName>
    <definedName name="Excel_BuiltIn_Print_Area_5" localSheetId="6">#REF!</definedName>
    <definedName name="Excel_BuiltIn_Print_Area_5" localSheetId="7">#REF!</definedName>
    <definedName name="Excel_BuiltIn_Print_Area_5" localSheetId="8">#REF!</definedName>
    <definedName name="Excel_BuiltIn_Print_Area_5" localSheetId="9">#REF!</definedName>
    <definedName name="Excel_BuiltIn_Print_Area_5">#REF!</definedName>
    <definedName name="Excel_BuiltIn_Print_Area_6" localSheetId="6">#REF!</definedName>
    <definedName name="Excel_BuiltIn_Print_Area_6" localSheetId="7">#REF!</definedName>
    <definedName name="Excel_BuiltIn_Print_Area_6" localSheetId="8">#REF!</definedName>
    <definedName name="Excel_BuiltIn_Print_Area_6" localSheetId="9">#REF!</definedName>
    <definedName name="Excel_BuiltIn_Print_Area_6">#REF!</definedName>
    <definedName name="Excel_BuiltIn_Print_Area_7" localSheetId="6">#REF!</definedName>
    <definedName name="Excel_BuiltIn_Print_Area_7" localSheetId="7">#REF!</definedName>
    <definedName name="Excel_BuiltIn_Print_Area_7" localSheetId="8">#REF!</definedName>
    <definedName name="Excel_BuiltIn_Print_Area_7" localSheetId="9">#REF!</definedName>
    <definedName name="Excel_BuiltIn_Print_Area_7">#REF!</definedName>
    <definedName name="Extra_Pay" localSheetId="6">#REF!</definedName>
    <definedName name="Extra_Pay" localSheetId="7">#REF!</definedName>
    <definedName name="Extra_Pay" localSheetId="8">#REF!</definedName>
    <definedName name="Extra_Pay" localSheetId="9">#REF!</definedName>
    <definedName name="Extra_Pay">#REF!</definedName>
    <definedName name="F">#N/A</definedName>
    <definedName name="fasdgadsg">'[13]I KEY INFORMATION'!$E$63</definedName>
    <definedName name="FF_EResBase">'[9]I KEY INFORMATION'!$I$324</definedName>
    <definedName name="FF_EResFee1">'[9]I KEY INFORMATION'!$I$319</definedName>
    <definedName name="FF_EResFee2">'[9]I KEY INFORMATION'!$I$320</definedName>
    <definedName name="FF_EResFee3">'[9]I KEY INFORMATION'!$I$321</definedName>
    <definedName name="FF_EResFee4">'[9]I KEY INFORMATION'!$I$322</definedName>
    <definedName name="FF_EResFee5">'[9]I KEY INFORMATION'!$I$323</definedName>
    <definedName name="FFR_EURO">'[14]Project Detail Inputs'!$I$33</definedName>
    <definedName name="fg">#N/A</definedName>
    <definedName name="fg_11">#N/A</definedName>
    <definedName name="fg_12">#N/A</definedName>
    <definedName name="fg_13">#N/A</definedName>
    <definedName name="fg_14">#N/A</definedName>
    <definedName name="fg_16">#N/A</definedName>
    <definedName name="fg_17">#N/A</definedName>
    <definedName name="fg_18">#N/A</definedName>
    <definedName name="fg_19">#N/A</definedName>
    <definedName name="FiguresText">'[15]Control Settings'!$A$8</definedName>
    <definedName name="Full_Print" localSheetId="6">#REF!</definedName>
    <definedName name="Full_Print" localSheetId="7">#REF!</definedName>
    <definedName name="Full_Print" localSheetId="8">#REF!</definedName>
    <definedName name="Full_Print" localSheetId="9">#REF!</definedName>
    <definedName name="Full_Print">#REF!</definedName>
    <definedName name="gl">'[13]I KEY INFORMATION'!$I$15</definedName>
    <definedName name="Header_Row" localSheetId="6">ROW(#REF!)</definedName>
    <definedName name="Header_Row" localSheetId="7">ROW(#REF!)</definedName>
    <definedName name="Header_Row" localSheetId="8">ROW(#REF!)</definedName>
    <definedName name="Header_Row" localSheetId="9">ROW(#REF!)</definedName>
    <definedName name="Header_Row">ROW(#REF!)</definedName>
    <definedName name="HFсушка_печ" localSheetId="6">#REF!</definedName>
    <definedName name="HFсушка_печ" localSheetId="7">#REF!</definedName>
    <definedName name="HFсушка_печ" localSheetId="8">#REF!</definedName>
    <definedName name="HFсушка_печ" localSheetId="9">#REF!</definedName>
    <definedName name="HFсушка_печ" localSheetId="12">#REF!</definedName>
    <definedName name="HFсушка_печ" localSheetId="1">#REF!</definedName>
    <definedName name="HFсушка_печ" localSheetId="2">#REF!</definedName>
    <definedName name="HFсушка_печ" localSheetId="3">#REF!</definedName>
    <definedName name="HFсушка_печ" localSheetId="4">#REF!</definedName>
    <definedName name="HFсушка_печ" localSheetId="13">#REF!</definedName>
    <definedName name="HFсушка_печ" localSheetId="0">#REF!</definedName>
    <definedName name="HFсушка_печ" localSheetId="11">#REF!</definedName>
    <definedName name="HFсушка_печ" localSheetId="5">#REF!</definedName>
    <definedName name="HFсушка_печ">#REF!</definedName>
    <definedName name="HFсушка_печать" localSheetId="6">#REF!</definedName>
    <definedName name="HFсушка_печать" localSheetId="7">#REF!</definedName>
    <definedName name="HFсушка_печать" localSheetId="8">#REF!</definedName>
    <definedName name="HFсушка_печать" localSheetId="9">#REF!</definedName>
    <definedName name="HFсушка_печать" localSheetId="12">#REF!</definedName>
    <definedName name="HFсушка_печать" localSheetId="1">#REF!</definedName>
    <definedName name="HFсушка_печать" localSheetId="2">#REF!</definedName>
    <definedName name="HFсушка_печать" localSheetId="3">#REF!</definedName>
    <definedName name="HFсушка_печать" localSheetId="4">#REF!</definedName>
    <definedName name="HFсушка_печать" localSheetId="13">#REF!</definedName>
    <definedName name="HFсушка_печать" localSheetId="0">#REF!</definedName>
    <definedName name="HFсушка_печать" localSheetId="11">#REF!</definedName>
    <definedName name="HFсушка_печать" localSheetId="5">#REF!</definedName>
    <definedName name="HFсушка_печать">#REF!</definedName>
    <definedName name="hjjh" hidden="1">{#N/A,#N/A,TRUE,"Лист1";#N/A,#N/A,TRUE,"Лист2";#N/A,#N/A,TRUE,"Лист3"}</definedName>
    <definedName name="hozu" localSheetId="6">#REF!</definedName>
    <definedName name="hozu" localSheetId="7">#REF!</definedName>
    <definedName name="hozu" localSheetId="8">#REF!</definedName>
    <definedName name="hozu" localSheetId="9">#REF!</definedName>
    <definedName name="hozu">#REF!</definedName>
    <definedName name="IncFee1">'[9]I KEY INFORMATION'!$I$303</definedName>
    <definedName name="IncFee2">'[9]I KEY INFORMATION'!$I$304</definedName>
    <definedName name="IncFee3">'[9]I KEY INFORMATION'!$I$305</definedName>
    <definedName name="InflationRate">'[9]I KEY INFORMATION'!$I$32</definedName>
    <definedName name="InsPrem">'[9]I KEY INFORMATION'!$I$63</definedName>
    <definedName name="InsPremChange">'[9]I KEY INFORMATION'!$I$64</definedName>
    <definedName name="Int" localSheetId="6">#REF!</definedName>
    <definedName name="Int" localSheetId="7">#REF!</definedName>
    <definedName name="Int" localSheetId="8">#REF!</definedName>
    <definedName name="Int" localSheetId="9">#REF!</definedName>
    <definedName name="Int">#REF!</definedName>
    <definedName name="Interest_Rate" localSheetId="6">#REF!</definedName>
    <definedName name="Interest_Rate" localSheetId="7">#REF!</definedName>
    <definedName name="Interest_Rate" localSheetId="8">#REF!</definedName>
    <definedName name="Interest_Rate" localSheetId="9">#REF!</definedName>
    <definedName name="Interest_Rat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41807.3820601852</definedName>
    <definedName name="IQ_NTM" hidden="1">6000</definedName>
    <definedName name="IQ_OPENED55" hidden="1">1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">#N/A</definedName>
    <definedName name="k_11">#N/A</definedName>
    <definedName name="k_12">#N/A</definedName>
    <definedName name="k_13">#N/A</definedName>
    <definedName name="k_14">#N/A</definedName>
    <definedName name="k_16">#N/A</definedName>
    <definedName name="k_17">#N/A</definedName>
    <definedName name="k_18">#N/A</definedName>
    <definedName name="k_19">#N/A</definedName>
    <definedName name="KPIGRAPH1" localSheetId="6">#REF!</definedName>
    <definedName name="KPIGRAPH1" localSheetId="7">#REF!</definedName>
    <definedName name="KPIGRAPH1" localSheetId="8">#REF!</definedName>
    <definedName name="KPIGRAPH1" localSheetId="9">#REF!</definedName>
    <definedName name="KPIGRAPH1" localSheetId="12">#REF!</definedName>
    <definedName name="KPIGRAPH1" localSheetId="1">#REF!</definedName>
    <definedName name="KPIGRAPH1" localSheetId="2">#REF!</definedName>
    <definedName name="KPIGRAPH1" localSheetId="3">#REF!</definedName>
    <definedName name="KPIGRAPH1" localSheetId="4">#REF!</definedName>
    <definedName name="KPIGRAPH1" localSheetId="13">#REF!</definedName>
    <definedName name="KPIGRAPH1" localSheetId="0">#REF!</definedName>
    <definedName name="KPIGRAPH1" localSheetId="11">#REF!</definedName>
    <definedName name="KPIGRAPH1" localSheetId="5">#REF!</definedName>
    <definedName name="KPIGRAPH1">#REF!</definedName>
    <definedName name="KPIGRAPH2" localSheetId="6">#REF!</definedName>
    <definedName name="KPIGRAPH2" localSheetId="7">#REF!</definedName>
    <definedName name="KPIGRAPH2" localSheetId="8">#REF!</definedName>
    <definedName name="KPIGRAPH2" localSheetId="9">#REF!</definedName>
    <definedName name="KPIGRAPH2" localSheetId="12">#REF!</definedName>
    <definedName name="KPIGRAPH2" localSheetId="1">#REF!</definedName>
    <definedName name="KPIGRAPH2" localSheetId="2">#REF!</definedName>
    <definedName name="KPIGRAPH2" localSheetId="3">#REF!</definedName>
    <definedName name="KPIGRAPH2" localSheetId="4">#REF!</definedName>
    <definedName name="KPIGRAPH2" localSheetId="13">#REF!</definedName>
    <definedName name="KPIGRAPH2" localSheetId="0">#REF!</definedName>
    <definedName name="KPIGRAPH2" localSheetId="11">#REF!</definedName>
    <definedName name="KPIGRAPH2" localSheetId="5">#REF!</definedName>
    <definedName name="KPIGRAPH2">#REF!</definedName>
    <definedName name="KPIGRAPH3" localSheetId="6">#REF!</definedName>
    <definedName name="KPIGRAPH3" localSheetId="7">#REF!</definedName>
    <definedName name="KPIGRAPH3" localSheetId="8">#REF!</definedName>
    <definedName name="KPIGRAPH3" localSheetId="9">#REF!</definedName>
    <definedName name="KPIGRAPH3" localSheetId="12">#REF!</definedName>
    <definedName name="KPIGRAPH3" localSheetId="1">#REF!</definedName>
    <definedName name="KPIGRAPH3" localSheetId="2">#REF!</definedName>
    <definedName name="KPIGRAPH3" localSheetId="3">#REF!</definedName>
    <definedName name="KPIGRAPH3" localSheetId="4">#REF!</definedName>
    <definedName name="KPIGRAPH3" localSheetId="13">#REF!</definedName>
    <definedName name="KPIGRAPH3" localSheetId="0">#REF!</definedName>
    <definedName name="KPIGRAPH3" localSheetId="11">#REF!</definedName>
    <definedName name="KPIGRAPH3" localSheetId="5">#REF!</definedName>
    <definedName name="KPIGRAPH3">#REF!</definedName>
    <definedName name="KPIGRAPH4" localSheetId="6">#REF!</definedName>
    <definedName name="KPIGRAPH4" localSheetId="7">#REF!</definedName>
    <definedName name="KPIGRAPH4" localSheetId="8">#REF!</definedName>
    <definedName name="KPIGRAPH4" localSheetId="9">#REF!</definedName>
    <definedName name="KPIGRAPH4" localSheetId="12">#REF!</definedName>
    <definedName name="KPIGRAPH4" localSheetId="1">#REF!</definedName>
    <definedName name="KPIGRAPH4" localSheetId="2">#REF!</definedName>
    <definedName name="KPIGRAPH4" localSheetId="3">#REF!</definedName>
    <definedName name="KPIGRAPH4" localSheetId="4">#REF!</definedName>
    <definedName name="KPIGRAPH4" localSheetId="13">#REF!</definedName>
    <definedName name="KPIGRAPH4" localSheetId="0">#REF!</definedName>
    <definedName name="KPIGRAPH4" localSheetId="11">#REF!</definedName>
    <definedName name="KPIGRAPH4" localSheetId="5">#REF!</definedName>
    <definedName name="KPIGRAPH4">#REF!</definedName>
    <definedName name="KPIGRAPH5" localSheetId="6">#REF!</definedName>
    <definedName name="KPIGRAPH5" localSheetId="7">#REF!</definedName>
    <definedName name="KPIGRAPH5" localSheetId="8">#REF!</definedName>
    <definedName name="KPIGRAPH5" localSheetId="9">#REF!</definedName>
    <definedName name="KPIGRAPH5" localSheetId="12">#REF!</definedName>
    <definedName name="KPIGRAPH5" localSheetId="1">#REF!</definedName>
    <definedName name="KPIGRAPH5" localSheetId="2">#REF!</definedName>
    <definedName name="KPIGRAPH5" localSheetId="3">#REF!</definedName>
    <definedName name="KPIGRAPH5" localSheetId="4">#REF!</definedName>
    <definedName name="KPIGRAPH5" localSheetId="13">#REF!</definedName>
    <definedName name="KPIGRAPH5" localSheetId="0">#REF!</definedName>
    <definedName name="KPIGRAPH5" localSheetId="11">#REF!</definedName>
    <definedName name="KPIGRAPH5" localSheetId="5">#REF!</definedName>
    <definedName name="KPIGRAPH5">#REF!</definedName>
    <definedName name="KPIGRAPH6" localSheetId="6">#REF!</definedName>
    <definedName name="KPIGRAPH6" localSheetId="7">#REF!</definedName>
    <definedName name="KPIGRAPH6" localSheetId="8">#REF!</definedName>
    <definedName name="KPIGRAPH6" localSheetId="9">#REF!</definedName>
    <definedName name="KPIGRAPH6" localSheetId="12">#REF!</definedName>
    <definedName name="KPIGRAPH6" localSheetId="1">#REF!</definedName>
    <definedName name="KPIGRAPH6" localSheetId="2">#REF!</definedName>
    <definedName name="KPIGRAPH6" localSheetId="3">#REF!</definedName>
    <definedName name="KPIGRAPH6" localSheetId="4">#REF!</definedName>
    <definedName name="KPIGRAPH6" localSheetId="13">#REF!</definedName>
    <definedName name="KPIGRAPH6" localSheetId="0">#REF!</definedName>
    <definedName name="KPIGRAPH6" localSheetId="11">#REF!</definedName>
    <definedName name="KPIGRAPH6" localSheetId="5">#REF!</definedName>
    <definedName name="KPIGRAPH6">#REF!</definedName>
    <definedName name="KPIGRAPH7" localSheetId="6">#REF!</definedName>
    <definedName name="KPIGRAPH7" localSheetId="7">#REF!</definedName>
    <definedName name="KPIGRAPH7" localSheetId="8">#REF!</definedName>
    <definedName name="KPIGRAPH7" localSheetId="9">#REF!</definedName>
    <definedName name="KPIGRAPH7" localSheetId="12">#REF!</definedName>
    <definedName name="KPIGRAPH7" localSheetId="1">#REF!</definedName>
    <definedName name="KPIGRAPH7" localSheetId="2">#REF!</definedName>
    <definedName name="KPIGRAPH7" localSheetId="3">#REF!</definedName>
    <definedName name="KPIGRAPH7" localSheetId="4">#REF!</definedName>
    <definedName name="KPIGRAPH7" localSheetId="13">#REF!</definedName>
    <definedName name="KPIGRAPH7" localSheetId="0">#REF!</definedName>
    <definedName name="KPIGRAPH7" localSheetId="11">#REF!</definedName>
    <definedName name="KPIGRAPH7" localSheetId="5">#REF!</definedName>
    <definedName name="KPIGRAPH7">#REF!</definedName>
    <definedName name="KPIGRAPH8" localSheetId="6">#REF!</definedName>
    <definedName name="KPIGRAPH8" localSheetId="7">#REF!</definedName>
    <definedName name="KPIGRAPH8" localSheetId="8">#REF!</definedName>
    <definedName name="KPIGRAPH8" localSheetId="9">#REF!</definedName>
    <definedName name="KPIGRAPH8" localSheetId="12">#REF!</definedName>
    <definedName name="KPIGRAPH8" localSheetId="1">#REF!</definedName>
    <definedName name="KPIGRAPH8" localSheetId="2">#REF!</definedName>
    <definedName name="KPIGRAPH8" localSheetId="3">#REF!</definedName>
    <definedName name="KPIGRAPH8" localSheetId="4">#REF!</definedName>
    <definedName name="KPIGRAPH8" localSheetId="13">#REF!</definedName>
    <definedName name="KPIGRAPH8" localSheetId="0">#REF!</definedName>
    <definedName name="KPIGRAPH8" localSheetId="11">#REF!</definedName>
    <definedName name="KPIGRAPH8" localSheetId="5">#REF!</definedName>
    <definedName name="KPIGRAPH8">#REF!</definedName>
    <definedName name="KPIGRAPH9" localSheetId="6">#REF!</definedName>
    <definedName name="KPIGRAPH9" localSheetId="7">#REF!</definedName>
    <definedName name="KPIGRAPH9" localSheetId="8">#REF!</definedName>
    <definedName name="KPIGRAPH9" localSheetId="9">#REF!</definedName>
    <definedName name="KPIGRAPH9" localSheetId="12">#REF!</definedName>
    <definedName name="KPIGRAPH9" localSheetId="1">#REF!</definedName>
    <definedName name="KPIGRAPH9" localSheetId="2">#REF!</definedName>
    <definedName name="KPIGRAPH9" localSheetId="3">#REF!</definedName>
    <definedName name="KPIGRAPH9" localSheetId="4">#REF!</definedName>
    <definedName name="KPIGRAPH9" localSheetId="13">#REF!</definedName>
    <definedName name="KPIGRAPH9" localSheetId="0">#REF!</definedName>
    <definedName name="KPIGRAPH9" localSheetId="11">#REF!</definedName>
    <definedName name="KPIGRAPH9" localSheetId="5">#REF!</definedName>
    <definedName name="KPIGRAPH9">#REF!</definedName>
    <definedName name="KPIGRAPHA1" localSheetId="6">#REF!</definedName>
    <definedName name="KPIGRAPHA1" localSheetId="7">#REF!</definedName>
    <definedName name="KPIGRAPHA1" localSheetId="8">#REF!</definedName>
    <definedName name="KPIGRAPHA1" localSheetId="9">#REF!</definedName>
    <definedName name="KPIGRAPHA1" localSheetId="12">#REF!</definedName>
    <definedName name="KPIGRAPHA1" localSheetId="1">#REF!</definedName>
    <definedName name="KPIGRAPHA1" localSheetId="2">#REF!</definedName>
    <definedName name="KPIGRAPHA1" localSheetId="3">#REF!</definedName>
    <definedName name="KPIGRAPHA1" localSheetId="4">#REF!</definedName>
    <definedName name="KPIGRAPHA1" localSheetId="13">#REF!</definedName>
    <definedName name="KPIGRAPHA1" localSheetId="0">#REF!</definedName>
    <definedName name="KPIGRAPHA1" localSheetId="11">#REF!</definedName>
    <definedName name="KPIGRAPHA1" localSheetId="5">#REF!</definedName>
    <definedName name="KPIGRAPHA1">#REF!</definedName>
    <definedName name="kto">[16]Форма2!$C$19:$C$24,[16]Форма2!$E$19:$F$24,[16]Форма2!$D$26:$F$31,[16]Форма2!$C$33:$C$38,[16]Форма2!$E$33:$F$38,[16]Форма2!$D$40:$F$43,[16]Форма2!$C$45:$C$48,[16]Форма2!$E$45:$F$48,[16]Форма2!$C$19</definedName>
    <definedName name="Last_Row" localSheetId="6">IF('1 усл.'!Values_Entered,'1 усл.'!Header_Row+'1 усл.'!Number_of_Payments,'1 усл.'!Header_Row)</definedName>
    <definedName name="Last_Row" localSheetId="7">IF('2 усл.'!Values_Entered,'2 усл.'!Header_Row+'2 усл.'!Number_of_Payments,'2 усл.'!Header_Row)</definedName>
    <definedName name="Last_Row" localSheetId="8">IF('3 усл.'!Values_Entered,'3 усл.'!Header_Row+'3 усл.'!Number_of_Payments,'3 усл.'!Header_Row)</definedName>
    <definedName name="Last_Row" localSheetId="9">IF('4 усл.'!Values_Entered,'4 усл.'!Header_Row+'4 усл.'!Number_of_Payments,'4 усл.'!Header_Row)</definedName>
    <definedName name="Last_Row">IF(Values_Entered,Header_Row+Number_of_Payments,Header_Row)</definedName>
    <definedName name="LastHistoricYear">'[15]Control Settings'!$D$15</definedName>
    <definedName name="LH" localSheetId="6">#REF!</definedName>
    <definedName name="LH" localSheetId="7">#REF!</definedName>
    <definedName name="LH" localSheetId="8">#REF!</definedName>
    <definedName name="LH" localSheetId="9">#REF!</definedName>
    <definedName name="LH" localSheetId="12">#REF!</definedName>
    <definedName name="LH" localSheetId="1">#REF!</definedName>
    <definedName name="LH" localSheetId="2">#REF!</definedName>
    <definedName name="LH" localSheetId="3">#REF!</definedName>
    <definedName name="LH" localSheetId="4">#REF!</definedName>
    <definedName name="LH" localSheetId="13">#REF!</definedName>
    <definedName name="LH" localSheetId="0">#REF!</definedName>
    <definedName name="LH" localSheetId="11">#REF!</definedName>
    <definedName name="LH" localSheetId="5">#REF!</definedName>
    <definedName name="LH">#REF!</definedName>
    <definedName name="limcount" hidden="1">2</definedName>
    <definedName name="Loan_Amount" localSheetId="6">#REF!</definedName>
    <definedName name="Loan_Amount" localSheetId="7">#REF!</definedName>
    <definedName name="Loan_Amount" localSheetId="8">#REF!</definedName>
    <definedName name="Loan_Amount" localSheetId="9">#REF!</definedName>
    <definedName name="Loan_Amount">#REF!</definedName>
    <definedName name="Loan_Start" localSheetId="6">#REF!</definedName>
    <definedName name="Loan_Start" localSheetId="7">#REF!</definedName>
    <definedName name="Loan_Start" localSheetId="8">#REF!</definedName>
    <definedName name="Loan_Start" localSheetId="9">#REF!</definedName>
    <definedName name="Loan_Start">#REF!</definedName>
    <definedName name="Loan_Years" localSheetId="6">#REF!</definedName>
    <definedName name="Loan_Years" localSheetId="7">#REF!</definedName>
    <definedName name="Loan_Years" localSheetId="8">#REF!</definedName>
    <definedName name="Loan_Years" localSheetId="9">#REF!</definedName>
    <definedName name="Loan_Years">#REF!</definedName>
    <definedName name="LOM_COSTS">[17]Production!$E$9:$BR$262</definedName>
    <definedName name="lvnc" localSheetId="6">#REF!</definedName>
    <definedName name="lvnc" localSheetId="7">#REF!</definedName>
    <definedName name="lvnc" localSheetId="8">#REF!</definedName>
    <definedName name="lvnc" localSheetId="9">#REF!</definedName>
    <definedName name="lvnc">#REF!</definedName>
    <definedName name="m_2005">'[18]1NK'!$R$10:$R$1877</definedName>
    <definedName name="m_2006">'[18]1NK'!$S$10:$S$1838</definedName>
    <definedName name="m_2007">'[18]1NK'!$T$10:$T$1838</definedName>
    <definedName name="m_dep_I" localSheetId="6">#REF!</definedName>
    <definedName name="m_dep_I" localSheetId="7">#REF!</definedName>
    <definedName name="m_dep_I" localSheetId="8">#REF!</definedName>
    <definedName name="m_dep_I" localSheetId="9">#REF!</definedName>
    <definedName name="m_dep_I">#REF!</definedName>
    <definedName name="m_dep_I_13" localSheetId="6">#REF!</definedName>
    <definedName name="m_dep_I_13" localSheetId="7">#REF!</definedName>
    <definedName name="m_dep_I_13" localSheetId="8">#REF!</definedName>
    <definedName name="m_dep_I_13" localSheetId="9">#REF!</definedName>
    <definedName name="m_dep_I_13">#REF!</definedName>
    <definedName name="m_dep_I_16" localSheetId="6">#REF!</definedName>
    <definedName name="m_dep_I_16" localSheetId="7">#REF!</definedName>
    <definedName name="m_dep_I_16" localSheetId="8">#REF!</definedName>
    <definedName name="m_dep_I_16" localSheetId="9">#REF!</definedName>
    <definedName name="m_dep_I_16">#REF!</definedName>
    <definedName name="m_dep_I_17" localSheetId="6">#REF!</definedName>
    <definedName name="m_dep_I_17" localSheetId="7">#REF!</definedName>
    <definedName name="m_dep_I_17" localSheetId="8">#REF!</definedName>
    <definedName name="m_dep_I_17" localSheetId="9">#REF!</definedName>
    <definedName name="m_dep_I_17">#REF!</definedName>
    <definedName name="m_dep_I_18" localSheetId="6">#REF!</definedName>
    <definedName name="m_dep_I_18" localSheetId="7">#REF!</definedName>
    <definedName name="m_dep_I_18" localSheetId="8">#REF!</definedName>
    <definedName name="m_dep_I_18" localSheetId="9">#REF!</definedName>
    <definedName name="m_dep_I_18">#REF!</definedName>
    <definedName name="m_dep_I1" localSheetId="6">#REF!</definedName>
    <definedName name="m_dep_I1" localSheetId="7">#REF!</definedName>
    <definedName name="m_dep_I1" localSheetId="8">#REF!</definedName>
    <definedName name="m_dep_I1" localSheetId="9">#REF!</definedName>
    <definedName name="m_dep_I1">#REF!</definedName>
    <definedName name="m_dep_I1_13" localSheetId="6">#REF!</definedName>
    <definedName name="m_dep_I1_13" localSheetId="7">#REF!</definedName>
    <definedName name="m_dep_I1_13" localSheetId="8">#REF!</definedName>
    <definedName name="m_dep_I1_13" localSheetId="9">#REF!</definedName>
    <definedName name="m_dep_I1_13">#REF!</definedName>
    <definedName name="m_dep_I1_16" localSheetId="6">#REF!</definedName>
    <definedName name="m_dep_I1_16" localSheetId="7">#REF!</definedName>
    <definedName name="m_dep_I1_16" localSheetId="8">#REF!</definedName>
    <definedName name="m_dep_I1_16" localSheetId="9">#REF!</definedName>
    <definedName name="m_dep_I1_16">#REF!</definedName>
    <definedName name="m_dep_I1_17" localSheetId="6">#REF!</definedName>
    <definedName name="m_dep_I1_17" localSheetId="7">#REF!</definedName>
    <definedName name="m_dep_I1_17" localSheetId="8">#REF!</definedName>
    <definedName name="m_dep_I1_17" localSheetId="9">#REF!</definedName>
    <definedName name="m_dep_I1_17">#REF!</definedName>
    <definedName name="m_dep_I1_18" localSheetId="6">#REF!</definedName>
    <definedName name="m_dep_I1_18" localSheetId="7">#REF!</definedName>
    <definedName name="m_dep_I1_18" localSheetId="8">#REF!</definedName>
    <definedName name="m_dep_I1_18" localSheetId="9">#REF!</definedName>
    <definedName name="m_dep_I1_18">#REF!</definedName>
    <definedName name="m_dep_N" localSheetId="6">#REF!</definedName>
    <definedName name="m_dep_N" localSheetId="7">#REF!</definedName>
    <definedName name="m_dep_N" localSheetId="8">#REF!</definedName>
    <definedName name="m_dep_N" localSheetId="9">#REF!</definedName>
    <definedName name="m_dep_N">#REF!</definedName>
    <definedName name="m_dep_N_13" localSheetId="6">#REF!</definedName>
    <definedName name="m_dep_N_13" localSheetId="7">#REF!</definedName>
    <definedName name="m_dep_N_13" localSheetId="8">#REF!</definedName>
    <definedName name="m_dep_N_13" localSheetId="9">#REF!</definedName>
    <definedName name="m_dep_N_13">#REF!</definedName>
    <definedName name="m_dep_N_16" localSheetId="6">#REF!</definedName>
    <definedName name="m_dep_N_16" localSheetId="7">#REF!</definedName>
    <definedName name="m_dep_N_16" localSheetId="8">#REF!</definedName>
    <definedName name="m_dep_N_16" localSheetId="9">#REF!</definedName>
    <definedName name="m_dep_N_16">#REF!</definedName>
    <definedName name="m_dep_N_17" localSheetId="6">#REF!</definedName>
    <definedName name="m_dep_N_17" localSheetId="7">#REF!</definedName>
    <definedName name="m_dep_N_17" localSheetId="8">#REF!</definedName>
    <definedName name="m_dep_N_17" localSheetId="9">#REF!</definedName>
    <definedName name="m_dep_N_17">#REF!</definedName>
    <definedName name="m_dep_N_18" localSheetId="6">#REF!</definedName>
    <definedName name="m_dep_N_18" localSheetId="7">#REF!</definedName>
    <definedName name="m_dep_N_18" localSheetId="8">#REF!</definedName>
    <definedName name="m_dep_N_18" localSheetId="9">#REF!</definedName>
    <definedName name="m_dep_N_18">#REF!</definedName>
    <definedName name="m_f2002" localSheetId="6">#REF!</definedName>
    <definedName name="m_f2002" localSheetId="7">#REF!</definedName>
    <definedName name="m_f2002" localSheetId="8">#REF!</definedName>
    <definedName name="m_f2002" localSheetId="9">#REF!</definedName>
    <definedName name="m_f2002">#REF!</definedName>
    <definedName name="m_Key2" localSheetId="6">#REF!</definedName>
    <definedName name="m_Key2" localSheetId="7">#REF!</definedName>
    <definedName name="m_Key2" localSheetId="8">#REF!</definedName>
    <definedName name="m_Key2" localSheetId="9">#REF!</definedName>
    <definedName name="m_Key2">#REF!</definedName>
    <definedName name="m_o2003" localSheetId="6">#REF!</definedName>
    <definedName name="m_o2003" localSheetId="7">#REF!</definedName>
    <definedName name="m_o2003" localSheetId="8">#REF!</definedName>
    <definedName name="m_o2003" localSheetId="9">#REF!</definedName>
    <definedName name="m_o2003">#REF!</definedName>
    <definedName name="m_OTM2005">'[19]2.2 ОтклОТМ'!$G$1:$G$65536</definedName>
    <definedName name="m_OTM2006">'[19]2.2 ОтклОТМ'!$J$1:$J$65536</definedName>
    <definedName name="m_OTM2007">'[19]2.2 ОтклОТМ'!$M$1:$M$65536</definedName>
    <definedName name="m_OTM2008">'[19]2.2 ОтклОТМ'!$P$1:$P$65536</definedName>
    <definedName name="m_OTM2009">'[19]2.2 ОтклОТМ'!$S$1:$S$65536</definedName>
    <definedName name="m_OTM2010">'[19]2.2 ОтклОТМ'!$V$1:$V$65536</definedName>
    <definedName name="m_OTMizm">'[19]1.3.2 ОТМ'!$K$1:$K$65536</definedName>
    <definedName name="m_OTMkod">'[19]1.3.2 ОТМ'!$A$1:$A$65536</definedName>
    <definedName name="m_OTMnomer">'[19]1.3.2 ОТМ'!$H$1:$H$65536</definedName>
    <definedName name="m_OTMpokaz">'[19]1.3.2 ОТМ'!$I$1:$I$65536</definedName>
    <definedName name="m_p2003" localSheetId="6">#REF!</definedName>
    <definedName name="m_p2003" localSheetId="7">#REF!</definedName>
    <definedName name="m_p2003" localSheetId="8">#REF!</definedName>
    <definedName name="m_p2003" localSheetId="9">#REF!</definedName>
    <definedName name="m_p2003">#REF!</definedName>
    <definedName name="m_Predpr_I">[19]Предпр!$C$3:$C$29</definedName>
    <definedName name="m_Predpr_I_13" localSheetId="6">#REF!</definedName>
    <definedName name="m_Predpr_I_13" localSheetId="7">#REF!</definedName>
    <definedName name="m_Predpr_I_13" localSheetId="8">#REF!</definedName>
    <definedName name="m_Predpr_I_13" localSheetId="9">#REF!</definedName>
    <definedName name="m_Predpr_I_13">#REF!</definedName>
    <definedName name="m_Predpr_I_16" localSheetId="6">#REF!</definedName>
    <definedName name="m_Predpr_I_16" localSheetId="7">#REF!</definedName>
    <definedName name="m_Predpr_I_16" localSheetId="8">#REF!</definedName>
    <definedName name="m_Predpr_I_16" localSheetId="9">#REF!</definedName>
    <definedName name="m_Predpr_I_16">#REF!</definedName>
    <definedName name="m_Predpr_I_18" localSheetId="6">#REF!</definedName>
    <definedName name="m_Predpr_I_18" localSheetId="7">#REF!</definedName>
    <definedName name="m_Predpr_I_18" localSheetId="8">#REF!</definedName>
    <definedName name="m_Predpr_I_18" localSheetId="9">#REF!</definedName>
    <definedName name="m_Predpr_I_18">#REF!</definedName>
    <definedName name="m_Predpr_N">[19]Предпр!$D$3:$D$29</definedName>
    <definedName name="m_Predpr_N_13" localSheetId="6">#REF!</definedName>
    <definedName name="m_Predpr_N_13" localSheetId="7">#REF!</definedName>
    <definedName name="m_Predpr_N_13" localSheetId="8">#REF!</definedName>
    <definedName name="m_Predpr_N_13" localSheetId="9">#REF!</definedName>
    <definedName name="m_Predpr_N_13">#REF!</definedName>
    <definedName name="m_Predpr_N_16" localSheetId="6">#REF!</definedName>
    <definedName name="m_Predpr_N_16" localSheetId="7">#REF!</definedName>
    <definedName name="m_Predpr_N_16" localSheetId="8">#REF!</definedName>
    <definedName name="m_Predpr_N_16" localSheetId="9">#REF!</definedName>
    <definedName name="m_Predpr_N_16">#REF!</definedName>
    <definedName name="m_Predpr_N_18" localSheetId="6">#REF!</definedName>
    <definedName name="m_Predpr_N_18" localSheetId="7">#REF!</definedName>
    <definedName name="m_Predpr_N_18" localSheetId="8">#REF!</definedName>
    <definedName name="m_Predpr_N_18" localSheetId="9">#REF!</definedName>
    <definedName name="m_Predpr_N_18">#REF!</definedName>
    <definedName name="m_Zatrat">[19]ЦентрЗатр!$A$2:$G$71</definedName>
    <definedName name="m_Zatrat_13">[20]ЦентрЗатр!$A$2:$G$71</definedName>
    <definedName name="m_Zatrat_16">[20]ЦентрЗатр!$A$2:$G$71</definedName>
    <definedName name="m_Zatrat_18">[20]ЦентрЗатр!$A$2:$G$71</definedName>
    <definedName name="m_Zatrat_Ed">[19]ЦентрЗатр!$E$2:$E$71</definedName>
    <definedName name="m_Zatrat_Ed_13">[21]ЦентрЗатр!$E$2:$E$71</definedName>
    <definedName name="m_Zatrat_Ed_16">[21]ЦентрЗатр!$E$2:$E$71</definedName>
    <definedName name="m_Zatrat_Ed_18">[21]ЦентрЗатр!$E$2:$E$71</definedName>
    <definedName name="m_Zatrat_K">[19]ЦентрЗатр!$F$2:$F$71</definedName>
    <definedName name="m_Zatrat_K_13">[21]ЦентрЗатр!$F$2:$F$71</definedName>
    <definedName name="m_Zatrat_K_16">[21]ЦентрЗатр!$F$2:$F$71</definedName>
    <definedName name="m_Zatrat_K_18">[21]ЦентрЗатр!$F$2:$F$71</definedName>
    <definedName name="m_Zatrat_N">[19]ЦентрЗатр!$G$2:$G$71</definedName>
    <definedName name="m_Zatrat_N_13">[20]ЦентрЗатр!$G$2:$G$71</definedName>
    <definedName name="m_Zatrat_N_16">[20]ЦентрЗатр!$G$2:$G$71</definedName>
    <definedName name="m_Zatrat_N_18">[20]ЦентрЗатр!$G$2:$G$71</definedName>
    <definedName name="Margin1">'[9]I KEY INFORMATION'!$I$311</definedName>
    <definedName name="Margin2">'[9]I KEY INFORMATION'!$I$312</definedName>
    <definedName name="mas_1" localSheetId="6">#REF!</definedName>
    <definedName name="mas_1" localSheetId="7">#REF!</definedName>
    <definedName name="mas_1" localSheetId="8">#REF!</definedName>
    <definedName name="mas_1" localSheetId="9">#REF!</definedName>
    <definedName name="mas_1">#REF!</definedName>
    <definedName name="mas_1_13" localSheetId="6">#REF!</definedName>
    <definedName name="mas_1_13" localSheetId="7">#REF!</definedName>
    <definedName name="mas_1_13" localSheetId="8">#REF!</definedName>
    <definedName name="mas_1_13" localSheetId="9">#REF!</definedName>
    <definedName name="mas_1_13">#REF!</definedName>
    <definedName name="mas_1_16" localSheetId="6">#REF!</definedName>
    <definedName name="mas_1_16" localSheetId="7">#REF!</definedName>
    <definedName name="mas_1_16" localSheetId="8">#REF!</definedName>
    <definedName name="mas_1_16" localSheetId="9">#REF!</definedName>
    <definedName name="mas_1_16">#REF!</definedName>
    <definedName name="mas_1_17" localSheetId="6">#REF!</definedName>
    <definedName name="mas_1_17" localSheetId="7">#REF!</definedName>
    <definedName name="mas_1_17" localSheetId="8">#REF!</definedName>
    <definedName name="mas_1_17" localSheetId="9">#REF!</definedName>
    <definedName name="mas_1_17">#REF!</definedName>
    <definedName name="mas_1_18" localSheetId="6">#REF!</definedName>
    <definedName name="mas_1_18" localSheetId="7">#REF!</definedName>
    <definedName name="mas_1_18" localSheetId="8">#REF!</definedName>
    <definedName name="mas_1_18" localSheetId="9">#REF!</definedName>
    <definedName name="mas_1_18">#REF!</definedName>
    <definedName name="mas_2" localSheetId="6">#REF!</definedName>
    <definedName name="mas_2" localSheetId="7">#REF!</definedName>
    <definedName name="mas_2" localSheetId="8">#REF!</definedName>
    <definedName name="mas_2" localSheetId="9">#REF!</definedName>
    <definedName name="mas_2">#REF!</definedName>
    <definedName name="mas_2_13" localSheetId="6">#REF!</definedName>
    <definedName name="mas_2_13" localSheetId="7">#REF!</definedName>
    <definedName name="mas_2_13" localSheetId="8">#REF!</definedName>
    <definedName name="mas_2_13" localSheetId="9">#REF!</definedName>
    <definedName name="mas_2_13">#REF!</definedName>
    <definedName name="mas_2_16" localSheetId="6">#REF!</definedName>
    <definedName name="mas_2_16" localSheetId="7">#REF!</definedName>
    <definedName name="mas_2_16" localSheetId="8">#REF!</definedName>
    <definedName name="mas_2_16" localSheetId="9">#REF!</definedName>
    <definedName name="mas_2_16">#REF!</definedName>
    <definedName name="mas_2_17" localSheetId="6">#REF!</definedName>
    <definedName name="mas_2_17" localSheetId="7">#REF!</definedName>
    <definedName name="mas_2_17" localSheetId="8">#REF!</definedName>
    <definedName name="mas_2_17" localSheetId="9">#REF!</definedName>
    <definedName name="mas_2_17">#REF!</definedName>
    <definedName name="mas_2_18" localSheetId="6">#REF!</definedName>
    <definedName name="mas_2_18" localSheetId="7">#REF!</definedName>
    <definedName name="mas_2_18" localSheetId="8">#REF!</definedName>
    <definedName name="mas_2_18" localSheetId="9">#REF!</definedName>
    <definedName name="mas_2_18">#REF!</definedName>
    <definedName name="mas_2_new" localSheetId="6">#REF!</definedName>
    <definedName name="mas_2_new" localSheetId="7">#REF!</definedName>
    <definedName name="mas_2_new" localSheetId="8">#REF!</definedName>
    <definedName name="mas_2_new" localSheetId="9">#REF!</definedName>
    <definedName name="mas_2_new">#REF!</definedName>
    <definedName name="mas_2_new_13" localSheetId="6">#REF!</definedName>
    <definedName name="mas_2_new_13" localSheetId="7">#REF!</definedName>
    <definedName name="mas_2_new_13" localSheetId="8">#REF!</definedName>
    <definedName name="mas_2_new_13" localSheetId="9">#REF!</definedName>
    <definedName name="mas_2_new_13">#REF!</definedName>
    <definedName name="mas_2_new_16" localSheetId="6">#REF!</definedName>
    <definedName name="mas_2_new_16" localSheetId="7">#REF!</definedName>
    <definedName name="mas_2_new_16" localSheetId="8">#REF!</definedName>
    <definedName name="mas_2_new_16" localSheetId="9">#REF!</definedName>
    <definedName name="mas_2_new_16">#REF!</definedName>
    <definedName name="mas_2_new_17" localSheetId="6">#REF!</definedName>
    <definedName name="mas_2_new_17" localSheetId="7">#REF!</definedName>
    <definedName name="mas_2_new_17" localSheetId="8">#REF!</definedName>
    <definedName name="mas_2_new_17" localSheetId="9">#REF!</definedName>
    <definedName name="mas_2_new_17">#REF!</definedName>
    <definedName name="mas_2_new_18" localSheetId="6">#REF!</definedName>
    <definedName name="mas_2_new_18" localSheetId="7">#REF!</definedName>
    <definedName name="mas_2_new_18" localSheetId="8">#REF!</definedName>
    <definedName name="mas_2_new_18" localSheetId="9">#REF!</definedName>
    <definedName name="mas_2_new_18">#REF!</definedName>
    <definedName name="mas_3" localSheetId="6">#REF!</definedName>
    <definedName name="mas_3" localSheetId="7">#REF!</definedName>
    <definedName name="mas_3" localSheetId="8">#REF!</definedName>
    <definedName name="mas_3" localSheetId="9">#REF!</definedName>
    <definedName name="mas_3">#REF!</definedName>
    <definedName name="mas_3_13" localSheetId="6">#REF!</definedName>
    <definedName name="mas_3_13" localSheetId="7">#REF!</definedName>
    <definedName name="mas_3_13" localSheetId="8">#REF!</definedName>
    <definedName name="mas_3_13" localSheetId="9">#REF!</definedName>
    <definedName name="mas_3_13">#REF!</definedName>
    <definedName name="mas_3_16" localSheetId="6">#REF!</definedName>
    <definedName name="mas_3_16" localSheetId="7">#REF!</definedName>
    <definedName name="mas_3_16" localSheetId="8">#REF!</definedName>
    <definedName name="mas_3_16" localSheetId="9">#REF!</definedName>
    <definedName name="mas_3_16">#REF!</definedName>
    <definedName name="mas_3_17" localSheetId="6">#REF!</definedName>
    <definedName name="mas_3_17" localSheetId="7">#REF!</definedName>
    <definedName name="mas_3_17" localSheetId="8">#REF!</definedName>
    <definedName name="mas_3_17" localSheetId="9">#REF!</definedName>
    <definedName name="mas_3_17">#REF!</definedName>
    <definedName name="mas_3_18" localSheetId="6">#REF!</definedName>
    <definedName name="mas_3_18" localSheetId="7">#REF!</definedName>
    <definedName name="mas_3_18" localSheetId="8">#REF!</definedName>
    <definedName name="mas_3_18" localSheetId="9">#REF!</definedName>
    <definedName name="mas_3_18">#REF!</definedName>
    <definedName name="mas_4" localSheetId="6">#REF!</definedName>
    <definedName name="mas_4" localSheetId="7">#REF!</definedName>
    <definedName name="mas_4" localSheetId="8">#REF!</definedName>
    <definedName name="mas_4" localSheetId="9">#REF!</definedName>
    <definedName name="mas_4">#REF!</definedName>
    <definedName name="mas_4_13" localSheetId="6">#REF!</definedName>
    <definedName name="mas_4_13" localSheetId="7">#REF!</definedName>
    <definedName name="mas_4_13" localSheetId="8">#REF!</definedName>
    <definedName name="mas_4_13" localSheetId="9">#REF!</definedName>
    <definedName name="mas_4_13">#REF!</definedName>
    <definedName name="mas_4_16" localSheetId="6">#REF!</definedName>
    <definedName name="mas_4_16" localSheetId="7">#REF!</definedName>
    <definedName name="mas_4_16" localSheetId="8">#REF!</definedName>
    <definedName name="mas_4_16" localSheetId="9">#REF!</definedName>
    <definedName name="mas_4_16">#REF!</definedName>
    <definedName name="mas_4_17" localSheetId="6">#REF!</definedName>
    <definedName name="mas_4_17" localSheetId="7">#REF!</definedName>
    <definedName name="mas_4_17" localSheetId="8">#REF!</definedName>
    <definedName name="mas_4_17" localSheetId="9">#REF!</definedName>
    <definedName name="mas_4_17">#REF!</definedName>
    <definedName name="mas_4_18" localSheetId="6">#REF!</definedName>
    <definedName name="mas_4_18" localSheetId="7">#REF!</definedName>
    <definedName name="mas_4_18" localSheetId="8">#REF!</definedName>
    <definedName name="mas_4_18" localSheetId="9">#REF!</definedName>
    <definedName name="mas_4_18">#REF!</definedName>
    <definedName name="mas_new" localSheetId="6">#REF!</definedName>
    <definedName name="mas_new" localSheetId="7">#REF!</definedName>
    <definedName name="mas_new" localSheetId="8">#REF!</definedName>
    <definedName name="mas_new" localSheetId="9">#REF!</definedName>
    <definedName name="mas_new">#REF!</definedName>
    <definedName name="mas_new_13" localSheetId="6">#REF!</definedName>
    <definedName name="mas_new_13" localSheetId="7">#REF!</definedName>
    <definedName name="mas_new_13" localSheetId="8">#REF!</definedName>
    <definedName name="mas_new_13" localSheetId="9">#REF!</definedName>
    <definedName name="mas_new_13">#REF!</definedName>
    <definedName name="mas_new_16" localSheetId="6">#REF!</definedName>
    <definedName name="mas_new_16" localSheetId="7">#REF!</definedName>
    <definedName name="mas_new_16" localSheetId="8">#REF!</definedName>
    <definedName name="mas_new_16" localSheetId="9">#REF!</definedName>
    <definedName name="mas_new_16">#REF!</definedName>
    <definedName name="mas_new_17" localSheetId="6">#REF!</definedName>
    <definedName name="mas_new_17" localSheetId="7">#REF!</definedName>
    <definedName name="mas_new_17" localSheetId="8">#REF!</definedName>
    <definedName name="mas_new_17" localSheetId="9">#REF!</definedName>
    <definedName name="mas_new_17">#REF!</definedName>
    <definedName name="mas_new_18" localSheetId="6">#REF!</definedName>
    <definedName name="mas_new_18" localSheetId="7">#REF!</definedName>
    <definedName name="mas_new_18" localSheetId="8">#REF!</definedName>
    <definedName name="mas_new_18" localSheetId="9">#REF!</definedName>
    <definedName name="mas_new_18">#REF!</definedName>
    <definedName name="mas_old" localSheetId="6">#REF!</definedName>
    <definedName name="mas_old" localSheetId="7">#REF!</definedName>
    <definedName name="mas_old" localSheetId="8">#REF!</definedName>
    <definedName name="mas_old" localSheetId="9">#REF!</definedName>
    <definedName name="mas_old">#REF!</definedName>
    <definedName name="mas_spisok" localSheetId="6">#REF!</definedName>
    <definedName name="mas_spisok" localSheetId="7">#REF!</definedName>
    <definedName name="mas_spisok" localSheetId="8">#REF!</definedName>
    <definedName name="mas_spisok" localSheetId="9">#REF!</definedName>
    <definedName name="mas_spisok">#REF!</definedName>
    <definedName name="mas_spisok_13" localSheetId="6">#REF!</definedName>
    <definedName name="mas_spisok_13" localSheetId="7">#REF!</definedName>
    <definedName name="mas_spisok_13" localSheetId="8">#REF!</definedName>
    <definedName name="mas_spisok_13" localSheetId="9">#REF!</definedName>
    <definedName name="mas_spisok_13">#REF!</definedName>
    <definedName name="mas_spisok_16" localSheetId="6">#REF!</definedName>
    <definedName name="mas_spisok_16" localSheetId="7">#REF!</definedName>
    <definedName name="mas_spisok_16" localSheetId="8">#REF!</definedName>
    <definedName name="mas_spisok_16" localSheetId="9">#REF!</definedName>
    <definedName name="mas_spisok_16">#REF!</definedName>
    <definedName name="mas_spisok_18" localSheetId="6">#REF!</definedName>
    <definedName name="mas_spisok_18" localSheetId="7">#REF!</definedName>
    <definedName name="mas_spisok_18" localSheetId="8">#REF!</definedName>
    <definedName name="mas_spisok_18" localSheetId="9">#REF!</definedName>
    <definedName name="mas_spisok_18">#REF!</definedName>
    <definedName name="MINEPLAN" localSheetId="6">#REF!</definedName>
    <definedName name="MINEPLAN" localSheetId="7">#REF!</definedName>
    <definedName name="MINEPLAN" localSheetId="8">#REF!</definedName>
    <definedName name="MINEPLAN" localSheetId="9">#REF!</definedName>
    <definedName name="MINEPLAN" localSheetId="12">#REF!</definedName>
    <definedName name="MINEPLAN" localSheetId="1">#REF!</definedName>
    <definedName name="MINEPLAN" localSheetId="2">#REF!</definedName>
    <definedName name="MINEPLAN" localSheetId="3">#REF!</definedName>
    <definedName name="MINEPLAN" localSheetId="4">#REF!</definedName>
    <definedName name="MINEPLAN" localSheetId="13">#REF!</definedName>
    <definedName name="MINEPLAN" localSheetId="0">#REF!</definedName>
    <definedName name="MINEPLAN" localSheetId="11">#REF!</definedName>
    <definedName name="MINEPLAN" localSheetId="5">#REF!</definedName>
    <definedName name="MINEPLAN">#REF!</definedName>
    <definedName name="mlx" localSheetId="6">#REF!</definedName>
    <definedName name="mlx" localSheetId="7">#REF!</definedName>
    <definedName name="mlx" localSheetId="8">#REF!</definedName>
    <definedName name="mlx" localSheetId="9">#REF!</definedName>
    <definedName name="mlx" localSheetId="12">#REF!</definedName>
    <definedName name="mlx" localSheetId="1">#REF!</definedName>
    <definedName name="mlx" localSheetId="2">#REF!</definedName>
    <definedName name="mlx" localSheetId="3">#REF!</definedName>
    <definedName name="mlx" localSheetId="4">#REF!</definedName>
    <definedName name="mlx" localSheetId="13">#REF!</definedName>
    <definedName name="mlx" localSheetId="0">#REF!</definedName>
    <definedName name="mlx" localSheetId="11">#REF!</definedName>
    <definedName name="mlx" localSheetId="5">#REF!</definedName>
    <definedName name="mlx">#REF!</definedName>
    <definedName name="net" localSheetId="6">#REF!</definedName>
    <definedName name="net" localSheetId="7">#REF!</definedName>
    <definedName name="net" localSheetId="8">#REF!</definedName>
    <definedName name="net" localSheetId="9">#REF!</definedName>
    <definedName name="net">#REF!</definedName>
    <definedName name="Njkf">#N/A</definedName>
    <definedName name="npv" localSheetId="6">#REF!</definedName>
    <definedName name="npv" localSheetId="7">#REF!</definedName>
    <definedName name="npv" localSheetId="8">#REF!</definedName>
    <definedName name="npv" localSheetId="9">#REF!</definedName>
    <definedName name="npv" localSheetId="12">#REF!</definedName>
    <definedName name="npv" localSheetId="1">#REF!</definedName>
    <definedName name="npv" localSheetId="2">#REF!</definedName>
    <definedName name="npv" localSheetId="3">#REF!</definedName>
    <definedName name="npv" localSheetId="4">#REF!</definedName>
    <definedName name="npv" localSheetId="13">#REF!</definedName>
    <definedName name="npv" localSheetId="0">#REF!</definedName>
    <definedName name="npv" localSheetId="11">#REF!</definedName>
    <definedName name="npv" localSheetId="5">#REF!</definedName>
    <definedName name="npv">#REF!</definedName>
    <definedName name="Num_Pmt_Per_Year" localSheetId="6">#REF!</definedName>
    <definedName name="Num_Pmt_Per_Year" localSheetId="7">#REF!</definedName>
    <definedName name="Num_Pmt_Per_Year" localSheetId="8">#REF!</definedName>
    <definedName name="Num_Pmt_Per_Year" localSheetId="9">#REF!</definedName>
    <definedName name="Num_Pmt_Per_Year">#REF!</definedName>
    <definedName name="Number_of_Payments" localSheetId="6">MATCH(0.01,'1 усл.'!End_Bal,-1)+1</definedName>
    <definedName name="Number_of_Payments" localSheetId="7">MATCH(0.01,'2 усл.'!End_Bal,-1)+1</definedName>
    <definedName name="Number_of_Payments" localSheetId="8">MATCH(0.01,'3 усл.'!End_Bal,-1)+1</definedName>
    <definedName name="Number_of_Payments" localSheetId="9">MATCH(0.01,'4 усл.'!End_Bal,-1)+1</definedName>
    <definedName name="Number_of_Payments">MATCH(0.01,End_Bal,-1)+1</definedName>
    <definedName name="OODRev">'[9]VI REVENUE OOD'!$A$19:$IV$19</definedName>
    <definedName name="OpDate">[11]Info!$G$5</definedName>
    <definedName name="OPERATINGYEAR">'[9]IIb P&amp;L short'!$A$5:$IV$5</definedName>
    <definedName name="OpYr">'[9]IV REVENUE ROOMS'!$A$5:$IV$5</definedName>
    <definedName name="OwnAmorLoanPerc">'[9]I KEY INFORMATION'!$I$342</definedName>
    <definedName name="OwnAmorLoanRate">'[9]I KEY INFORMATION'!$I$348</definedName>
    <definedName name="OwnAmorLoanRepay">'[9]I KEY INFORMATION'!$I$346</definedName>
    <definedName name="OwnBulletLoanPerc">'[9]I KEY INFORMATION'!$I$343</definedName>
    <definedName name="OwnBulletLoanRate">'[9]I KEY INFORMATION'!$I$352</definedName>
    <definedName name="OwnBulletLoanRepYr">'[9]I KEY INFORMATION'!$I$351</definedName>
    <definedName name="OwnDepMethod">'[9]I KEY INFORMATION'!$I$357</definedName>
    <definedName name="OwnIncTax">'[9]I KEY INFORMATION'!$I$338</definedName>
    <definedName name="OwnLandCharge">'[9]I KEY INFORMATION'!$I$339</definedName>
    <definedName name="OwnProjCost">'[9]I KEY INFORMATION'!$I$355</definedName>
    <definedName name="OwnPropUsefulLife">'[9]I KEY INFORMATION'!$I$356</definedName>
    <definedName name="OwnSeniorDebt">'[9]I KEY INFORMATION'!$I$341</definedName>
    <definedName name="Pay_Date" localSheetId="6">#REF!</definedName>
    <definedName name="Pay_Date" localSheetId="7">#REF!</definedName>
    <definedName name="Pay_Date" localSheetId="8">#REF!</definedName>
    <definedName name="Pay_Date" localSheetId="9">#REF!</definedName>
    <definedName name="Pay_Date">#REF!</definedName>
    <definedName name="Pay_Num" localSheetId="6">#REF!</definedName>
    <definedName name="Pay_Num" localSheetId="7">#REF!</definedName>
    <definedName name="Pay_Num" localSheetId="8">#REF!</definedName>
    <definedName name="Pay_Num" localSheetId="9">#REF!</definedName>
    <definedName name="Pay_Num">#REF!</definedName>
    <definedName name="Payment_Date" localSheetId="6">DATE(YEAR('1 усл.'!Loan_Start),MONTH('1 усл.'!Loan_Start)+Payment_Number,DAY('1 усл.'!Loan_Start))</definedName>
    <definedName name="Payment_Date" localSheetId="7">DATE(YEAR('2 усл.'!Loan_Start),MONTH('2 усл.'!Loan_Start)+Payment_Number,DAY('2 усл.'!Loan_Start))</definedName>
    <definedName name="Payment_Date" localSheetId="8">DATE(YEAR('3 усл.'!Loan_Start),MONTH('3 усл.'!Loan_Start)+Payment_Number,DAY('3 усл.'!Loan_Start))</definedName>
    <definedName name="Payment_Date" localSheetId="9">DATE(YEAR('4 усл.'!Loan_Start),MONTH('4 усл.'!Loan_Start)+Payment_Number,DAY('4 усл.'!Loan_Start))</definedName>
    <definedName name="Payment_Date">DATE(YEAR(Loan_Start),MONTH(Loan_Start)+Payment_Number,DAY(Loan_Start))</definedName>
    <definedName name="pc" localSheetId="6">#REF!</definedName>
    <definedName name="pc" localSheetId="7">#REF!</definedName>
    <definedName name="pc" localSheetId="8">#REF!</definedName>
    <definedName name="pc" localSheetId="9">#REF!</definedName>
    <definedName name="pc">#REF!</definedName>
    <definedName name="plage" localSheetId="6">#REF!</definedName>
    <definedName name="plage" localSheetId="7">#REF!</definedName>
    <definedName name="plage" localSheetId="8">#REF!</definedName>
    <definedName name="plage" localSheetId="9">#REF!</definedName>
    <definedName name="plage" localSheetId="12">#REF!</definedName>
    <definedName name="plage" localSheetId="1">#REF!</definedName>
    <definedName name="plage" localSheetId="2">#REF!</definedName>
    <definedName name="plage" localSheetId="3">#REF!</definedName>
    <definedName name="plage" localSheetId="4">#REF!</definedName>
    <definedName name="plage" localSheetId="13">#REF!</definedName>
    <definedName name="plage" localSheetId="0">#REF!</definedName>
    <definedName name="plage" localSheetId="11">#REF!</definedName>
    <definedName name="plage" localSheetId="5">#REF!</definedName>
    <definedName name="plage">#REF!</definedName>
    <definedName name="po" localSheetId="6">#REF!</definedName>
    <definedName name="po" localSheetId="7">#REF!</definedName>
    <definedName name="po" localSheetId="8">#REF!</definedName>
    <definedName name="po" localSheetId="9">#REF!</definedName>
    <definedName name="po">#REF!</definedName>
    <definedName name="Princ" localSheetId="6">#REF!</definedName>
    <definedName name="Princ" localSheetId="7">#REF!</definedName>
    <definedName name="Princ" localSheetId="8">#REF!</definedName>
    <definedName name="Princ" localSheetId="9">#REF!</definedName>
    <definedName name="Princ">#REF!</definedName>
    <definedName name="Print_Area_Reset" localSheetId="6">OFFSET('1 усл.'!Full_Print,0,0,'1 усл.'!Last_Row)</definedName>
    <definedName name="Print_Area_Reset" localSheetId="7">OFFSET('2 усл.'!Full_Print,0,0,'2 усл.'!Last_Row)</definedName>
    <definedName name="Print_Area_Reset" localSheetId="8">OFFSET('3 усл.'!Full_Print,0,0,'3 усл.'!Last_Row)</definedName>
    <definedName name="Print_Area_Reset" localSheetId="9">OFFSET('4 усл.'!Full_Print,0,0,'4 усл.'!Last_Row)</definedName>
    <definedName name="Print_Area_Reset">OFFSET(Full_Print,0,0,Last_Row)</definedName>
    <definedName name="PRINTCOST">[17]Production!$A$9:$Q$257</definedName>
    <definedName name="pz" localSheetId="6">#REF!</definedName>
    <definedName name="pz" localSheetId="7">#REF!</definedName>
    <definedName name="pz" localSheetId="8">#REF!</definedName>
    <definedName name="pz" localSheetId="9">#REF!</definedName>
    <definedName name="pz">#REF!</definedName>
    <definedName name="qq" localSheetId="1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sda" hidden="1">4</definedName>
    <definedName name="qwe">[22]Форма2!$C$19:$C$24,[22]Форма2!$E$19:$F$24,[22]Форма2!$D$26:$F$31,[22]Форма2!$C$33:$C$38,[22]Форма2!$E$33:$F$38,[22]Форма2!$D$40:$F$43,[22]Форма2!$C$45:$C$48,[22]Форма2!$E$45:$F$48,[22]Форма2!$C$19</definedName>
    <definedName name="qwe_13">[23]Форма2!$C$19:$C$24,[23]Форма2!$E$19:$F$24,[23]Форма2!$D$26:$F$31,[23]Форма2!$C$33:$C$38,[23]Форма2!$E$33:$F$38,[23]Форма2!$D$40:$F$43,[23]Форма2!$C$45:$C$48,[23]Форма2!$E$45:$F$48,[23]Форма2!$C$19</definedName>
    <definedName name="qwe_16">[23]Форма2!$C$19:$C$24,[23]Форма2!$E$19:$F$24,[23]Форма2!$D$26:$F$31,[23]Форма2!$C$33:$C$38,[23]Форма2!$E$33:$F$38,[23]Форма2!$D$40:$F$43,[23]Форма2!$C$45:$C$48,[23]Форма2!$E$45:$F$48,[23]Форма2!$C$19</definedName>
    <definedName name="qwe_18">[23]Форма2!$C$19:$C$24,[23]Форма2!$E$19:$F$24,[23]Форма2!$D$26:$F$31,[23]Форма2!$C$33:$C$38,[23]Форма2!$E$33:$F$38,[23]Форма2!$D$40:$F$43,[23]Форма2!$C$45:$C$48,[23]Форма2!$E$45:$F$48,[23]Форма2!$C$19</definedName>
    <definedName name="REAGENTS">'[4]Treatment Summary'!$F$8:$AR$133</definedName>
    <definedName name="RMNightsOcc">'[9]IV REVENUE ROOMS'!$A$14:$IV$14</definedName>
    <definedName name="RMSREV">'[9]IV REVENUE ROOMS'!$A$23:$IV$23</definedName>
    <definedName name="rng" localSheetId="6">#REF!</definedName>
    <definedName name="rng" localSheetId="7">#REF!</definedName>
    <definedName name="rng" localSheetId="8">#REF!</definedName>
    <definedName name="rng" localSheetId="9">#REF!</definedName>
    <definedName name="rng">#REF!</definedName>
    <definedName name="rngChartRange" localSheetId="6">#REF!</definedName>
    <definedName name="rngChartRange" localSheetId="7">#REF!</definedName>
    <definedName name="rngChartRange" localSheetId="8">#REF!</definedName>
    <definedName name="rngChartRange" localSheetId="9">#REF!</definedName>
    <definedName name="rngChartRange">#REF!</definedName>
    <definedName name="rngChartRange_13" localSheetId="6">#REF!</definedName>
    <definedName name="rngChartRange_13" localSheetId="7">#REF!</definedName>
    <definedName name="rngChartRange_13" localSheetId="8">#REF!</definedName>
    <definedName name="rngChartRange_13" localSheetId="9">#REF!</definedName>
    <definedName name="rngChartRange_13">#REF!</definedName>
    <definedName name="rngChartRange_16" localSheetId="6">#REF!</definedName>
    <definedName name="rngChartRange_16" localSheetId="7">#REF!</definedName>
    <definedName name="rngChartRange_16" localSheetId="8">#REF!</definedName>
    <definedName name="rngChartRange_16" localSheetId="9">#REF!</definedName>
    <definedName name="rngChartRange_16">#REF!</definedName>
    <definedName name="rngChartRange_18" localSheetId="6">#REF!</definedName>
    <definedName name="rngChartRange_18" localSheetId="7">#REF!</definedName>
    <definedName name="rngChartRange_18" localSheetId="8">#REF!</definedName>
    <definedName name="rngChartRange_18" localSheetId="9">#REF!</definedName>
    <definedName name="rngChartRange_18">#REF!</definedName>
    <definedName name="rngDataAll" localSheetId="6">#REF!</definedName>
    <definedName name="rngDataAll" localSheetId="7">#REF!</definedName>
    <definedName name="rngDataAll" localSheetId="8">#REF!</definedName>
    <definedName name="rngDataAll" localSheetId="9">#REF!</definedName>
    <definedName name="rngDataAll">#REF!</definedName>
    <definedName name="rngDataAll_13" localSheetId="6">#REF!</definedName>
    <definedName name="rngDataAll_13" localSheetId="7">#REF!</definedName>
    <definedName name="rngDataAll_13" localSheetId="8">#REF!</definedName>
    <definedName name="rngDataAll_13" localSheetId="9">#REF!</definedName>
    <definedName name="rngDataAll_13">#REF!</definedName>
    <definedName name="rngDataAll_16" localSheetId="6">#REF!</definedName>
    <definedName name="rngDataAll_16" localSheetId="7">#REF!</definedName>
    <definedName name="rngDataAll_16" localSheetId="8">#REF!</definedName>
    <definedName name="rngDataAll_16" localSheetId="9">#REF!</definedName>
    <definedName name="rngDataAll_16">#REF!</definedName>
    <definedName name="rngDataAll_18" localSheetId="6">#REF!</definedName>
    <definedName name="rngDataAll_18" localSheetId="7">#REF!</definedName>
    <definedName name="rngDataAll_18" localSheetId="8">#REF!</definedName>
    <definedName name="rngDataAll_18" localSheetId="9">#REF!</definedName>
    <definedName name="rngDataAll_18">#REF!</definedName>
    <definedName name="rngEnd" localSheetId="6">#REF!</definedName>
    <definedName name="rngEnd" localSheetId="7">#REF!</definedName>
    <definedName name="rngEnd" localSheetId="8">#REF!</definedName>
    <definedName name="rngEnd" localSheetId="9">#REF!</definedName>
    <definedName name="rngEnd">#REF!</definedName>
    <definedName name="rngEnd_13" localSheetId="6">#REF!</definedName>
    <definedName name="rngEnd_13" localSheetId="7">#REF!</definedName>
    <definedName name="rngEnd_13" localSheetId="8">#REF!</definedName>
    <definedName name="rngEnd_13" localSheetId="9">#REF!</definedName>
    <definedName name="rngEnd_13">#REF!</definedName>
    <definedName name="rngEnd_16" localSheetId="6">#REF!</definedName>
    <definedName name="rngEnd_16" localSheetId="7">#REF!</definedName>
    <definedName name="rngEnd_16" localSheetId="8">#REF!</definedName>
    <definedName name="rngEnd_16" localSheetId="9">#REF!</definedName>
    <definedName name="rngEnd_16">#REF!</definedName>
    <definedName name="rngEnd_18" localSheetId="6">#REF!</definedName>
    <definedName name="rngEnd_18" localSheetId="7">#REF!</definedName>
    <definedName name="rngEnd_18" localSheetId="8">#REF!</definedName>
    <definedName name="rngEnd_18" localSheetId="9">#REF!</definedName>
    <definedName name="rngEnd_18">#REF!</definedName>
    <definedName name="rngIATACode" localSheetId="6">#REF!</definedName>
    <definedName name="rngIATACode" localSheetId="7">#REF!</definedName>
    <definedName name="rngIATACode" localSheetId="8">#REF!</definedName>
    <definedName name="rngIATACode" localSheetId="9">#REF!</definedName>
    <definedName name="rngIATACode">#REF!</definedName>
    <definedName name="rngIATACode_13" localSheetId="6">#REF!</definedName>
    <definedName name="rngIATACode_13" localSheetId="7">#REF!</definedName>
    <definedName name="rngIATACode_13" localSheetId="8">#REF!</definedName>
    <definedName name="rngIATACode_13" localSheetId="9">#REF!</definedName>
    <definedName name="rngIATACode_13">#REF!</definedName>
    <definedName name="rngIATACode_16" localSheetId="6">#REF!</definedName>
    <definedName name="rngIATACode_16" localSheetId="7">#REF!</definedName>
    <definedName name="rngIATACode_16" localSheetId="8">#REF!</definedName>
    <definedName name="rngIATACode_16" localSheetId="9">#REF!</definedName>
    <definedName name="rngIATACode_16">#REF!</definedName>
    <definedName name="rngIATACode_18" localSheetId="6">#REF!</definedName>
    <definedName name="rngIATACode_18" localSheetId="7">#REF!</definedName>
    <definedName name="rngIATACode_18" localSheetId="8">#REF!</definedName>
    <definedName name="rngIATACode_18" localSheetId="9">#REF!</definedName>
    <definedName name="rngIATACode_18">#REF!</definedName>
    <definedName name="rngResStart" localSheetId="6">#REF!</definedName>
    <definedName name="rngResStart" localSheetId="7">#REF!</definedName>
    <definedName name="rngResStart" localSheetId="8">#REF!</definedName>
    <definedName name="rngResStart" localSheetId="9">#REF!</definedName>
    <definedName name="rngResStart">#REF!</definedName>
    <definedName name="rngResStart_13" localSheetId="6">#REF!</definedName>
    <definedName name="rngResStart_13" localSheetId="7">#REF!</definedName>
    <definedName name="rngResStart_13" localSheetId="8">#REF!</definedName>
    <definedName name="rngResStart_13" localSheetId="9">#REF!</definedName>
    <definedName name="rngResStart_13">#REF!</definedName>
    <definedName name="rngResStart_16" localSheetId="6">#REF!</definedName>
    <definedName name="rngResStart_16" localSheetId="7">#REF!</definedName>
    <definedName name="rngResStart_16" localSheetId="8">#REF!</definedName>
    <definedName name="rngResStart_16" localSheetId="9">#REF!</definedName>
    <definedName name="rngResStart_16">#REF!</definedName>
    <definedName name="rngResStart_18" localSheetId="6">#REF!</definedName>
    <definedName name="rngResStart_18" localSheetId="7">#REF!</definedName>
    <definedName name="rngResStart_18" localSheetId="8">#REF!</definedName>
    <definedName name="rngResStart_18" localSheetId="9">#REF!</definedName>
    <definedName name="rngResStart_18">#REF!</definedName>
    <definedName name="rngStart" localSheetId="6">#REF!</definedName>
    <definedName name="rngStart" localSheetId="7">#REF!</definedName>
    <definedName name="rngStart" localSheetId="8">#REF!</definedName>
    <definedName name="rngStart" localSheetId="9">#REF!</definedName>
    <definedName name="rngStart">#REF!</definedName>
    <definedName name="rngStart_13" localSheetId="6">#REF!</definedName>
    <definedName name="rngStart_13" localSheetId="7">#REF!</definedName>
    <definedName name="rngStart_13" localSheetId="8">#REF!</definedName>
    <definedName name="rngStart_13" localSheetId="9">#REF!</definedName>
    <definedName name="rngStart_13">#REF!</definedName>
    <definedName name="rngStart_16" localSheetId="6">#REF!</definedName>
    <definedName name="rngStart_16" localSheetId="7">#REF!</definedName>
    <definedName name="rngStart_16" localSheetId="8">#REF!</definedName>
    <definedName name="rngStart_16" localSheetId="9">#REF!</definedName>
    <definedName name="rngStart_16">#REF!</definedName>
    <definedName name="rngStart_18" localSheetId="6">#REF!</definedName>
    <definedName name="rngStart_18" localSheetId="7">#REF!</definedName>
    <definedName name="rngStart_18" localSheetId="8">#REF!</definedName>
    <definedName name="rngStart_18" localSheetId="9">#REF!</definedName>
    <definedName name="rngStart_18">#REF!</definedName>
    <definedName name="rngUpdate" localSheetId="6">#REF!</definedName>
    <definedName name="rngUpdate" localSheetId="7">#REF!</definedName>
    <definedName name="rngUpdate" localSheetId="8">#REF!</definedName>
    <definedName name="rngUpdate" localSheetId="9">#REF!</definedName>
    <definedName name="rngUpdate">#REF!</definedName>
    <definedName name="rngUpdate_13" localSheetId="6">#REF!</definedName>
    <definedName name="rngUpdate_13" localSheetId="7">#REF!</definedName>
    <definedName name="rngUpdate_13" localSheetId="8">#REF!</definedName>
    <definedName name="rngUpdate_13" localSheetId="9">#REF!</definedName>
    <definedName name="rngUpdate_13">#REF!</definedName>
    <definedName name="rngUpdate_16" localSheetId="6">#REF!</definedName>
    <definedName name="rngUpdate_16" localSheetId="7">#REF!</definedName>
    <definedName name="rngUpdate_16" localSheetId="8">#REF!</definedName>
    <definedName name="rngUpdate_16" localSheetId="9">#REF!</definedName>
    <definedName name="rngUpdate_16">#REF!</definedName>
    <definedName name="rngUpdate_18" localSheetId="6">#REF!</definedName>
    <definedName name="rngUpdate_18" localSheetId="7">#REF!</definedName>
    <definedName name="rngUpdate_18" localSheetId="8">#REF!</definedName>
    <definedName name="rngUpdate_18" localSheetId="9">#REF!</definedName>
    <definedName name="rngUpdate_18">#REF!</definedName>
    <definedName name="RoomNo">'[9]I KEY INFORMATION'!$I$67</definedName>
    <definedName name="rost" localSheetId="6">#REF!</definedName>
    <definedName name="rost" localSheetId="7">#REF!</definedName>
    <definedName name="rost" localSheetId="8">#REF!</definedName>
    <definedName name="rost" localSheetId="9">#REF!</definedName>
    <definedName name="rost">#REF!</definedName>
    <definedName name="S1_" localSheetId="6">#REF!</definedName>
    <definedName name="S1_" localSheetId="7">#REF!</definedName>
    <definedName name="S1_" localSheetId="8">#REF!</definedName>
    <definedName name="S1_" localSheetId="9">#REF!</definedName>
    <definedName name="S1_">#REF!</definedName>
    <definedName name="S1__13" localSheetId="6">#REF!</definedName>
    <definedName name="S1__13" localSheetId="7">#REF!</definedName>
    <definedName name="S1__13" localSheetId="8">#REF!</definedName>
    <definedName name="S1__13" localSheetId="9">#REF!</definedName>
    <definedName name="S1__13">#REF!</definedName>
    <definedName name="S1__16" localSheetId="6">#REF!</definedName>
    <definedName name="S1__16" localSheetId="7">#REF!</definedName>
    <definedName name="S1__16" localSheetId="8">#REF!</definedName>
    <definedName name="S1__16" localSheetId="9">#REF!</definedName>
    <definedName name="S1__16">#REF!</definedName>
    <definedName name="S1__18" localSheetId="6">#REF!</definedName>
    <definedName name="S1__18" localSheetId="7">#REF!</definedName>
    <definedName name="S1__18" localSheetId="8">#REF!</definedName>
    <definedName name="S1__18" localSheetId="9">#REF!</definedName>
    <definedName name="S1__18">#REF!</definedName>
    <definedName name="s1_0" localSheetId="6">#REF!</definedName>
    <definedName name="s1_0" localSheetId="7">#REF!</definedName>
    <definedName name="s1_0" localSheetId="8">#REF!</definedName>
    <definedName name="s1_0" localSheetId="9">#REF!</definedName>
    <definedName name="s1_0">#REF!</definedName>
    <definedName name="s1_0_13" localSheetId="6">#REF!</definedName>
    <definedName name="s1_0_13" localSheetId="7">#REF!</definedName>
    <definedName name="s1_0_13" localSheetId="8">#REF!</definedName>
    <definedName name="s1_0_13" localSheetId="9">#REF!</definedName>
    <definedName name="s1_0_13">#REF!</definedName>
    <definedName name="s1_0_16" localSheetId="6">#REF!</definedName>
    <definedName name="s1_0_16" localSheetId="7">#REF!</definedName>
    <definedName name="s1_0_16" localSheetId="8">#REF!</definedName>
    <definedName name="s1_0_16" localSheetId="9">#REF!</definedName>
    <definedName name="s1_0_16">#REF!</definedName>
    <definedName name="s1_0_17" localSheetId="6">#REF!</definedName>
    <definedName name="s1_0_17" localSheetId="7">#REF!</definedName>
    <definedName name="s1_0_17" localSheetId="8">#REF!</definedName>
    <definedName name="s1_0_17" localSheetId="9">#REF!</definedName>
    <definedName name="s1_0_17">#REF!</definedName>
    <definedName name="s1_0_18" localSheetId="6">#REF!</definedName>
    <definedName name="s1_0_18" localSheetId="7">#REF!</definedName>
    <definedName name="s1_0_18" localSheetId="8">#REF!</definedName>
    <definedName name="s1_0_18" localSheetId="9">#REF!</definedName>
    <definedName name="s1_0_18">#REF!</definedName>
    <definedName name="s1_1" localSheetId="6">#REF!</definedName>
    <definedName name="s1_1" localSheetId="7">#REF!</definedName>
    <definedName name="s1_1" localSheetId="8">#REF!</definedName>
    <definedName name="s1_1" localSheetId="9">#REF!</definedName>
    <definedName name="s1_1">#REF!</definedName>
    <definedName name="s1_1_13" localSheetId="6">#REF!</definedName>
    <definedName name="s1_1_13" localSheetId="7">#REF!</definedName>
    <definedName name="s1_1_13" localSheetId="8">#REF!</definedName>
    <definedName name="s1_1_13" localSheetId="9">#REF!</definedName>
    <definedName name="s1_1_13">#REF!</definedName>
    <definedName name="s1_1_16" localSheetId="6">#REF!</definedName>
    <definedName name="s1_1_16" localSheetId="7">#REF!</definedName>
    <definedName name="s1_1_16" localSheetId="8">#REF!</definedName>
    <definedName name="s1_1_16" localSheetId="9">#REF!</definedName>
    <definedName name="s1_1_16">#REF!</definedName>
    <definedName name="s1_1_17" localSheetId="6">#REF!</definedName>
    <definedName name="s1_1_17" localSheetId="7">#REF!</definedName>
    <definedName name="s1_1_17" localSheetId="8">#REF!</definedName>
    <definedName name="s1_1_17" localSheetId="9">#REF!</definedName>
    <definedName name="s1_1_17">#REF!</definedName>
    <definedName name="s1_1_18" localSheetId="6">#REF!</definedName>
    <definedName name="s1_1_18" localSheetId="7">#REF!</definedName>
    <definedName name="s1_1_18" localSheetId="8">#REF!</definedName>
    <definedName name="s1_1_18" localSheetId="9">#REF!</definedName>
    <definedName name="s1_1_18">#REF!</definedName>
    <definedName name="S10_" localSheetId="6">#REF!</definedName>
    <definedName name="S10_" localSheetId="7">#REF!</definedName>
    <definedName name="S10_" localSheetId="8">#REF!</definedName>
    <definedName name="S10_" localSheetId="9">#REF!</definedName>
    <definedName name="S10_">#REF!</definedName>
    <definedName name="S10__13" localSheetId="6">#REF!</definedName>
    <definedName name="S10__13" localSheetId="7">#REF!</definedName>
    <definedName name="S10__13" localSheetId="8">#REF!</definedName>
    <definedName name="S10__13" localSheetId="9">#REF!</definedName>
    <definedName name="S10__13">#REF!</definedName>
    <definedName name="S10__16" localSheetId="6">#REF!</definedName>
    <definedName name="S10__16" localSheetId="7">#REF!</definedName>
    <definedName name="S10__16" localSheetId="8">#REF!</definedName>
    <definedName name="S10__16" localSheetId="9">#REF!</definedName>
    <definedName name="S10__16">#REF!</definedName>
    <definedName name="S10__18" localSheetId="6">#REF!</definedName>
    <definedName name="S10__18" localSheetId="7">#REF!</definedName>
    <definedName name="S10__18" localSheetId="8">#REF!</definedName>
    <definedName name="S10__18" localSheetId="9">#REF!</definedName>
    <definedName name="S10__18">#REF!</definedName>
    <definedName name="S11_" localSheetId="6">#REF!</definedName>
    <definedName name="S11_" localSheetId="7">#REF!</definedName>
    <definedName name="S11_" localSheetId="8">#REF!</definedName>
    <definedName name="S11_" localSheetId="9">#REF!</definedName>
    <definedName name="S11_">#REF!</definedName>
    <definedName name="S11__13" localSheetId="6">#REF!</definedName>
    <definedName name="S11__13" localSheetId="7">#REF!</definedName>
    <definedName name="S11__13" localSheetId="8">#REF!</definedName>
    <definedName name="S11__13" localSheetId="9">#REF!</definedName>
    <definedName name="S11__13">#REF!</definedName>
    <definedName name="S11__16" localSheetId="6">#REF!</definedName>
    <definedName name="S11__16" localSheetId="7">#REF!</definedName>
    <definedName name="S11__16" localSheetId="8">#REF!</definedName>
    <definedName name="S11__16" localSheetId="9">#REF!</definedName>
    <definedName name="S11__16">#REF!</definedName>
    <definedName name="S11__18" localSheetId="6">#REF!</definedName>
    <definedName name="S11__18" localSheetId="7">#REF!</definedName>
    <definedName name="S11__18" localSheetId="8">#REF!</definedName>
    <definedName name="S11__18" localSheetId="9">#REF!</definedName>
    <definedName name="S11__18">#REF!</definedName>
    <definedName name="S12_" localSheetId="6">#REF!</definedName>
    <definedName name="S12_" localSheetId="7">#REF!</definedName>
    <definedName name="S12_" localSheetId="8">#REF!</definedName>
    <definedName name="S12_" localSheetId="9">#REF!</definedName>
    <definedName name="S12_">#REF!</definedName>
    <definedName name="S12__13" localSheetId="6">#REF!</definedName>
    <definedName name="S12__13" localSheetId="7">#REF!</definedName>
    <definedName name="S12__13" localSheetId="8">#REF!</definedName>
    <definedName name="S12__13" localSheetId="9">#REF!</definedName>
    <definedName name="S12__13">#REF!</definedName>
    <definedName name="S12__16" localSheetId="6">#REF!</definedName>
    <definedName name="S12__16" localSheetId="7">#REF!</definedName>
    <definedName name="S12__16" localSheetId="8">#REF!</definedName>
    <definedName name="S12__16" localSheetId="9">#REF!</definedName>
    <definedName name="S12__16">#REF!</definedName>
    <definedName name="S12__18" localSheetId="6">#REF!</definedName>
    <definedName name="S12__18" localSheetId="7">#REF!</definedName>
    <definedName name="S12__18" localSheetId="8">#REF!</definedName>
    <definedName name="S12__18" localSheetId="9">#REF!</definedName>
    <definedName name="S12__18">#REF!</definedName>
    <definedName name="S13_" localSheetId="6">#REF!</definedName>
    <definedName name="S13_" localSheetId="7">#REF!</definedName>
    <definedName name="S13_" localSheetId="8">#REF!</definedName>
    <definedName name="S13_" localSheetId="9">#REF!</definedName>
    <definedName name="S13_">#REF!</definedName>
    <definedName name="S13__13" localSheetId="6">#REF!</definedName>
    <definedName name="S13__13" localSheetId="7">#REF!</definedName>
    <definedName name="S13__13" localSheetId="8">#REF!</definedName>
    <definedName name="S13__13" localSheetId="9">#REF!</definedName>
    <definedName name="S13__13">#REF!</definedName>
    <definedName name="S13__16" localSheetId="6">#REF!</definedName>
    <definedName name="S13__16" localSheetId="7">#REF!</definedName>
    <definedName name="S13__16" localSheetId="8">#REF!</definedName>
    <definedName name="S13__16" localSheetId="9">#REF!</definedName>
    <definedName name="S13__16">#REF!</definedName>
    <definedName name="S13__18" localSheetId="6">#REF!</definedName>
    <definedName name="S13__18" localSheetId="7">#REF!</definedName>
    <definedName name="S13__18" localSheetId="8">#REF!</definedName>
    <definedName name="S13__18" localSheetId="9">#REF!</definedName>
    <definedName name="S13__18">#REF!</definedName>
    <definedName name="S14_" localSheetId="6">#REF!</definedName>
    <definedName name="S14_" localSheetId="7">#REF!</definedName>
    <definedName name="S14_" localSheetId="8">#REF!</definedName>
    <definedName name="S14_" localSheetId="9">#REF!</definedName>
    <definedName name="S14_">#REF!</definedName>
    <definedName name="S14__13" localSheetId="6">#REF!</definedName>
    <definedName name="S14__13" localSheetId="7">#REF!</definedName>
    <definedName name="S14__13" localSheetId="8">#REF!</definedName>
    <definedName name="S14__13" localSheetId="9">#REF!</definedName>
    <definedName name="S14__13">#REF!</definedName>
    <definedName name="S14__16" localSheetId="6">#REF!</definedName>
    <definedName name="S14__16" localSheetId="7">#REF!</definedName>
    <definedName name="S14__16" localSheetId="8">#REF!</definedName>
    <definedName name="S14__16" localSheetId="9">#REF!</definedName>
    <definedName name="S14__16">#REF!</definedName>
    <definedName name="S14__18" localSheetId="6">#REF!</definedName>
    <definedName name="S14__18" localSheetId="7">#REF!</definedName>
    <definedName name="S14__18" localSheetId="8">#REF!</definedName>
    <definedName name="S14__18" localSheetId="9">#REF!</definedName>
    <definedName name="S14__18">#REF!</definedName>
    <definedName name="S15_" localSheetId="6">#REF!</definedName>
    <definedName name="S15_" localSheetId="7">#REF!</definedName>
    <definedName name="S15_" localSheetId="8">#REF!</definedName>
    <definedName name="S15_" localSheetId="9">#REF!</definedName>
    <definedName name="S15_">#REF!</definedName>
    <definedName name="S15__13" localSheetId="6">#REF!</definedName>
    <definedName name="S15__13" localSheetId="7">#REF!</definedName>
    <definedName name="S15__13" localSheetId="8">#REF!</definedName>
    <definedName name="S15__13" localSheetId="9">#REF!</definedName>
    <definedName name="S15__13">#REF!</definedName>
    <definedName name="S15__16" localSheetId="6">#REF!</definedName>
    <definedName name="S15__16" localSheetId="7">#REF!</definedName>
    <definedName name="S15__16" localSheetId="8">#REF!</definedName>
    <definedName name="S15__16" localSheetId="9">#REF!</definedName>
    <definedName name="S15__16">#REF!</definedName>
    <definedName name="S15__18" localSheetId="6">#REF!</definedName>
    <definedName name="S15__18" localSheetId="7">#REF!</definedName>
    <definedName name="S15__18" localSheetId="8">#REF!</definedName>
    <definedName name="S15__18" localSheetId="9">#REF!</definedName>
    <definedName name="S15__18">#REF!</definedName>
    <definedName name="S16_" localSheetId="6">#REF!</definedName>
    <definedName name="S16_" localSheetId="7">#REF!</definedName>
    <definedName name="S16_" localSheetId="8">#REF!</definedName>
    <definedName name="S16_" localSheetId="9">#REF!</definedName>
    <definedName name="S16_">#REF!</definedName>
    <definedName name="S16__13" localSheetId="6">#REF!</definedName>
    <definedName name="S16__13" localSheetId="7">#REF!</definedName>
    <definedName name="S16__13" localSheetId="8">#REF!</definedName>
    <definedName name="S16__13" localSheetId="9">#REF!</definedName>
    <definedName name="S16__13">#REF!</definedName>
    <definedName name="S16__16" localSheetId="6">#REF!</definedName>
    <definedName name="S16__16" localSheetId="7">#REF!</definedName>
    <definedName name="S16__16" localSheetId="8">#REF!</definedName>
    <definedName name="S16__16" localSheetId="9">#REF!</definedName>
    <definedName name="S16__16">#REF!</definedName>
    <definedName name="S16__18" localSheetId="6">#REF!</definedName>
    <definedName name="S16__18" localSheetId="7">#REF!</definedName>
    <definedName name="S16__18" localSheetId="8">#REF!</definedName>
    <definedName name="S16__18" localSheetId="9">#REF!</definedName>
    <definedName name="S16__18">#REF!</definedName>
    <definedName name="S17_" localSheetId="6">#REF!</definedName>
    <definedName name="S17_" localSheetId="7">#REF!</definedName>
    <definedName name="S17_" localSheetId="8">#REF!</definedName>
    <definedName name="S17_" localSheetId="9">#REF!</definedName>
    <definedName name="S17_">#REF!</definedName>
    <definedName name="S17__13" localSheetId="6">#REF!</definedName>
    <definedName name="S17__13" localSheetId="7">#REF!</definedName>
    <definedName name="S17__13" localSheetId="8">#REF!</definedName>
    <definedName name="S17__13" localSheetId="9">#REF!</definedName>
    <definedName name="S17__13">#REF!</definedName>
    <definedName name="S17__16" localSheetId="6">#REF!</definedName>
    <definedName name="S17__16" localSheetId="7">#REF!</definedName>
    <definedName name="S17__16" localSheetId="8">#REF!</definedName>
    <definedName name="S17__16" localSheetId="9">#REF!</definedName>
    <definedName name="S17__16">#REF!</definedName>
    <definedName name="S17__18" localSheetId="6">#REF!</definedName>
    <definedName name="S17__18" localSheetId="7">#REF!</definedName>
    <definedName name="S17__18" localSheetId="8">#REF!</definedName>
    <definedName name="S17__18" localSheetId="9">#REF!</definedName>
    <definedName name="S17__18">#REF!</definedName>
    <definedName name="S18_" localSheetId="6">#REF!</definedName>
    <definedName name="S18_" localSheetId="7">#REF!</definedName>
    <definedName name="S18_" localSheetId="8">#REF!</definedName>
    <definedName name="S18_" localSheetId="9">#REF!</definedName>
    <definedName name="S18_">#REF!</definedName>
    <definedName name="S18__13" localSheetId="6">#REF!</definedName>
    <definedName name="S18__13" localSheetId="7">#REF!</definedName>
    <definedName name="S18__13" localSheetId="8">#REF!</definedName>
    <definedName name="S18__13" localSheetId="9">#REF!</definedName>
    <definedName name="S18__13">#REF!</definedName>
    <definedName name="S18__16" localSheetId="6">#REF!</definedName>
    <definedName name="S18__16" localSheetId="7">#REF!</definedName>
    <definedName name="S18__16" localSheetId="8">#REF!</definedName>
    <definedName name="S18__16" localSheetId="9">#REF!</definedName>
    <definedName name="S18__16">#REF!</definedName>
    <definedName name="S18__18" localSheetId="6">#REF!</definedName>
    <definedName name="S18__18" localSheetId="7">#REF!</definedName>
    <definedName name="S18__18" localSheetId="8">#REF!</definedName>
    <definedName name="S18__18" localSheetId="9">#REF!</definedName>
    <definedName name="S18__18">#REF!</definedName>
    <definedName name="S19_" localSheetId="6">#REF!</definedName>
    <definedName name="S19_" localSheetId="7">#REF!</definedName>
    <definedName name="S19_" localSheetId="8">#REF!</definedName>
    <definedName name="S19_" localSheetId="9">#REF!</definedName>
    <definedName name="S19_">#REF!</definedName>
    <definedName name="S19__13" localSheetId="6">#REF!</definedName>
    <definedName name="S19__13" localSheetId="7">#REF!</definedName>
    <definedName name="S19__13" localSheetId="8">#REF!</definedName>
    <definedName name="S19__13" localSheetId="9">#REF!</definedName>
    <definedName name="S19__13">#REF!</definedName>
    <definedName name="S19__16" localSheetId="6">#REF!</definedName>
    <definedName name="S19__16" localSheetId="7">#REF!</definedName>
    <definedName name="S19__16" localSheetId="8">#REF!</definedName>
    <definedName name="S19__16" localSheetId="9">#REF!</definedName>
    <definedName name="S19__16">#REF!</definedName>
    <definedName name="S19__18" localSheetId="6">#REF!</definedName>
    <definedName name="S19__18" localSheetId="7">#REF!</definedName>
    <definedName name="S19__18" localSheetId="8">#REF!</definedName>
    <definedName name="S19__18" localSheetId="9">#REF!</definedName>
    <definedName name="S19__18">#REF!</definedName>
    <definedName name="S2_" localSheetId="6">#REF!</definedName>
    <definedName name="S2_" localSheetId="7">#REF!</definedName>
    <definedName name="S2_" localSheetId="8">#REF!</definedName>
    <definedName name="S2_" localSheetId="9">#REF!</definedName>
    <definedName name="S2_">#REF!</definedName>
    <definedName name="S2__13" localSheetId="6">#REF!</definedName>
    <definedName name="S2__13" localSheetId="7">#REF!</definedName>
    <definedName name="S2__13" localSheetId="8">#REF!</definedName>
    <definedName name="S2__13" localSheetId="9">#REF!</definedName>
    <definedName name="S2__13">#REF!</definedName>
    <definedName name="S2__16" localSheetId="6">#REF!</definedName>
    <definedName name="S2__16" localSheetId="7">#REF!</definedName>
    <definedName name="S2__16" localSheetId="8">#REF!</definedName>
    <definedName name="S2__16" localSheetId="9">#REF!</definedName>
    <definedName name="S2__16">#REF!</definedName>
    <definedName name="S2__18" localSheetId="6">#REF!</definedName>
    <definedName name="S2__18" localSheetId="7">#REF!</definedName>
    <definedName name="S2__18" localSheetId="8">#REF!</definedName>
    <definedName name="S2__18" localSheetId="9">#REF!</definedName>
    <definedName name="S2__18">#REF!</definedName>
    <definedName name="S20_" localSheetId="6">#REF!</definedName>
    <definedName name="S20_" localSheetId="7">#REF!</definedName>
    <definedName name="S20_" localSheetId="8">#REF!</definedName>
    <definedName name="S20_" localSheetId="9">#REF!</definedName>
    <definedName name="S20_">#REF!</definedName>
    <definedName name="S20__13" localSheetId="6">#REF!</definedName>
    <definedName name="S20__13" localSheetId="7">#REF!</definedName>
    <definedName name="S20__13" localSheetId="8">#REF!</definedName>
    <definedName name="S20__13" localSheetId="9">#REF!</definedName>
    <definedName name="S20__13">#REF!</definedName>
    <definedName name="S20__16" localSheetId="6">#REF!</definedName>
    <definedName name="S20__16" localSheetId="7">#REF!</definedName>
    <definedName name="S20__16" localSheetId="8">#REF!</definedName>
    <definedName name="S20__16" localSheetId="9">#REF!</definedName>
    <definedName name="S20__16">#REF!</definedName>
    <definedName name="S20__18" localSheetId="6">#REF!</definedName>
    <definedName name="S20__18" localSheetId="7">#REF!</definedName>
    <definedName name="S20__18" localSheetId="8">#REF!</definedName>
    <definedName name="S20__18" localSheetId="9">#REF!</definedName>
    <definedName name="S20__18">#REF!</definedName>
    <definedName name="S3_" localSheetId="6">#REF!</definedName>
    <definedName name="S3_" localSheetId="7">#REF!</definedName>
    <definedName name="S3_" localSheetId="8">#REF!</definedName>
    <definedName name="S3_" localSheetId="9">#REF!</definedName>
    <definedName name="S3_">#REF!</definedName>
    <definedName name="S3__13" localSheetId="6">#REF!</definedName>
    <definedName name="S3__13" localSheetId="7">#REF!</definedName>
    <definedName name="S3__13" localSheetId="8">#REF!</definedName>
    <definedName name="S3__13" localSheetId="9">#REF!</definedName>
    <definedName name="S3__13">#REF!</definedName>
    <definedName name="S3__16" localSheetId="6">#REF!</definedName>
    <definedName name="S3__16" localSheetId="7">#REF!</definedName>
    <definedName name="S3__16" localSheetId="8">#REF!</definedName>
    <definedName name="S3__16" localSheetId="9">#REF!</definedName>
    <definedName name="S3__16">#REF!</definedName>
    <definedName name="S3__18" localSheetId="6">#REF!</definedName>
    <definedName name="S3__18" localSheetId="7">#REF!</definedName>
    <definedName name="S3__18" localSheetId="8">#REF!</definedName>
    <definedName name="S3__18" localSheetId="9">#REF!</definedName>
    <definedName name="S3__18">#REF!</definedName>
    <definedName name="S4_" localSheetId="6">#REF!</definedName>
    <definedName name="S4_" localSheetId="7">#REF!</definedName>
    <definedName name="S4_" localSheetId="8">#REF!</definedName>
    <definedName name="S4_" localSheetId="9">#REF!</definedName>
    <definedName name="S4_">#REF!</definedName>
    <definedName name="S4__13" localSheetId="6">#REF!</definedName>
    <definedName name="S4__13" localSheetId="7">#REF!</definedName>
    <definedName name="S4__13" localSheetId="8">#REF!</definedName>
    <definedName name="S4__13" localSheetId="9">#REF!</definedName>
    <definedName name="S4__13">#REF!</definedName>
    <definedName name="S4__16" localSheetId="6">#REF!</definedName>
    <definedName name="S4__16" localSheetId="7">#REF!</definedName>
    <definedName name="S4__16" localSheetId="8">#REF!</definedName>
    <definedName name="S4__16" localSheetId="9">#REF!</definedName>
    <definedName name="S4__16">#REF!</definedName>
    <definedName name="S4__18" localSheetId="6">#REF!</definedName>
    <definedName name="S4__18" localSheetId="7">#REF!</definedName>
    <definedName name="S4__18" localSheetId="8">#REF!</definedName>
    <definedName name="S4__18" localSheetId="9">#REF!</definedName>
    <definedName name="S4__18">#REF!</definedName>
    <definedName name="S5_" localSheetId="6">#REF!</definedName>
    <definedName name="S5_" localSheetId="7">#REF!</definedName>
    <definedName name="S5_" localSheetId="8">#REF!</definedName>
    <definedName name="S5_" localSheetId="9">#REF!</definedName>
    <definedName name="S5_">#REF!</definedName>
    <definedName name="S5__13" localSheetId="6">#REF!</definedName>
    <definedName name="S5__13" localSheetId="7">#REF!</definedName>
    <definedName name="S5__13" localSheetId="8">#REF!</definedName>
    <definedName name="S5__13" localSheetId="9">#REF!</definedName>
    <definedName name="S5__13">#REF!</definedName>
    <definedName name="S5__16" localSheetId="6">#REF!</definedName>
    <definedName name="S5__16" localSheetId="7">#REF!</definedName>
    <definedName name="S5__16" localSheetId="8">#REF!</definedName>
    <definedName name="S5__16" localSheetId="9">#REF!</definedName>
    <definedName name="S5__16">#REF!</definedName>
    <definedName name="S5__18" localSheetId="6">#REF!</definedName>
    <definedName name="S5__18" localSheetId="7">#REF!</definedName>
    <definedName name="S5__18" localSheetId="8">#REF!</definedName>
    <definedName name="S5__18" localSheetId="9">#REF!</definedName>
    <definedName name="S5__18">#REF!</definedName>
    <definedName name="S6_" localSheetId="6">#REF!</definedName>
    <definedName name="S6_" localSheetId="7">#REF!</definedName>
    <definedName name="S6_" localSheetId="8">#REF!</definedName>
    <definedName name="S6_" localSheetId="9">#REF!</definedName>
    <definedName name="S6_">#REF!</definedName>
    <definedName name="S6__13" localSheetId="6">#REF!</definedName>
    <definedName name="S6__13" localSheetId="7">#REF!</definedName>
    <definedName name="S6__13" localSheetId="8">#REF!</definedName>
    <definedName name="S6__13" localSheetId="9">#REF!</definedName>
    <definedName name="S6__13">#REF!</definedName>
    <definedName name="S6__16" localSheetId="6">#REF!</definedName>
    <definedName name="S6__16" localSheetId="7">#REF!</definedName>
    <definedName name="S6__16" localSheetId="8">#REF!</definedName>
    <definedName name="S6__16" localSheetId="9">#REF!</definedName>
    <definedName name="S6__16">#REF!</definedName>
    <definedName name="S6__18" localSheetId="6">#REF!</definedName>
    <definedName name="S6__18" localSheetId="7">#REF!</definedName>
    <definedName name="S6__18" localSheetId="8">#REF!</definedName>
    <definedName name="S6__18" localSheetId="9">#REF!</definedName>
    <definedName name="S6__18">#REF!</definedName>
    <definedName name="S7_" localSheetId="6">#REF!</definedName>
    <definedName name="S7_" localSheetId="7">#REF!</definedName>
    <definedName name="S7_" localSheetId="8">#REF!</definedName>
    <definedName name="S7_" localSheetId="9">#REF!</definedName>
    <definedName name="S7_">#REF!</definedName>
    <definedName name="S7__13" localSheetId="6">#REF!</definedName>
    <definedName name="S7__13" localSheetId="7">#REF!</definedName>
    <definedName name="S7__13" localSheetId="8">#REF!</definedName>
    <definedName name="S7__13" localSheetId="9">#REF!</definedName>
    <definedName name="S7__13">#REF!</definedName>
    <definedName name="S7__16" localSheetId="6">#REF!</definedName>
    <definedName name="S7__16" localSheetId="7">#REF!</definedName>
    <definedName name="S7__16" localSheetId="8">#REF!</definedName>
    <definedName name="S7__16" localSheetId="9">#REF!</definedName>
    <definedName name="S7__16">#REF!</definedName>
    <definedName name="S7__18" localSheetId="6">#REF!</definedName>
    <definedName name="S7__18" localSheetId="7">#REF!</definedName>
    <definedName name="S7__18" localSheetId="8">#REF!</definedName>
    <definedName name="S7__18" localSheetId="9">#REF!</definedName>
    <definedName name="S7__18">#REF!</definedName>
    <definedName name="S8_" localSheetId="6">#REF!</definedName>
    <definedName name="S8_" localSheetId="7">#REF!</definedName>
    <definedName name="S8_" localSheetId="8">#REF!</definedName>
    <definedName name="S8_" localSheetId="9">#REF!</definedName>
    <definedName name="S8_">#REF!</definedName>
    <definedName name="S8__13" localSheetId="6">#REF!</definedName>
    <definedName name="S8__13" localSheetId="7">#REF!</definedName>
    <definedName name="S8__13" localSheetId="8">#REF!</definedName>
    <definedName name="S8__13" localSheetId="9">#REF!</definedName>
    <definedName name="S8__13">#REF!</definedName>
    <definedName name="S8__16" localSheetId="6">#REF!</definedName>
    <definedName name="S8__16" localSheetId="7">#REF!</definedName>
    <definedName name="S8__16" localSheetId="8">#REF!</definedName>
    <definedName name="S8__16" localSheetId="9">#REF!</definedName>
    <definedName name="S8__16">#REF!</definedName>
    <definedName name="S8__18" localSheetId="6">#REF!</definedName>
    <definedName name="S8__18" localSheetId="7">#REF!</definedName>
    <definedName name="S8__18" localSheetId="8">#REF!</definedName>
    <definedName name="S8__18" localSheetId="9">#REF!</definedName>
    <definedName name="S8__18">#REF!</definedName>
    <definedName name="S9_" localSheetId="6">#REF!</definedName>
    <definedName name="S9_" localSheetId="7">#REF!</definedName>
    <definedName name="S9_" localSheetId="8">#REF!</definedName>
    <definedName name="S9_" localSheetId="9">#REF!</definedName>
    <definedName name="S9_">#REF!</definedName>
    <definedName name="S9__13" localSheetId="6">#REF!</definedName>
    <definedName name="S9__13" localSheetId="7">#REF!</definedName>
    <definedName name="S9__13" localSheetId="8">#REF!</definedName>
    <definedName name="S9__13" localSheetId="9">#REF!</definedName>
    <definedName name="S9__13">#REF!</definedName>
    <definedName name="S9__16" localSheetId="6">#REF!</definedName>
    <definedName name="S9__16" localSheetId="7">#REF!</definedName>
    <definedName name="S9__16" localSheetId="8">#REF!</definedName>
    <definedName name="S9__16" localSheetId="9">#REF!</definedName>
    <definedName name="S9__16">#REF!</definedName>
    <definedName name="S9__18" localSheetId="6">#REF!</definedName>
    <definedName name="S9__18" localSheetId="7">#REF!</definedName>
    <definedName name="S9__18" localSheetId="8">#REF!</definedName>
    <definedName name="S9__18" localSheetId="9">#REF!</definedName>
    <definedName name="S9__18">#REF!</definedName>
    <definedName name="scen" localSheetId="6">#REF!</definedName>
    <definedName name="scen" localSheetId="7">#REF!</definedName>
    <definedName name="scen" localSheetId="8">#REF!</definedName>
    <definedName name="scen" localSheetId="9">#REF!</definedName>
    <definedName name="scen" localSheetId="12">#REF!</definedName>
    <definedName name="scen" localSheetId="1">#REF!</definedName>
    <definedName name="scen" localSheetId="2">#REF!</definedName>
    <definedName name="scen" localSheetId="3">#REF!</definedName>
    <definedName name="scen" localSheetId="4">#REF!</definedName>
    <definedName name="scen" localSheetId="13">#REF!</definedName>
    <definedName name="scen" localSheetId="0">#REF!</definedName>
    <definedName name="scen" localSheetId="11">#REF!</definedName>
    <definedName name="scen" localSheetId="5">#REF!</definedName>
    <definedName name="scen">#REF!</definedName>
    <definedName name="Sched_Pay" localSheetId="6">#REF!</definedName>
    <definedName name="Sched_Pay" localSheetId="7">#REF!</definedName>
    <definedName name="Sched_Pay" localSheetId="8">#REF!</definedName>
    <definedName name="Sched_Pay" localSheetId="9">#REF!</definedName>
    <definedName name="Sched_Pay">#REF!</definedName>
    <definedName name="Scheduled_Extra_Payments" localSheetId="6">#REF!</definedName>
    <definedName name="Scheduled_Extra_Payments" localSheetId="7">#REF!</definedName>
    <definedName name="Scheduled_Extra_Payments" localSheetId="8">#REF!</definedName>
    <definedName name="Scheduled_Extra_Payments" localSheetId="9">#REF!</definedName>
    <definedName name="Scheduled_Extra_Payments">#REF!</definedName>
    <definedName name="Scheduled_Interest_Rate" localSheetId="6">#REF!</definedName>
    <definedName name="Scheduled_Interest_Rate" localSheetId="7">#REF!</definedName>
    <definedName name="Scheduled_Interest_Rate" localSheetId="8">#REF!</definedName>
    <definedName name="Scheduled_Interest_Rate" localSheetId="9">#REF!</definedName>
    <definedName name="Scheduled_Interest_Rate">#REF!</definedName>
    <definedName name="Scheduled_Monthly_Payment" localSheetId="6">#REF!</definedName>
    <definedName name="Scheduled_Monthly_Payment" localSheetId="7">#REF!</definedName>
    <definedName name="Scheduled_Monthly_Payment" localSheetId="8">#REF!</definedName>
    <definedName name="Scheduled_Monthly_Payment" localSheetId="9">#REF!</definedName>
    <definedName name="Scheduled_Monthly_Payment">#REF!</definedName>
    <definedName name="sencount" hidden="1">2</definedName>
    <definedName name="sfrdg">'[13]I KEY INFORMATION'!$I$20</definedName>
    <definedName name="StartYr">'[9]I KEY INFORMATION'!$I$21</definedName>
    <definedName name="Startyramort">'[9]I KEY INFORMATION'!$I$334</definedName>
    <definedName name="Tariff" localSheetId="6">[24]Capex!#REF!</definedName>
    <definedName name="Tariff" localSheetId="7">[24]Capex!#REF!</definedName>
    <definedName name="Tariff" localSheetId="8">[24]Capex!#REF!</definedName>
    <definedName name="Tariff" localSheetId="9">[24]Capex!#REF!</definedName>
    <definedName name="Tariff">[24]Capex!#REF!</definedName>
    <definedName name="TEST0" localSheetId="6">#REF!</definedName>
    <definedName name="TEST0" localSheetId="7">#REF!</definedName>
    <definedName name="TEST0" localSheetId="8">#REF!</definedName>
    <definedName name="TEST0" localSheetId="9">#REF!</definedName>
    <definedName name="TEST0">#REF!</definedName>
    <definedName name="TESTHKEY" localSheetId="6">#REF!</definedName>
    <definedName name="TESTHKEY" localSheetId="7">#REF!</definedName>
    <definedName name="TESTHKEY" localSheetId="8">#REF!</definedName>
    <definedName name="TESTHKEY" localSheetId="9">#REF!</definedName>
    <definedName name="TESTHKEY">#REF!</definedName>
    <definedName name="TESTKEYS" localSheetId="6">#REF!</definedName>
    <definedName name="TESTKEYS" localSheetId="7">#REF!</definedName>
    <definedName name="TESTKEYS" localSheetId="8">#REF!</definedName>
    <definedName name="TESTKEYS" localSheetId="9">#REF!</definedName>
    <definedName name="TESTKEYS">#REF!</definedName>
    <definedName name="TESTVKEY" localSheetId="6">#REF!</definedName>
    <definedName name="TESTVKEY" localSheetId="7">#REF!</definedName>
    <definedName name="TESTVKEY" localSheetId="8">#REF!</definedName>
    <definedName name="TESTVKEY" localSheetId="9">#REF!</definedName>
    <definedName name="TESTVKEY">#REF!</definedName>
    <definedName name="TextRefCopy1" localSheetId="6">#REF!</definedName>
    <definedName name="TextRefCopy1" localSheetId="7">#REF!</definedName>
    <definedName name="TextRefCopy1" localSheetId="8">#REF!</definedName>
    <definedName name="TextRefCopy1" localSheetId="9">#REF!</definedName>
    <definedName name="TextRefCopy1">#REF!</definedName>
    <definedName name="TextRefCopy146" localSheetId="6">#REF!</definedName>
    <definedName name="TextRefCopy146" localSheetId="7">#REF!</definedName>
    <definedName name="TextRefCopy146" localSheetId="8">#REF!</definedName>
    <definedName name="TextRefCopy146" localSheetId="9">#REF!</definedName>
    <definedName name="TextRefCopy146">#REF!</definedName>
    <definedName name="TextRefCopy160" localSheetId="6">#REF!</definedName>
    <definedName name="TextRefCopy160" localSheetId="7">#REF!</definedName>
    <definedName name="TextRefCopy160" localSheetId="8">#REF!</definedName>
    <definedName name="TextRefCopy160" localSheetId="9">#REF!</definedName>
    <definedName name="TextRefCopy160">#REF!</definedName>
    <definedName name="TextRefCopy161" localSheetId="6">#REF!</definedName>
    <definedName name="TextRefCopy161" localSheetId="7">#REF!</definedName>
    <definedName name="TextRefCopy161" localSheetId="8">#REF!</definedName>
    <definedName name="TextRefCopy161" localSheetId="9">#REF!</definedName>
    <definedName name="TextRefCopy161">#REF!</definedName>
    <definedName name="TextRefCopy162" localSheetId="6">#REF!</definedName>
    <definedName name="TextRefCopy162" localSheetId="7">#REF!</definedName>
    <definedName name="TextRefCopy162" localSheetId="8">#REF!</definedName>
    <definedName name="TextRefCopy162" localSheetId="9">#REF!</definedName>
    <definedName name="TextRefCopy162">#REF!</definedName>
    <definedName name="TextRefCopy163" localSheetId="6">#REF!</definedName>
    <definedName name="TextRefCopy163" localSheetId="7">#REF!</definedName>
    <definedName name="TextRefCopy163" localSheetId="8">#REF!</definedName>
    <definedName name="TextRefCopy163" localSheetId="9">#REF!</definedName>
    <definedName name="TextRefCopy163">#REF!</definedName>
    <definedName name="TextRefCopy164" localSheetId="6">#REF!</definedName>
    <definedName name="TextRefCopy164" localSheetId="7">#REF!</definedName>
    <definedName name="TextRefCopy164" localSheetId="8">#REF!</definedName>
    <definedName name="TextRefCopy164" localSheetId="9">#REF!</definedName>
    <definedName name="TextRefCopy164">#REF!</definedName>
    <definedName name="TextRefCopy165" localSheetId="6">#REF!</definedName>
    <definedName name="TextRefCopy165" localSheetId="7">#REF!</definedName>
    <definedName name="TextRefCopy165" localSheetId="8">#REF!</definedName>
    <definedName name="TextRefCopy165" localSheetId="9">#REF!</definedName>
    <definedName name="TextRefCopy165">#REF!</definedName>
    <definedName name="TextRefCopy167" localSheetId="6">#REF!</definedName>
    <definedName name="TextRefCopy167" localSheetId="7">#REF!</definedName>
    <definedName name="TextRefCopy167" localSheetId="8">#REF!</definedName>
    <definedName name="TextRefCopy167" localSheetId="9">#REF!</definedName>
    <definedName name="TextRefCopy167">#REF!</definedName>
    <definedName name="TextRefCopy169" localSheetId="6">#REF!</definedName>
    <definedName name="TextRefCopy169" localSheetId="7">#REF!</definedName>
    <definedName name="TextRefCopy169" localSheetId="8">#REF!</definedName>
    <definedName name="TextRefCopy169" localSheetId="9">#REF!</definedName>
    <definedName name="TextRefCopy169">#REF!</definedName>
    <definedName name="TextRefCopy171" localSheetId="6">#REF!</definedName>
    <definedName name="TextRefCopy171" localSheetId="7">#REF!</definedName>
    <definedName name="TextRefCopy171" localSheetId="8">#REF!</definedName>
    <definedName name="TextRefCopy171" localSheetId="9">#REF!</definedName>
    <definedName name="TextRefCopy171">#REF!</definedName>
    <definedName name="TextRefCopy173" localSheetId="6">#REF!</definedName>
    <definedName name="TextRefCopy173" localSheetId="7">#REF!</definedName>
    <definedName name="TextRefCopy173" localSheetId="8">#REF!</definedName>
    <definedName name="TextRefCopy173" localSheetId="9">#REF!</definedName>
    <definedName name="TextRefCopy173">#REF!</definedName>
    <definedName name="TextRefCopy174" localSheetId="6">#REF!</definedName>
    <definedName name="TextRefCopy174" localSheetId="7">#REF!</definedName>
    <definedName name="TextRefCopy174" localSheetId="8">#REF!</definedName>
    <definedName name="TextRefCopy174" localSheetId="9">#REF!</definedName>
    <definedName name="TextRefCopy174">#REF!</definedName>
    <definedName name="TextRefCopy175" localSheetId="6">#REF!</definedName>
    <definedName name="TextRefCopy175" localSheetId="7">#REF!</definedName>
    <definedName name="TextRefCopy175" localSheetId="8">#REF!</definedName>
    <definedName name="TextRefCopy175" localSheetId="9">#REF!</definedName>
    <definedName name="TextRefCopy175">#REF!</definedName>
    <definedName name="TextRefCopy177" localSheetId="6">#REF!</definedName>
    <definedName name="TextRefCopy177" localSheetId="7">#REF!</definedName>
    <definedName name="TextRefCopy177" localSheetId="8">#REF!</definedName>
    <definedName name="TextRefCopy177" localSheetId="9">#REF!</definedName>
    <definedName name="TextRefCopy177">#REF!</definedName>
    <definedName name="TextRefCopy178" localSheetId="6">#REF!</definedName>
    <definedName name="TextRefCopy178" localSheetId="7">#REF!</definedName>
    <definedName name="TextRefCopy178" localSheetId="8">#REF!</definedName>
    <definedName name="TextRefCopy178" localSheetId="9">#REF!</definedName>
    <definedName name="TextRefCopy178">#REF!</definedName>
    <definedName name="TextRefCopy180" localSheetId="6">#REF!</definedName>
    <definedName name="TextRefCopy180" localSheetId="7">#REF!</definedName>
    <definedName name="TextRefCopy180" localSheetId="8">#REF!</definedName>
    <definedName name="TextRefCopy180" localSheetId="9">#REF!</definedName>
    <definedName name="TextRefCopy180">#REF!</definedName>
    <definedName name="TextRefCopy181" localSheetId="6">#REF!</definedName>
    <definedName name="TextRefCopy181" localSheetId="7">#REF!</definedName>
    <definedName name="TextRefCopy181" localSheetId="8">#REF!</definedName>
    <definedName name="TextRefCopy181" localSheetId="9">#REF!</definedName>
    <definedName name="TextRefCopy181">#REF!</definedName>
    <definedName name="TextRefCopy183" localSheetId="6">#REF!</definedName>
    <definedName name="TextRefCopy183" localSheetId="7">#REF!</definedName>
    <definedName name="TextRefCopy183" localSheetId="8">#REF!</definedName>
    <definedName name="TextRefCopy183" localSheetId="9">#REF!</definedName>
    <definedName name="TextRefCopy183">#REF!</definedName>
    <definedName name="TextRefCopy186" localSheetId="6">#REF!</definedName>
    <definedName name="TextRefCopy186" localSheetId="7">#REF!</definedName>
    <definedName name="TextRefCopy186" localSheetId="8">#REF!</definedName>
    <definedName name="TextRefCopy186" localSheetId="9">#REF!</definedName>
    <definedName name="TextRefCopy186">#REF!</definedName>
    <definedName name="TextRefCopy188" localSheetId="6">#REF!</definedName>
    <definedName name="TextRefCopy188" localSheetId="7">#REF!</definedName>
    <definedName name="TextRefCopy188" localSheetId="8">#REF!</definedName>
    <definedName name="TextRefCopy188" localSheetId="9">#REF!</definedName>
    <definedName name="TextRefCopy188">#REF!</definedName>
    <definedName name="TextRefCopy190" localSheetId="6">#REF!</definedName>
    <definedName name="TextRefCopy190" localSheetId="7">#REF!</definedName>
    <definedName name="TextRefCopy190" localSheetId="8">#REF!</definedName>
    <definedName name="TextRefCopy190" localSheetId="9">#REF!</definedName>
    <definedName name="TextRefCopy190">#REF!</definedName>
    <definedName name="TextRefCopy192" localSheetId="6">#REF!</definedName>
    <definedName name="TextRefCopy192" localSheetId="7">#REF!</definedName>
    <definedName name="TextRefCopy192" localSheetId="8">#REF!</definedName>
    <definedName name="TextRefCopy192" localSheetId="9">#REF!</definedName>
    <definedName name="TextRefCopy192">#REF!</definedName>
    <definedName name="TextRefCopy193" localSheetId="6">#REF!</definedName>
    <definedName name="TextRefCopy193" localSheetId="7">#REF!</definedName>
    <definedName name="TextRefCopy193" localSheetId="8">#REF!</definedName>
    <definedName name="TextRefCopy193" localSheetId="9">#REF!</definedName>
    <definedName name="TextRefCopy193">#REF!</definedName>
    <definedName name="TextRefCopy195" localSheetId="6">#REF!</definedName>
    <definedName name="TextRefCopy195" localSheetId="7">#REF!</definedName>
    <definedName name="TextRefCopy195" localSheetId="8">#REF!</definedName>
    <definedName name="TextRefCopy195" localSheetId="9">#REF!</definedName>
    <definedName name="TextRefCopy195">#REF!</definedName>
    <definedName name="TextRefCopy198" localSheetId="6">#REF!</definedName>
    <definedName name="TextRefCopy198" localSheetId="7">#REF!</definedName>
    <definedName name="TextRefCopy198" localSheetId="8">#REF!</definedName>
    <definedName name="TextRefCopy198" localSheetId="9">#REF!</definedName>
    <definedName name="TextRefCopy198">#REF!</definedName>
    <definedName name="TextRefCopy2" localSheetId="6">#REF!</definedName>
    <definedName name="TextRefCopy2" localSheetId="7">#REF!</definedName>
    <definedName name="TextRefCopy2" localSheetId="8">#REF!</definedName>
    <definedName name="TextRefCopy2" localSheetId="9">#REF!</definedName>
    <definedName name="TextRefCopy2">#REF!</definedName>
    <definedName name="TextRefCopy3" localSheetId="6">'[25]Собственный капитал'!#REF!</definedName>
    <definedName name="TextRefCopy3" localSheetId="7">'[25]Собственный капитал'!#REF!</definedName>
    <definedName name="TextRefCopy3" localSheetId="8">'[25]Собственный капитал'!#REF!</definedName>
    <definedName name="TextRefCopy3" localSheetId="9">'[25]Собственный капитал'!#REF!</definedName>
    <definedName name="TextRefCopy3">'[25]Собственный капитал'!#REF!</definedName>
    <definedName name="TextRefCopy5" localSheetId="6">'[25]Собственный капитал'!#REF!</definedName>
    <definedName name="TextRefCopy5" localSheetId="7">'[25]Собственный капитал'!#REF!</definedName>
    <definedName name="TextRefCopy5" localSheetId="8">'[25]Собственный капитал'!#REF!</definedName>
    <definedName name="TextRefCopy5" localSheetId="9">'[25]Собственный капитал'!#REF!</definedName>
    <definedName name="TextRefCopy5">'[25]Собственный капитал'!#REF!</definedName>
    <definedName name="TextRefCopy63">'[26]PP&amp;E mvt for 2003'!$R$18</definedName>
    <definedName name="TextRefCopy76" localSheetId="6">[27]Movements!#REF!</definedName>
    <definedName name="TextRefCopy76" localSheetId="7">[27]Movements!#REF!</definedName>
    <definedName name="TextRefCopy76" localSheetId="8">[27]Movements!#REF!</definedName>
    <definedName name="TextRefCopy76" localSheetId="9">[27]Movements!#REF!</definedName>
    <definedName name="TextRefCopy76">[27]Movements!#REF!</definedName>
    <definedName name="TextRefCopy88">'[26]PP&amp;E mvt for 2003'!$P$19</definedName>
    <definedName name="TextRefCopy89">'[26]PP&amp;E mvt for 2003'!$P$46</definedName>
    <definedName name="TextRefCopy90">'[26]PP&amp;E mvt for 2003'!$P$25</definedName>
    <definedName name="TextRefCopy92">'[26]PP&amp;E mvt for 2003'!$P$26</definedName>
    <definedName name="TextRefCopy94">'[26]PP&amp;E mvt for 2003'!$P$52</definedName>
    <definedName name="TextRefCopy95">'[26]PP&amp;E mvt for 2003'!$P$53</definedName>
    <definedName name="TextRefCopyRangeCount" localSheetId="6" hidden="1">3</definedName>
    <definedName name="TextRefCopyRangeCount" localSheetId="7" hidden="1">3</definedName>
    <definedName name="TextRefCopyRangeCount" localSheetId="8" hidden="1">3</definedName>
    <definedName name="TextRefCopyRangeCount" localSheetId="9" hidden="1">3</definedName>
    <definedName name="TextRefCopyRangeCount" localSheetId="10" hidden="1">3</definedName>
    <definedName name="TextRefCopyRangeCount" hidden="1">7</definedName>
    <definedName name="TMP_REPORT_R16Comp" localSheetId="6">#REF!</definedName>
    <definedName name="TMP_REPORT_R16Comp" localSheetId="7">#REF!</definedName>
    <definedName name="TMP_REPORT_R16Comp" localSheetId="8">#REF!</definedName>
    <definedName name="TMP_REPORT_R16Comp" localSheetId="9">#REF!</definedName>
    <definedName name="TMP_REPORT_R16Comp" localSheetId="12">#REF!</definedName>
    <definedName name="TMP_REPORT_R16Comp" localSheetId="1">#REF!</definedName>
    <definedName name="TMP_REPORT_R16Comp" localSheetId="2">#REF!</definedName>
    <definedName name="TMP_REPORT_R16Comp" localSheetId="3">#REF!</definedName>
    <definedName name="TMP_REPORT_R16Comp" localSheetId="4">#REF!</definedName>
    <definedName name="TMP_REPORT_R16Comp" localSheetId="13">#REF!</definedName>
    <definedName name="TMP_REPORT_R16Comp" localSheetId="0">#REF!</definedName>
    <definedName name="TMP_REPORT_R16Comp" localSheetId="11">#REF!</definedName>
    <definedName name="TMP_REPORT_R16Comp" localSheetId="5">#REF!</definedName>
    <definedName name="TMP_REPORT_R16Comp">#REF!</definedName>
    <definedName name="Total_Interest" localSheetId="6">#REF!</definedName>
    <definedName name="Total_Interest" localSheetId="7">#REF!</definedName>
    <definedName name="Total_Interest" localSheetId="8">#REF!</definedName>
    <definedName name="Total_Interest" localSheetId="9">#REF!</definedName>
    <definedName name="Total_Interest">#REF!</definedName>
    <definedName name="Total_Pay" localSheetId="6">#REF!</definedName>
    <definedName name="Total_Pay" localSheetId="7">#REF!</definedName>
    <definedName name="Total_Pay" localSheetId="8">#REF!</definedName>
    <definedName name="Total_Pay" localSheetId="9">#REF!</definedName>
    <definedName name="Total_Pay">#REF!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9">Scheduled_Payment+Extra_Payment</definedName>
    <definedName name="Total_Payment">Scheduled_Payment+Extra_Payment</definedName>
    <definedName name="TRP" localSheetId="6">#REF!</definedName>
    <definedName name="TRP" localSheetId="7">#REF!</definedName>
    <definedName name="TRP" localSheetId="8">#REF!</definedName>
    <definedName name="TRP" localSheetId="9">#REF!</definedName>
    <definedName name="TRP" localSheetId="12">#REF!</definedName>
    <definedName name="TRP" localSheetId="1">#REF!</definedName>
    <definedName name="TRP" localSheetId="2">#REF!</definedName>
    <definedName name="TRP" localSheetId="3">#REF!</definedName>
    <definedName name="TRP" localSheetId="4">#REF!</definedName>
    <definedName name="TRP" localSheetId="13">#REF!</definedName>
    <definedName name="TRP" localSheetId="0">#REF!</definedName>
    <definedName name="TRP" localSheetId="11">#REF!</definedName>
    <definedName name="TRP" localSheetId="5">#REF!</definedName>
    <definedName name="TRP">#REF!</definedName>
    <definedName name="TtlFBRev">'[9]IV REVENUE  F&amp;B'!$A$11:$IV$11</definedName>
    <definedName name="USD" localSheetId="6">[28]Ф!#REF!</definedName>
    <definedName name="USD" localSheetId="7">[28]Ф!#REF!</definedName>
    <definedName name="USD" localSheetId="8">[28]Ф!#REF!</definedName>
    <definedName name="USD" localSheetId="9">[28]Ф!#REF!</definedName>
    <definedName name="USD" localSheetId="12">[29]Ф!#REF!</definedName>
    <definedName name="USD" localSheetId="10">[28]Ф!#REF!</definedName>
    <definedName name="USD" localSheetId="1">[29]Ф!#REF!</definedName>
    <definedName name="USD" localSheetId="2">[29]Ф!#REF!</definedName>
    <definedName name="USD" localSheetId="3">[29]Ф!#REF!</definedName>
    <definedName name="USD" localSheetId="4">[29]Ф!#REF!</definedName>
    <definedName name="USD" localSheetId="13">[29]Ф!#REF!</definedName>
    <definedName name="USD" localSheetId="0">[29]Ф!#REF!</definedName>
    <definedName name="USD" localSheetId="11">[29]Ф!#REF!</definedName>
    <definedName name="USD" localSheetId="5">[29]Ф!#REF!</definedName>
    <definedName name="USD">[29]Ф!#REF!</definedName>
    <definedName name="value" localSheetId="6">#REF!</definedName>
    <definedName name="value" localSheetId="7">#REF!</definedName>
    <definedName name="value" localSheetId="8">#REF!</definedName>
    <definedName name="value" localSheetId="9">#REF!</definedName>
    <definedName name="value" localSheetId="12">#REF!</definedName>
    <definedName name="value" localSheetId="1">#REF!</definedName>
    <definedName name="value" localSheetId="2">#REF!</definedName>
    <definedName name="value" localSheetId="3">#REF!</definedName>
    <definedName name="value" localSheetId="4">#REF!</definedName>
    <definedName name="value" localSheetId="13">#REF!</definedName>
    <definedName name="value" localSheetId="0">#REF!</definedName>
    <definedName name="value" localSheetId="11">#REF!</definedName>
    <definedName name="value" localSheetId="5">#REF!</definedName>
    <definedName name="value">#REF!</definedName>
    <definedName name="Values_Entered" localSheetId="6">IF('1 усл.'!Loan_Amount*'1 усл.'!Interest_Rate*'1 усл.'!Loan_Years*'1 усл.'!Loan_Start&gt;0,1,0)</definedName>
    <definedName name="Values_Entered" localSheetId="7">IF('2 усл.'!Loan_Amount*'2 усл.'!Interest_Rate*'2 усл.'!Loan_Years*'2 усл.'!Loan_Start&gt;0,1,0)</definedName>
    <definedName name="Values_Entered" localSheetId="8">IF('3 усл.'!Loan_Amount*'3 усл.'!Interest_Rate*'3 усл.'!Loan_Years*'3 усл.'!Loan_Start&gt;0,1,0)</definedName>
    <definedName name="Values_Entered" localSheetId="9">IF('4 усл.'!Loan_Amount*'4 усл.'!Interest_Rate*'4 усл.'!Loan_Years*'4 усл.'!Loan_Start&gt;0,1,0)</definedName>
    <definedName name="Values_Entered">IF(Loan_Amount*Interest_Rate*Loan_Years*Loan_Start&gt;0,1,0)</definedName>
    <definedName name="VAT" localSheetId="6">[24]Capex!#REF!</definedName>
    <definedName name="VAT" localSheetId="7">[24]Capex!#REF!</definedName>
    <definedName name="VAT" localSheetId="8">[24]Capex!#REF!</definedName>
    <definedName name="VAT" localSheetId="9">[24]Capex!#REF!</definedName>
    <definedName name="VAT">[24]Capex!#REF!</definedName>
    <definedName name="wacc" localSheetId="6">[30]ATI!#REF!</definedName>
    <definedName name="wacc" localSheetId="7">[30]ATI!#REF!</definedName>
    <definedName name="wacc" localSheetId="8">[30]ATI!#REF!</definedName>
    <definedName name="wacc" localSheetId="9">[30]ATI!#REF!</definedName>
    <definedName name="wacc" localSheetId="12">[30]ATI!#REF!</definedName>
    <definedName name="wacc" localSheetId="1">[30]ATI!#REF!</definedName>
    <definedName name="wacc" localSheetId="2">[30]ATI!#REF!</definedName>
    <definedName name="wacc" localSheetId="3">[30]ATI!#REF!</definedName>
    <definedName name="wacc" localSheetId="4">[30]ATI!#REF!</definedName>
    <definedName name="wacc" localSheetId="13">[30]ATI!#REF!</definedName>
    <definedName name="wacc" localSheetId="0">[30]ATI!#REF!</definedName>
    <definedName name="wacc" localSheetId="11">[30]ATI!#REF!</definedName>
    <definedName name="wacc" localSheetId="5">[30]ATI!#REF!</definedName>
    <definedName name="wacc">[30]ATI!#REF!</definedName>
    <definedName name="wrn" localSheetId="12" hidden="1">{"glc1",#N/A,FALSE,"GLC";"glc2",#N/A,FALSE,"GLC";"glc3",#N/A,FALSE,"GLC";"glc4",#N/A,FALSE,"GLC";"glc5",#N/A,FALSE,"GLC"}</definedName>
    <definedName name="wrn" localSheetId="5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12" hidden="1">{#N/A,#N/A,FALSE,"Aging Summary";#N/A,#N/A,FALSE,"Ratio Analysis";#N/A,#N/A,FALSE,"Test 120 Day Accts";#N/A,#N/A,FALSE,"Tickmarks"}</definedName>
    <definedName name="wrn.Aging.and._Trend._.Analysis.2" localSheetId="5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basicfin." localSheetId="12" hidden="1">{"assets",#N/A,FALSE,"historicBS";"liab",#N/A,FALSE,"historicBS";"is",#N/A,FALSE,"historicIS";"ratios",#N/A,FALSE,"ratios"}</definedName>
    <definedName name="wrn.basicfin." localSheetId="5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12" hidden="1">{"assets",#N/A,FALSE,"historicBS";"liab",#N/A,FALSE,"historicBS";"is",#N/A,FALSE,"historicIS";"ratios",#N/A,FALSE,"ratios"}</definedName>
    <definedName name="wrn.basicfin.2" localSheetId="5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Full." localSheetId="12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." localSheetId="5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glc." localSheetId="12" hidden="1">{"glcbs",#N/A,FALSE,"GLCBS";"glccsbs",#N/A,FALSE,"GLCCSBS";"glcis",#N/A,FALSE,"GLCIS";"glccsis",#N/A,FALSE,"GLCCSIS";"glcrat1",#N/A,FALSE,"GLC-ratios1"}</definedName>
    <definedName name="wrn.glc." localSheetId="5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12" hidden="1">{"glc1",#N/A,FALSE,"GLC";"glc2",#N/A,FALSE,"GLC";"glc3",#N/A,FALSE,"GLC";"glc4",#N/A,FALSE,"GLC";"glc5",#N/A,FALSE,"GLC"}</definedName>
    <definedName name="wrn.glcpromonte." localSheetId="5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lh97." localSheetId="1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print." localSheetId="1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test." localSheetId="12" hidden="1">{"Valuation_Common",#N/A,FALSE,"Valuation"}</definedName>
    <definedName name="wrn.test." localSheetId="5" hidden="1">{"Valuation_Common",#N/A,FALSE,"Valuation"}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w" localSheetId="1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w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w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Z_C37E65A7_9893_435E_9759_72E0D8A5DD87_.wvu.PrintTitles" localSheetId="6" hidden="1">#REF!</definedName>
    <definedName name="Z_C37E65A7_9893_435E_9759_72E0D8A5DD87_.wvu.PrintTitles" localSheetId="7" hidden="1">#REF!</definedName>
    <definedName name="Z_C37E65A7_9893_435E_9759_72E0D8A5DD87_.wvu.PrintTitles" localSheetId="8" hidden="1">#REF!</definedName>
    <definedName name="Z_C37E65A7_9893_435E_9759_72E0D8A5DD87_.wvu.PrintTitles" localSheetId="9" hidden="1">#REF!</definedName>
    <definedName name="Z_C37E65A7_9893_435E_9759_72E0D8A5DD87_.wvu.PrintTitles" hidden="1">#REF!</definedName>
    <definedName name="zheldor" localSheetId="6">#REF!</definedName>
    <definedName name="zheldor" localSheetId="7">#REF!</definedName>
    <definedName name="zheldor" localSheetId="8">#REF!</definedName>
    <definedName name="zheldor" localSheetId="9">#REF!</definedName>
    <definedName name="zheldor">#REF!</definedName>
    <definedName name="zheldorizdat" localSheetId="6">#REF!</definedName>
    <definedName name="zheldorizdat" localSheetId="7">#REF!</definedName>
    <definedName name="zheldorizdat" localSheetId="8">#REF!</definedName>
    <definedName name="zheldorizdat" localSheetId="9">#REF!</definedName>
    <definedName name="zheldorizdat">#REF!</definedName>
    <definedName name="zou" localSheetId="6">#REF!</definedName>
    <definedName name="zou" localSheetId="7">#REF!</definedName>
    <definedName name="zou" localSheetId="8">#REF!</definedName>
    <definedName name="zou" localSheetId="9">#REF!</definedName>
    <definedName name="zou" localSheetId="12">#REF!</definedName>
    <definedName name="zou" localSheetId="1">#REF!</definedName>
    <definedName name="zou" localSheetId="2">#REF!</definedName>
    <definedName name="zou" localSheetId="3">#REF!</definedName>
    <definedName name="zou" localSheetId="4">#REF!</definedName>
    <definedName name="zou" localSheetId="13">#REF!</definedName>
    <definedName name="zou" localSheetId="0">#REF!</definedName>
    <definedName name="zou" localSheetId="11">#REF!</definedName>
    <definedName name="zou" localSheetId="5">#REF!</definedName>
    <definedName name="zou">#REF!</definedName>
    <definedName name="а" localSheetId="6">#REF!</definedName>
    <definedName name="а" localSheetId="7">#REF!</definedName>
    <definedName name="а" localSheetId="8">#REF!</definedName>
    <definedName name="а" localSheetId="9">#REF!</definedName>
    <definedName name="а">#REF!</definedName>
    <definedName name="А2" localSheetId="6">#REF!</definedName>
    <definedName name="А2" localSheetId="7">#REF!</definedName>
    <definedName name="А2" localSheetId="8">#REF!</definedName>
    <definedName name="А2" localSheetId="9">#REF!</definedName>
    <definedName name="А2">#REF!</definedName>
    <definedName name="А2_13" localSheetId="6">#REF!</definedName>
    <definedName name="А2_13" localSheetId="7">#REF!</definedName>
    <definedName name="А2_13" localSheetId="8">#REF!</definedName>
    <definedName name="А2_13" localSheetId="9">#REF!</definedName>
    <definedName name="А2_13">#REF!</definedName>
    <definedName name="А2_16" localSheetId="6">#REF!</definedName>
    <definedName name="А2_16" localSheetId="7">#REF!</definedName>
    <definedName name="А2_16" localSheetId="8">#REF!</definedName>
    <definedName name="А2_16" localSheetId="9">#REF!</definedName>
    <definedName name="А2_16">#REF!</definedName>
    <definedName name="А2_17" localSheetId="6">#REF!</definedName>
    <definedName name="А2_17" localSheetId="7">#REF!</definedName>
    <definedName name="А2_17" localSheetId="8">#REF!</definedName>
    <definedName name="А2_17" localSheetId="9">#REF!</definedName>
    <definedName name="А2_17">#REF!</definedName>
    <definedName name="А2_18" localSheetId="6">#REF!</definedName>
    <definedName name="А2_18" localSheetId="7">#REF!</definedName>
    <definedName name="А2_18" localSheetId="8">#REF!</definedName>
    <definedName name="А2_18" localSheetId="9">#REF!</definedName>
    <definedName name="А2_18">#REF!</definedName>
    <definedName name="а25000" localSheetId="6">#REF!</definedName>
    <definedName name="а25000" localSheetId="7">#REF!</definedName>
    <definedName name="а25000" localSheetId="8">#REF!</definedName>
    <definedName name="а25000" localSheetId="9">#REF!</definedName>
    <definedName name="а25000">#REF!</definedName>
    <definedName name="АААААААА">#N/A</definedName>
    <definedName name="АААААААА_11">#N/A</definedName>
    <definedName name="АААААААА_12">#N/A</definedName>
    <definedName name="АААААААА_13">#N/A</definedName>
    <definedName name="АААААААА_14">#N/A</definedName>
    <definedName name="АААААААА_16">#N/A</definedName>
    <definedName name="АААААААА_17">#N/A</definedName>
    <definedName name="АААААААА_18">#N/A</definedName>
    <definedName name="АААААААА_19">#N/A</definedName>
    <definedName name="АБ_со_склада" localSheetId="6">[31]Исх.данные!#REF!</definedName>
    <definedName name="АБ_со_склада" localSheetId="7">[31]Исх.данные!#REF!</definedName>
    <definedName name="АБ_со_склада" localSheetId="8">[31]Исх.данные!#REF!</definedName>
    <definedName name="АБ_со_склада" localSheetId="9">[31]Исх.данные!#REF!</definedName>
    <definedName name="АБ_со_склада" localSheetId="12">[31]Исх.данные!#REF!</definedName>
    <definedName name="АБ_со_склада" localSheetId="1">[31]Исх.данные!#REF!</definedName>
    <definedName name="АБ_со_склада" localSheetId="2">[31]Исх.данные!#REF!</definedName>
    <definedName name="АБ_со_склада" localSheetId="3">[31]Исх.данные!#REF!</definedName>
    <definedName name="АБ_со_склада" localSheetId="4">[31]Исх.данные!#REF!</definedName>
    <definedName name="АБ_со_склада" localSheetId="13">[31]Исх.данные!#REF!</definedName>
    <definedName name="АБ_со_склада" localSheetId="0">[31]Исх.данные!#REF!</definedName>
    <definedName name="АБ_со_склада" localSheetId="11">[31]Исх.данные!#REF!</definedName>
    <definedName name="АБ_со_склада" localSheetId="5">[31]Исх.данные!#REF!</definedName>
    <definedName name="АБ_со_склада">[31]Исх.данные!#REF!</definedName>
    <definedName name="авпрар" localSheetId="6">#REF!</definedName>
    <definedName name="авпрар" localSheetId="7">#REF!</definedName>
    <definedName name="авпрар" localSheetId="8">#REF!</definedName>
    <definedName name="авпрар" localSheetId="9">#REF!</definedName>
    <definedName name="авпрар">#REF!</definedName>
    <definedName name="аж192" localSheetId="6">'[32]Конс '!#REF!</definedName>
    <definedName name="аж192" localSheetId="7">'[32]Конс '!#REF!</definedName>
    <definedName name="аж192" localSheetId="8">'[32]Конс '!#REF!</definedName>
    <definedName name="аж192" localSheetId="9">'[32]Конс '!#REF!</definedName>
    <definedName name="аж192" localSheetId="12">'[32]Конс '!#REF!</definedName>
    <definedName name="аж192" localSheetId="1">'[32]Конс '!#REF!</definedName>
    <definedName name="аж192" localSheetId="2">'[32]Конс '!#REF!</definedName>
    <definedName name="аж192" localSheetId="3">'[32]Конс '!#REF!</definedName>
    <definedName name="аж192" localSheetId="4">'[32]Конс '!#REF!</definedName>
    <definedName name="аж192" localSheetId="13">'[32]Конс '!#REF!</definedName>
    <definedName name="аж192" localSheetId="0">'[32]Конс '!#REF!</definedName>
    <definedName name="аж192" localSheetId="11">'[32]Конс '!#REF!</definedName>
    <definedName name="аж192" localSheetId="5">'[32]Конс '!#REF!</definedName>
    <definedName name="аж192">'[32]Конс '!#REF!</definedName>
    <definedName name="азот_газообразный" localSheetId="6">[31]Исх.данные!#REF!</definedName>
    <definedName name="азот_газообразный" localSheetId="7">[31]Исх.данные!#REF!</definedName>
    <definedName name="азот_газообразный" localSheetId="8">[31]Исх.данные!#REF!</definedName>
    <definedName name="азот_газообразный" localSheetId="9">[31]Исх.данные!#REF!</definedName>
    <definedName name="азот_газообразный" localSheetId="12">[31]Исх.данные!#REF!</definedName>
    <definedName name="азот_газообразный" localSheetId="1">[31]Исх.данные!#REF!</definedName>
    <definedName name="азот_газообразный" localSheetId="2">[31]Исх.данные!#REF!</definedName>
    <definedName name="азот_газообразный" localSheetId="3">[31]Исх.данные!#REF!</definedName>
    <definedName name="азот_газообразный" localSheetId="4">[31]Исх.данные!#REF!</definedName>
    <definedName name="азот_газообразный" localSheetId="13">[31]Исх.данные!#REF!</definedName>
    <definedName name="азот_газообразный" localSheetId="0">[31]Исх.данные!#REF!</definedName>
    <definedName name="азот_газообразный" localSheetId="11">[31]Исх.данные!#REF!</definedName>
    <definedName name="азот_газообразный" localSheetId="5">[31]Исх.данные!#REF!</definedName>
    <definedName name="азот_газообразный">[31]Исх.данные!#REF!</definedName>
    <definedName name="азотная_кислота" localSheetId="6">[31]Исх.данные!#REF!</definedName>
    <definedName name="азотная_кислота" localSheetId="7">[31]Исх.данные!#REF!</definedName>
    <definedName name="азотная_кислота" localSheetId="8">[31]Исх.данные!#REF!</definedName>
    <definedName name="азотная_кислота" localSheetId="9">[31]Исх.данные!#REF!</definedName>
    <definedName name="азотная_кислота" localSheetId="12">[31]Исх.данные!#REF!</definedName>
    <definedName name="азотная_кислота" localSheetId="1">[31]Исх.данные!#REF!</definedName>
    <definedName name="азотная_кислота" localSheetId="2">[31]Исх.данные!#REF!</definedName>
    <definedName name="азотная_кислота" localSheetId="3">[31]Исх.данные!#REF!</definedName>
    <definedName name="азотная_кислота" localSheetId="4">[31]Исх.данные!#REF!</definedName>
    <definedName name="азотная_кислота" localSheetId="13">[31]Исх.данные!#REF!</definedName>
    <definedName name="азотная_кислота" localSheetId="0">[31]Исх.данные!#REF!</definedName>
    <definedName name="азотная_кислота" localSheetId="11">[31]Исх.данные!#REF!</definedName>
    <definedName name="азотная_кислота" localSheetId="5">[31]Исх.данные!#REF!</definedName>
    <definedName name="азотная_кислота">[31]Исх.данные!#REF!</definedName>
    <definedName name="алюминий_чушковой" localSheetId="6">[31]Исх.данные!#REF!</definedName>
    <definedName name="алюминий_чушковой" localSheetId="7">[31]Исх.данные!#REF!</definedName>
    <definedName name="алюминий_чушковой" localSheetId="8">[31]Исх.данные!#REF!</definedName>
    <definedName name="алюминий_чушковой" localSheetId="9">[31]Исх.данные!#REF!</definedName>
    <definedName name="алюминий_чушковой" localSheetId="12">[31]Исх.данные!#REF!</definedName>
    <definedName name="алюминий_чушковой" localSheetId="1">[31]Исх.данные!#REF!</definedName>
    <definedName name="алюминий_чушковой" localSheetId="2">[31]Исх.данные!#REF!</definedName>
    <definedName name="алюминий_чушковой" localSheetId="3">[31]Исх.данные!#REF!</definedName>
    <definedName name="алюминий_чушковой" localSheetId="4">[31]Исх.данные!#REF!</definedName>
    <definedName name="алюминий_чушковой" localSheetId="13">[31]Исх.данные!#REF!</definedName>
    <definedName name="алюминий_чушковой" localSheetId="0">[31]Исх.данные!#REF!</definedName>
    <definedName name="алюминий_чушковой" localSheetId="11">[31]Исх.данные!#REF!</definedName>
    <definedName name="алюминий_чушковой" localSheetId="5">[31]Исх.данные!#REF!</definedName>
    <definedName name="алюминий_чушковой">[31]Исх.данные!#REF!</definedName>
    <definedName name="аммиачная_вода" localSheetId="6">[31]Исх.данные!#REF!</definedName>
    <definedName name="аммиачная_вода" localSheetId="7">[31]Исх.данные!#REF!</definedName>
    <definedName name="аммиачная_вода" localSheetId="8">[31]Исх.данные!#REF!</definedName>
    <definedName name="аммиачная_вода" localSheetId="9">[31]Исх.данные!#REF!</definedName>
    <definedName name="аммиачная_вода" localSheetId="12">[31]Исх.данные!#REF!</definedName>
    <definedName name="аммиачная_вода" localSheetId="1">[31]Исх.данные!#REF!</definedName>
    <definedName name="аммиачная_вода" localSheetId="2">[31]Исх.данные!#REF!</definedName>
    <definedName name="аммиачная_вода" localSheetId="3">[31]Исх.данные!#REF!</definedName>
    <definedName name="аммиачная_вода" localSheetId="4">[31]Исх.данные!#REF!</definedName>
    <definedName name="аммиачная_вода" localSheetId="13">[31]Исх.данные!#REF!</definedName>
    <definedName name="аммиачная_вода" localSheetId="0">[31]Исх.данные!#REF!</definedName>
    <definedName name="аммиачная_вода" localSheetId="11">[31]Исх.данные!#REF!</definedName>
    <definedName name="аммиачная_вода" localSheetId="5">[31]Исх.данные!#REF!</definedName>
    <definedName name="аммиачная_вода">[31]Исх.данные!#REF!</definedName>
    <definedName name="Аморт" localSheetId="6">#REF!</definedName>
    <definedName name="Аморт" localSheetId="7">#REF!</definedName>
    <definedName name="Аморт" localSheetId="8">#REF!</definedName>
    <definedName name="Аморт" localSheetId="9">#REF!</definedName>
    <definedName name="Аморт" localSheetId="12">#REF!</definedName>
    <definedName name="Аморт" localSheetId="1">#REF!</definedName>
    <definedName name="Аморт" localSheetId="2">#REF!</definedName>
    <definedName name="Аморт" localSheetId="3">#REF!</definedName>
    <definedName name="Аморт" localSheetId="4">#REF!</definedName>
    <definedName name="Аморт" localSheetId="13">#REF!</definedName>
    <definedName name="Аморт" localSheetId="0">#REF!</definedName>
    <definedName name="Аморт" localSheetId="11">#REF!</definedName>
    <definedName name="Аморт" localSheetId="5">#REF!</definedName>
    <definedName name="Аморт">#REF!</definedName>
    <definedName name="Андрей" localSheetId="6">'[31]распределение модели'!#REF!</definedName>
    <definedName name="Андрей" localSheetId="7">'[31]распределение модели'!#REF!</definedName>
    <definedName name="Андрей" localSheetId="8">'[31]распределение модели'!#REF!</definedName>
    <definedName name="Андрей" localSheetId="9">'[31]распределение модели'!#REF!</definedName>
    <definedName name="Андрей" localSheetId="12">'[31]распределение модели'!#REF!</definedName>
    <definedName name="Андрей" localSheetId="1">'[31]распределение модели'!#REF!</definedName>
    <definedName name="Андрей" localSheetId="2">'[31]распределение модели'!#REF!</definedName>
    <definedName name="Андрей" localSheetId="3">'[31]распределение модели'!#REF!</definedName>
    <definedName name="Андрей" localSheetId="4">'[31]распределение модели'!#REF!</definedName>
    <definedName name="Андрей" localSheetId="13">'[31]распределение модели'!#REF!</definedName>
    <definedName name="Андрей" localSheetId="0">'[31]распределение модели'!#REF!</definedName>
    <definedName name="Андрей" localSheetId="11">'[31]распределение модели'!#REF!</definedName>
    <definedName name="Андрей" localSheetId="5">'[31]распределение модели'!#REF!</definedName>
    <definedName name="Андрей">'[31]распределение модели'!#REF!</definedName>
    <definedName name="ап">#N/A</definedName>
    <definedName name="ап_11">#N/A</definedName>
    <definedName name="ап_12">#N/A</definedName>
    <definedName name="ап_13">#N/A</definedName>
    <definedName name="ап_14">#N/A</definedName>
    <definedName name="ап_16">#N/A</definedName>
    <definedName name="ап_17">#N/A</definedName>
    <definedName name="ап_18">#N/A</definedName>
    <definedName name="ап_19">#N/A</definedName>
    <definedName name="апа">#N/A</definedName>
    <definedName name="апвавваапвваав" hidden="1">{#N/A,#N/A,TRUE,"Лист1";#N/A,#N/A,TRUE,"Лист2";#N/A,#N/A,TRUE,"Лист3"}</definedName>
    <definedName name="апвп">[23]Форма2!$C$19:$C$24,[23]Форма2!$E$19:$F$24,[23]Форма2!$D$26:$F$31,[23]Форма2!$C$33:$C$38,[23]Форма2!$E$33:$F$38,[23]Форма2!$D$40:$F$43,[23]Форма2!$C$45:$C$48,[23]Форма2!$E$45:$F$48,[23]Форма2!$C$19</definedName>
    <definedName name="апп">#N/A</definedName>
    <definedName name="аргон_технический" localSheetId="6">[31]Исх.данные!#REF!</definedName>
    <definedName name="аргон_технический" localSheetId="7">[31]Исх.данные!#REF!</definedName>
    <definedName name="аргон_технический" localSheetId="8">[31]Исх.данные!#REF!</definedName>
    <definedName name="аргон_технический" localSheetId="9">[31]Исх.данные!#REF!</definedName>
    <definedName name="аргон_технический" localSheetId="12">[31]Исх.данные!#REF!</definedName>
    <definedName name="аргон_технический" localSheetId="1">[31]Исх.данные!#REF!</definedName>
    <definedName name="аргон_технический" localSheetId="2">[31]Исх.данные!#REF!</definedName>
    <definedName name="аргон_технический" localSheetId="3">[31]Исх.данные!#REF!</definedName>
    <definedName name="аргон_технический" localSheetId="4">[31]Исх.данные!#REF!</definedName>
    <definedName name="аргон_технический" localSheetId="13">[31]Исх.данные!#REF!</definedName>
    <definedName name="аргон_технический" localSheetId="0">[31]Исх.данные!#REF!</definedName>
    <definedName name="аргон_технический" localSheetId="11">[31]Исх.данные!#REF!</definedName>
    <definedName name="аргон_технический" localSheetId="5">[31]Исх.данные!#REF!</definedName>
    <definedName name="аргон_технический">[31]Исх.данные!#REF!</definedName>
    <definedName name="ас">#N/A</definedName>
    <definedName name="баланс">#N/A</definedName>
    <definedName name="бельтинг" localSheetId="6">[31]Исх.данные!#REF!</definedName>
    <definedName name="бельтинг" localSheetId="7">[31]Исх.данные!#REF!</definedName>
    <definedName name="бельтинг" localSheetId="8">[31]Исх.данные!#REF!</definedName>
    <definedName name="бельтинг" localSheetId="9">[31]Исх.данные!#REF!</definedName>
    <definedName name="бельтинг" localSheetId="12">[31]Исх.данные!#REF!</definedName>
    <definedName name="бельтинг" localSheetId="1">[31]Исх.данные!#REF!</definedName>
    <definedName name="бельтинг" localSheetId="2">[31]Исх.данные!#REF!</definedName>
    <definedName name="бельтинг" localSheetId="3">[31]Исх.данные!#REF!</definedName>
    <definedName name="бельтинг" localSheetId="4">[31]Исх.данные!#REF!</definedName>
    <definedName name="бельтинг" localSheetId="13">[31]Исх.данные!#REF!</definedName>
    <definedName name="бельтинг" localSheetId="0">[31]Исх.данные!#REF!</definedName>
    <definedName name="бельтинг" localSheetId="11">[31]Исх.данные!#REF!</definedName>
    <definedName name="бельтинг" localSheetId="5">[31]Исх.данные!#REF!</definedName>
    <definedName name="бельтинг">[31]Исх.данные!#REF!</definedName>
    <definedName name="Бери">[33]Форма2!$D$129:$F$132,[33]Форма2!$D$134:$F$135,[33]Форма2!$D$137:$F$140,[33]Форма2!$D$142:$F$144,[33]Форма2!$D$146:$F$150,[33]Форма2!$D$152:$F$154,[33]Форма2!$D$156:$F$162,[33]Форма2!$D$129</definedName>
    <definedName name="Берик">[33]Форма2!$C$70:$C$72,[33]Форма2!$D$73:$F$73,[33]Форма2!$E$70:$F$72,[33]Форма2!$C$75:$C$77,[33]Форма2!$E$75:$F$77,[33]Форма2!$C$79:$C$82,[33]Форма2!$E$79:$F$82,[33]Форма2!$C$84:$C$86,[33]Форма2!$E$84:$F$86,[33]Форма2!$C$88:$C$89,[33]Форма2!$E$88:$F$89,[33]Форма2!$C$70</definedName>
    <definedName name="бериллий_в_карбонатной_окиси" localSheetId="6">[31]Исх.данные!#REF!</definedName>
    <definedName name="бериллий_в_карбонатной_окиси" localSheetId="7">[31]Исх.данные!#REF!</definedName>
    <definedName name="бериллий_в_карбонатной_окиси" localSheetId="8">[31]Исх.данные!#REF!</definedName>
    <definedName name="бериллий_в_карбонатной_окиси" localSheetId="9">[31]Исх.данные!#REF!</definedName>
    <definedName name="бериллий_в_карбонатной_окиси" localSheetId="12">[31]Исх.данные!#REF!</definedName>
    <definedName name="бериллий_в_карбонатной_окиси" localSheetId="1">[31]Исх.данные!#REF!</definedName>
    <definedName name="бериллий_в_карбонатной_окиси" localSheetId="2">[31]Исх.данные!#REF!</definedName>
    <definedName name="бериллий_в_карбонатной_окиси" localSheetId="3">[31]Исх.данные!#REF!</definedName>
    <definedName name="бериллий_в_карбонатной_окиси" localSheetId="4">[31]Исх.данные!#REF!</definedName>
    <definedName name="бериллий_в_карбонатной_окиси" localSheetId="13">[31]Исх.данные!#REF!</definedName>
    <definedName name="бериллий_в_карбонатной_окиси" localSheetId="0">[31]Исх.данные!#REF!</definedName>
    <definedName name="бериллий_в_карбонатной_окиси" localSheetId="11">[31]Исх.данные!#REF!</definedName>
    <definedName name="бериллий_в_карбонатной_окиси" localSheetId="5">[31]Исх.данные!#REF!</definedName>
    <definedName name="бериллий_в_карбонатной_окиси">[31]Исх.данные!#REF!</definedName>
    <definedName name="бериллий_в_концентратах_и_отходах" localSheetId="6">[31]Исх.данные!#REF!</definedName>
    <definedName name="бериллий_в_концентратах_и_отходах" localSheetId="7">[31]Исх.данные!#REF!</definedName>
    <definedName name="бериллий_в_концентратах_и_отходах" localSheetId="8">[31]Исх.данные!#REF!</definedName>
    <definedName name="бериллий_в_концентратах_и_отходах" localSheetId="9">[31]Исх.данные!#REF!</definedName>
    <definedName name="бериллий_в_концентратах_и_отходах" localSheetId="12">[31]Исх.данные!#REF!</definedName>
    <definedName name="бериллий_в_концентратах_и_отходах" localSheetId="1">[31]Исх.данные!#REF!</definedName>
    <definedName name="бериллий_в_концентратах_и_отходах" localSheetId="2">[31]Исх.данные!#REF!</definedName>
    <definedName name="бериллий_в_концентратах_и_отходах" localSheetId="3">[31]Исх.данные!#REF!</definedName>
    <definedName name="бериллий_в_концентратах_и_отходах" localSheetId="4">[31]Исх.данные!#REF!</definedName>
    <definedName name="бериллий_в_концентратах_и_отходах" localSheetId="13">[31]Исх.данные!#REF!</definedName>
    <definedName name="бериллий_в_концентратах_и_отходах" localSheetId="0">[31]Исх.данные!#REF!</definedName>
    <definedName name="бериллий_в_концентратах_и_отходах" localSheetId="11">[31]Исх.данные!#REF!</definedName>
    <definedName name="бериллий_в_концентратах_и_отходах" localSheetId="5">[31]Исх.данные!#REF!</definedName>
    <definedName name="бериллий_в_концентратах_и_отходах">[31]Исх.данные!#REF!</definedName>
    <definedName name="бериллий_из_основного_карбоната__доводка" localSheetId="6">[31]Исх.данные!#REF!</definedName>
    <definedName name="бериллий_из_основного_карбоната__доводка" localSheetId="7">[31]Исх.данные!#REF!</definedName>
    <definedName name="бериллий_из_основного_карбоната__доводка" localSheetId="8">[31]Исх.данные!#REF!</definedName>
    <definedName name="бериллий_из_основного_карбоната__доводка" localSheetId="9">[31]Исх.данные!#REF!</definedName>
    <definedName name="бериллий_из_основного_карбоната__доводка" localSheetId="12">[31]Исх.данные!#REF!</definedName>
    <definedName name="бериллий_из_основного_карбоната__доводка" localSheetId="1">[31]Исх.данные!#REF!</definedName>
    <definedName name="бериллий_из_основного_карбоната__доводка" localSheetId="2">[31]Исх.данные!#REF!</definedName>
    <definedName name="бериллий_из_основного_карбоната__доводка" localSheetId="3">[31]Исх.данные!#REF!</definedName>
    <definedName name="бериллий_из_основного_карбоната__доводка" localSheetId="4">[31]Исх.данные!#REF!</definedName>
    <definedName name="бериллий_из_основного_карбоната__доводка" localSheetId="13">[31]Исх.данные!#REF!</definedName>
    <definedName name="бериллий_из_основного_карбоната__доводка" localSheetId="0">[31]Исх.данные!#REF!</definedName>
    <definedName name="бериллий_из_основного_карбоната__доводка" localSheetId="11">[31]Исх.данные!#REF!</definedName>
    <definedName name="бериллий_из_основного_карбоната__доводка" localSheetId="5">[31]Исх.данные!#REF!</definedName>
    <definedName name="бериллий_из_основного_карбоната__доводка">[31]Исх.данные!#REF!</definedName>
    <definedName name="БЛРаздел1" localSheetId="6">[34]Форма2!$C$19:$C$24,[34]Форма2!$E$19:$F$24,[34]Форма2!$D$26:$F$31,[34]Форма2!$C$33:$C$38,[34]Форма2!$E$33:$F$38,[34]Форма2!$D$40:$F$43,[34]Форма2!$C$45:$C$48,[34]Форма2!$E$45:$F$48,[34]Форма2!$C$19</definedName>
    <definedName name="БЛРаздел1" localSheetId="7">[34]Форма2!$C$19:$C$24,[34]Форма2!$E$19:$F$24,[34]Форма2!$D$26:$F$31,[34]Форма2!$C$33:$C$38,[34]Форма2!$E$33:$F$38,[34]Форма2!$D$40:$F$43,[34]Форма2!$C$45:$C$48,[34]Форма2!$E$45:$F$48,[34]Форма2!$C$19</definedName>
    <definedName name="БЛРаздел1" localSheetId="8">[34]Форма2!$C$19:$C$24,[34]Форма2!$E$19:$F$24,[34]Форма2!$D$26:$F$31,[34]Форма2!$C$33:$C$38,[34]Форма2!$E$33:$F$38,[34]Форма2!$D$40:$F$43,[34]Форма2!$C$45:$C$48,[34]Форма2!$E$45:$F$48,[34]Форма2!$C$19</definedName>
    <definedName name="БЛРаздел1" localSheetId="9">[34]Форма2!$C$19:$C$24,[34]Форма2!$E$19:$F$24,[34]Форма2!$D$26:$F$31,[34]Форма2!$C$33:$C$38,[34]Форма2!$E$33:$F$38,[34]Форма2!$D$40:$F$43,[34]Форма2!$C$45:$C$48,[34]Форма2!$E$45:$F$48,[34]Форма2!$C$19</definedName>
    <definedName name="БЛРаздел1" localSheetId="10">[34]Форма2!$C$19:$C$24,[34]Форма2!$E$19:$F$24,[34]Форма2!$D$26:$F$31,[34]Форма2!$C$33:$C$38,[34]Форма2!$E$33:$F$38,[34]Форма2!$D$40:$F$43,[34]Форма2!$C$45:$C$48,[34]Форма2!$E$45:$F$48,[34]Форма2!$C$19</definedName>
    <definedName name="БЛРаздел1">[35]Форма2!$C$19:$C$24,[35]Форма2!$E$19:$F$24,[35]Форма2!$D$26:$F$31,[35]Форма2!$C$33:$C$38,[35]Форма2!$E$33:$F$38,[35]Форма2!$D$40:$F$43,[35]Форма2!$C$45:$C$48,[35]Форма2!$E$45:$F$48,[35]Форма2!$C$19</definedName>
    <definedName name="БЛРаздел1_13">[36]Форма2!$C$19:$C$24,[36]Форма2!$E$19:$F$24,[36]Форма2!$D$26:$F$31,[36]Форма2!$C$33:$C$38,[36]Форма2!$E$33:$F$38,[36]Форма2!$D$40:$F$43,[36]Форма2!$C$45:$C$48,[36]Форма2!$E$45:$F$48,[36]Форма2!$C$19</definedName>
    <definedName name="БЛРаздел1_16">[36]Форма2!$C$19:$C$24,[36]Форма2!$E$19:$F$24,[36]Форма2!$D$26:$F$31,[36]Форма2!$C$33:$C$38,[36]Форма2!$E$33:$F$38,[36]Форма2!$D$40:$F$43,[36]Форма2!$C$45:$C$48,[36]Форма2!$E$45:$F$48,[36]Форма2!$C$19</definedName>
    <definedName name="БЛРаздел1_17">[37]Форма2!$C$19:$C$24,[37]Форма2!$E$19:$F$24,[37]Форма2!$D$26:$F$31,[37]Форма2!$C$33:$C$38,[37]Форма2!$E$33:$F$38,[37]Форма2!$D$40:$F$43,[37]Форма2!$C$45:$C$48,[37]Форма2!$E$45:$F$48,[37]Форма2!$C$19</definedName>
    <definedName name="БЛРаздел1_18">[36]Форма2!$C$19:$C$24,[36]Форма2!$E$19:$F$24,[36]Форма2!$D$26:$F$31,[36]Форма2!$C$33:$C$38,[36]Форма2!$E$33:$F$38,[36]Форма2!$D$40:$F$43,[36]Форма2!$C$45:$C$48,[36]Форма2!$E$45:$F$48,[36]Форма2!$C$19</definedName>
    <definedName name="БЛРаздел2" localSheetId="6">[34]Форма2!$C$51:$C$58,[34]Форма2!$E$51:$F$58,[34]Форма2!$C$60:$C$63,[34]Форма2!$E$60:$F$63,[34]Форма2!$C$65:$C$67,[34]Форма2!$E$65:$F$67,[34]Форма2!$C$51</definedName>
    <definedName name="БЛРаздел2" localSheetId="7">[34]Форма2!$C$51:$C$58,[34]Форма2!$E$51:$F$58,[34]Форма2!$C$60:$C$63,[34]Форма2!$E$60:$F$63,[34]Форма2!$C$65:$C$67,[34]Форма2!$E$65:$F$67,[34]Форма2!$C$51</definedName>
    <definedName name="БЛРаздел2" localSheetId="8">[34]Форма2!$C$51:$C$58,[34]Форма2!$E$51:$F$58,[34]Форма2!$C$60:$C$63,[34]Форма2!$E$60:$F$63,[34]Форма2!$C$65:$C$67,[34]Форма2!$E$65:$F$67,[34]Форма2!$C$51</definedName>
    <definedName name="БЛРаздел2" localSheetId="9">[34]Форма2!$C$51:$C$58,[34]Форма2!$E$51:$F$58,[34]Форма2!$C$60:$C$63,[34]Форма2!$E$60:$F$63,[34]Форма2!$C$65:$C$67,[34]Форма2!$E$65:$F$67,[34]Форма2!$C$51</definedName>
    <definedName name="БЛРаздел2" localSheetId="10">[34]Форма2!$C$51:$C$58,[34]Форма2!$E$51:$F$58,[34]Форма2!$C$60:$C$63,[34]Форма2!$E$60:$F$63,[34]Форма2!$C$65:$C$67,[34]Форма2!$E$65:$F$67,[34]Форма2!$C$51</definedName>
    <definedName name="БЛРаздел2">[35]Форма2!$C$51:$C$58,[35]Форма2!$E$51:$F$58,[35]Форма2!$C$60:$C$62,[35]Форма2!$E$60:$F$62,[35]Форма2!$C$64:$C$66,[35]Форма2!$E$64:$F$66,[35]Форма2!$C$51</definedName>
    <definedName name="БЛРаздел2_13">[36]Форма2!$C$51:$C$58,[36]Форма2!$E$51:$F$58,[36]Форма2!$C$60:$C$63,[36]Форма2!$E$60:$F$63,[36]Форма2!$C$65:$C$67,[36]Форма2!$E$65:$F$67,[36]Форма2!$C$51</definedName>
    <definedName name="БЛРаздел2_16">[36]Форма2!$C$51:$C$58,[36]Форма2!$E$51:$F$58,[36]Форма2!$C$60:$C$63,[36]Форма2!$E$60:$F$63,[36]Форма2!$C$65:$C$67,[36]Форма2!$E$65:$F$67,[36]Форма2!$C$51</definedName>
    <definedName name="БЛРаздел2_17">[37]Форма2!$C$51:$C$58,[37]Форма2!$E$51:$F$58,[37]Форма2!$C$60:$C$63,[37]Форма2!$E$60:$F$63,[37]Форма2!$C$65:$C$67,[37]Форма2!$E$65:$F$67,[37]Форма2!$C$51</definedName>
    <definedName name="БЛРаздел2_18">[36]Форма2!$C$51:$C$58,[36]Форма2!$E$51:$F$58,[36]Форма2!$C$60:$C$63,[36]Форма2!$E$60:$F$63,[36]Форма2!$C$65:$C$67,[36]Форма2!$E$65:$F$67,[36]Форма2!$C$51</definedName>
    <definedName name="БЛРаздел3" localSheetId="6">[34]Форма2!$C$70:$C$72,[34]Форма2!$D$73:$F$73,[34]Форма2!$E$70:$F$72,[34]Форма2!$C$75:$C$77,[34]Форма2!$E$75:$F$77,[34]Форма2!$C$79:$C$82,[34]Форма2!$E$79:$F$82,[34]Форма2!$C$84:$C$86,[34]Форма2!$E$84:$F$86,[34]Форма2!$C$88:$C$89,[34]Форма2!$E$88:$F$89,[34]Форма2!$C$70</definedName>
    <definedName name="БЛРаздел3" localSheetId="7">[34]Форма2!$C$70:$C$72,[34]Форма2!$D$73:$F$73,[34]Форма2!$E$70:$F$72,[34]Форма2!$C$75:$C$77,[34]Форма2!$E$75:$F$77,[34]Форма2!$C$79:$C$82,[34]Форма2!$E$79:$F$82,[34]Форма2!$C$84:$C$86,[34]Форма2!$E$84:$F$86,[34]Форма2!$C$88:$C$89,[34]Форма2!$E$88:$F$89,[34]Форма2!$C$70</definedName>
    <definedName name="БЛРаздел3" localSheetId="8">[34]Форма2!$C$70:$C$72,[34]Форма2!$D$73:$F$73,[34]Форма2!$E$70:$F$72,[34]Форма2!$C$75:$C$77,[34]Форма2!$E$75:$F$77,[34]Форма2!$C$79:$C$82,[34]Форма2!$E$79:$F$82,[34]Форма2!$C$84:$C$86,[34]Форма2!$E$84:$F$86,[34]Форма2!$C$88:$C$89,[34]Форма2!$E$88:$F$89,[34]Форма2!$C$70</definedName>
    <definedName name="БЛРаздел3" localSheetId="9">[34]Форма2!$C$70:$C$72,[34]Форма2!$D$73:$F$73,[34]Форма2!$E$70:$F$72,[34]Форма2!$C$75:$C$77,[34]Форма2!$E$75:$F$77,[34]Форма2!$C$79:$C$82,[34]Форма2!$E$79:$F$82,[34]Форма2!$C$84:$C$86,[34]Форма2!$E$84:$F$86,[34]Форма2!$C$88:$C$89,[34]Форма2!$E$88:$F$89,[34]Форма2!$C$70</definedName>
    <definedName name="БЛРаздел3" localSheetId="10">[34]Форма2!$C$70:$C$72,[34]Форма2!$D$73:$F$73,[34]Форма2!$E$70:$F$72,[34]Форма2!$C$75:$C$77,[34]Форма2!$E$75:$F$77,[34]Форма2!$C$79:$C$82,[34]Форма2!$E$79:$F$82,[34]Форма2!$C$84:$C$86,[34]Форма2!$E$84:$F$86,[34]Форма2!$C$88:$C$89,[34]Форма2!$E$88:$F$89,[34]Форма2!$C$70</definedName>
    <definedName name="БЛРаздел3">[35]Форма2!$C$69:$C$71,[35]Форма2!$D$72:$F$72,[35]Форма2!$E$69:$F$71,[35]Форма2!$C$74:$C$76,[35]Форма2!$E$74:$F$76,[35]Форма2!$C$78:$C$81,[35]Форма2!$E$78:$F$81,[35]Форма2!$C$83:$C$85,[35]Форма2!$E$83:$F$85,[35]Форма2!$C$87:$C$88,[35]Форма2!$E$87:$F$88,[35]Форма2!$C$69</definedName>
    <definedName name="БЛРаздел3_13">[36]Форма2!$C$70:$C$72,[36]Форма2!$D$73:$F$73,[36]Форма2!$E$70:$F$72,[36]Форма2!$C$75:$C$77,[36]Форма2!$E$75:$F$77,[36]Форма2!$C$79:$C$82,[36]Форма2!$E$79:$F$82,[36]Форма2!$C$84:$C$86,[36]Форма2!$E$84:$F$86,[36]Форма2!$C$88:$C$89,[36]Форма2!$E$88:$F$89,[36]Форма2!$C$70</definedName>
    <definedName name="БЛРаздел3_16">[36]Форма2!$C$70:$C$72,[36]Форма2!$D$73:$F$73,[36]Форма2!$E$70:$F$72,[36]Форма2!$C$75:$C$77,[36]Форма2!$E$75:$F$77,[36]Форма2!$C$79:$C$82,[36]Форма2!$E$79:$F$82,[36]Форма2!$C$84:$C$86,[36]Форма2!$E$84:$F$86,[36]Форма2!$C$88:$C$89,[36]Форма2!$E$88:$F$89,[36]Форма2!$C$70</definedName>
    <definedName name="БЛРаздел3_17">[37]Форма2!$C$70:$C$72,[37]Форма2!$D$73:$F$73,[37]Форма2!$E$70:$F$72,[37]Форма2!$C$75:$C$77,[37]Форма2!$E$75:$F$77,[37]Форма2!$C$79:$C$82,[37]Форма2!$E$79:$F$82,[37]Форма2!$C$84:$C$86,[37]Форма2!$E$84:$F$86,[37]Форма2!$C$88:$C$89,[37]Форма2!$E$88:$F$89,[37]Форма2!$C$70</definedName>
    <definedName name="БЛРаздел3_18">[36]Форма2!$C$70:$C$72,[36]Форма2!$D$73:$F$73,[36]Форма2!$E$70:$F$72,[36]Форма2!$C$75:$C$77,[36]Форма2!$E$75:$F$77,[36]Форма2!$C$79:$C$82,[36]Форма2!$E$79:$F$82,[36]Форма2!$C$84:$C$86,[36]Форма2!$E$84:$F$86,[36]Форма2!$C$88:$C$89,[36]Форма2!$E$88:$F$89,[36]Форма2!$C$70</definedName>
    <definedName name="БЛРаздел4" localSheetId="6">[34]Форма2!$E$106:$F$107,[34]Форма2!$C$106:$C$107,[34]Форма2!$E$102:$F$104,[34]Форма2!$C$102:$C$104,[34]Форма2!$C$97:$C$100,[34]Форма2!$E$97:$F$100,[34]Форма2!$E$92:$F$95,[34]Форма2!$C$92:$C$95,[34]Форма2!$C$92</definedName>
    <definedName name="БЛРаздел4" localSheetId="7">[34]Форма2!$E$106:$F$107,[34]Форма2!$C$106:$C$107,[34]Форма2!$E$102:$F$104,[34]Форма2!$C$102:$C$104,[34]Форма2!$C$97:$C$100,[34]Форма2!$E$97:$F$100,[34]Форма2!$E$92:$F$95,[34]Форма2!$C$92:$C$95,[34]Форма2!$C$92</definedName>
    <definedName name="БЛРаздел4" localSheetId="8">[34]Форма2!$E$106:$F$107,[34]Форма2!$C$106:$C$107,[34]Форма2!$E$102:$F$104,[34]Форма2!$C$102:$C$104,[34]Форма2!$C$97:$C$100,[34]Форма2!$E$97:$F$100,[34]Форма2!$E$92:$F$95,[34]Форма2!$C$92:$C$95,[34]Форма2!$C$92</definedName>
    <definedName name="БЛРаздел4" localSheetId="9">[34]Форма2!$E$106:$F$107,[34]Форма2!$C$106:$C$107,[34]Форма2!$E$102:$F$104,[34]Форма2!$C$102:$C$104,[34]Форма2!$C$97:$C$100,[34]Форма2!$E$97:$F$100,[34]Форма2!$E$92:$F$95,[34]Форма2!$C$92:$C$95,[34]Форма2!$C$92</definedName>
    <definedName name="БЛРаздел4" localSheetId="10">[34]Форма2!$E$106:$F$107,[34]Форма2!$C$106:$C$107,[34]Форма2!$E$102:$F$104,[34]Форма2!$C$102:$C$104,[34]Форма2!$C$97:$C$100,[34]Форма2!$E$97:$F$100,[34]Форма2!$E$92:$F$95,[34]Форма2!$C$92:$C$95,[34]Форма2!$C$92</definedName>
    <definedName name="БЛРаздел4">[35]Форма2!$E$106:$F$107,[35]Форма2!$C$106:$C$107,[35]Форма2!$E$102:$F$104,[35]Форма2!$C$102:$C$104,[35]Форма2!$C$97:$C$100,[35]Форма2!$E$97:$F$100,[35]Форма2!$E$92:$F$95,[35]Форма2!$C$92:$C$95,[35]Форма2!$C$92</definedName>
    <definedName name="БЛРаздел4_13">[36]Форма2!$E$106:$F$107,[36]Форма2!$C$106:$C$107,[36]Форма2!$E$102:$F$104,[36]Форма2!$C$102:$C$104,[36]Форма2!$C$97:$C$100,[36]Форма2!$E$97:$F$100,[36]Форма2!$E$92:$F$95,[36]Форма2!$C$92:$C$95,[36]Форма2!$C$92</definedName>
    <definedName name="БЛРаздел4_16">[36]Форма2!$E$106:$F$107,[36]Форма2!$C$106:$C$107,[36]Форма2!$E$102:$F$104,[36]Форма2!$C$102:$C$104,[36]Форма2!$C$97:$C$100,[36]Форма2!$E$97:$F$100,[36]Форма2!$E$92:$F$95,[36]Форма2!$C$92:$C$95,[36]Форма2!$C$92</definedName>
    <definedName name="БЛРаздел4_17">[37]Форма2!$E$106:$F$107,[37]Форма2!$C$106:$C$107,[37]Форма2!$E$102:$F$104,[37]Форма2!$C$102:$C$104,[37]Форма2!$C$97:$C$100,[37]Форма2!$E$97:$F$100,[37]Форма2!$E$92:$F$95,[37]Форма2!$C$92:$C$95,[37]Форма2!$C$92</definedName>
    <definedName name="БЛРаздел4_18">[36]Форма2!$E$106:$F$107,[36]Форма2!$C$106:$C$107,[36]Форма2!$E$102:$F$104,[36]Форма2!$C$102:$C$104,[36]Форма2!$C$97:$C$100,[36]Форма2!$E$97:$F$100,[36]Форма2!$E$92:$F$95,[36]Форма2!$C$92:$C$95,[36]Форма2!$C$92</definedName>
    <definedName name="БЛРаздел5" localSheetId="6">[34]Форма2!$C$113:$C$114,[34]Форма2!$D$110:$F$112,[34]Форма2!$E$113:$F$114,[34]Форма2!$D$115:$F$115,[34]Форма2!$D$117:$F$119,[34]Форма2!$D$121:$F$122,[34]Форма2!$D$124:$F$126,[34]Форма2!$D$110</definedName>
    <definedName name="БЛРаздел5" localSheetId="7">[34]Форма2!$C$113:$C$114,[34]Форма2!$D$110:$F$112,[34]Форма2!$E$113:$F$114,[34]Форма2!$D$115:$F$115,[34]Форма2!$D$117:$F$119,[34]Форма2!$D$121:$F$122,[34]Форма2!$D$124:$F$126,[34]Форма2!$D$110</definedName>
    <definedName name="БЛРаздел5" localSheetId="8">[34]Форма2!$C$113:$C$114,[34]Форма2!$D$110:$F$112,[34]Форма2!$E$113:$F$114,[34]Форма2!$D$115:$F$115,[34]Форма2!$D$117:$F$119,[34]Форма2!$D$121:$F$122,[34]Форма2!$D$124:$F$126,[34]Форма2!$D$110</definedName>
    <definedName name="БЛРаздел5" localSheetId="9">[34]Форма2!$C$113:$C$114,[34]Форма2!$D$110:$F$112,[34]Форма2!$E$113:$F$114,[34]Форма2!$D$115:$F$115,[34]Форма2!$D$117:$F$119,[34]Форма2!$D$121:$F$122,[34]Форма2!$D$124:$F$126,[34]Форма2!$D$110</definedName>
    <definedName name="БЛРаздел5" localSheetId="10">[34]Форма2!$C$113:$C$114,[34]Форма2!$D$110:$F$112,[34]Форма2!$E$113:$F$114,[34]Форма2!$D$115:$F$115,[34]Форма2!$D$117:$F$119,[34]Форма2!$D$121:$F$122,[34]Форма2!$D$124:$F$126,[34]Форма2!$D$110</definedName>
    <definedName name="БЛРаздел5">[35]Форма2!$C$113:$C$114,[35]Форма2!$D$110:$F$112,[35]Форма2!$E$113:$F$114,[35]Форма2!$D$115:$F$115,[35]Форма2!$D$117:$F$119,[35]Форма2!$D$121:$F$122,[35]Форма2!$D$124:$F$126,[35]Форма2!$D$110</definedName>
    <definedName name="БЛРаздел5_13">[36]Форма2!$C$113:$C$114,[36]Форма2!$D$110:$F$112,[36]Форма2!$E$113:$F$114,[36]Форма2!$D$115:$F$115,[36]Форма2!$D$117:$F$119,[36]Форма2!$D$121:$F$122,[36]Форма2!$D$124:$F$126,[36]Форма2!$D$110</definedName>
    <definedName name="БЛРаздел5_16">[36]Форма2!$C$113:$C$114,[36]Форма2!$D$110:$F$112,[36]Форма2!$E$113:$F$114,[36]Форма2!$D$115:$F$115,[36]Форма2!$D$117:$F$119,[36]Форма2!$D$121:$F$122,[36]Форма2!$D$124:$F$126,[36]Форма2!$D$110</definedName>
    <definedName name="БЛРаздел5_17">[37]Форма2!$C$113:$C$114,[37]Форма2!$D$110:$F$112,[37]Форма2!$E$113:$F$114,[37]Форма2!$D$115:$F$115,[37]Форма2!$D$117:$F$119,[37]Форма2!$D$121:$F$122,[37]Форма2!$D$124:$F$126,[37]Форма2!$D$110</definedName>
    <definedName name="БЛРаздел5_18">[36]Форма2!$C$113:$C$114,[36]Форма2!$D$110:$F$112,[36]Форма2!$E$113:$F$114,[36]Форма2!$D$115:$F$115,[36]Форма2!$D$117:$F$119,[36]Форма2!$D$121:$F$122,[36]Форма2!$D$124:$F$126,[36]Форма2!$D$110</definedName>
    <definedName name="БЛРаздел6" localSheetId="6">[34]Форма2!$D$129:$F$132,[34]Форма2!$D$134:$F$135,[34]Форма2!$D$137:$F$140,[34]Форма2!$D$142:$F$144,[34]Форма2!$D$146:$F$150,[34]Форма2!$D$152:$F$154,[34]Форма2!$D$156:$F$162,[34]Форма2!$D$129</definedName>
    <definedName name="БЛРаздел6" localSheetId="7">[34]Форма2!$D$129:$F$132,[34]Форма2!$D$134:$F$135,[34]Форма2!$D$137:$F$140,[34]Форма2!$D$142:$F$144,[34]Форма2!$D$146:$F$150,[34]Форма2!$D$152:$F$154,[34]Форма2!$D$156:$F$162,[34]Форма2!$D$129</definedName>
    <definedName name="БЛРаздел6" localSheetId="8">[34]Форма2!$D$129:$F$132,[34]Форма2!$D$134:$F$135,[34]Форма2!$D$137:$F$140,[34]Форма2!$D$142:$F$144,[34]Форма2!$D$146:$F$150,[34]Форма2!$D$152:$F$154,[34]Форма2!$D$156:$F$162,[34]Форма2!$D$129</definedName>
    <definedName name="БЛРаздел6" localSheetId="9">[34]Форма2!$D$129:$F$132,[34]Форма2!$D$134:$F$135,[34]Форма2!$D$137:$F$140,[34]Форма2!$D$142:$F$144,[34]Форма2!$D$146:$F$150,[34]Форма2!$D$152:$F$154,[34]Форма2!$D$156:$F$162,[34]Форма2!$D$129</definedName>
    <definedName name="БЛРаздел6" localSheetId="10">[34]Форма2!$D$129:$F$132,[34]Форма2!$D$134:$F$135,[34]Форма2!$D$137:$F$140,[34]Форма2!$D$142:$F$144,[34]Форма2!$D$146:$F$150,[34]Форма2!$D$152:$F$154,[34]Форма2!$D$156:$F$162,[34]Форма2!$D$129</definedName>
    <definedName name="БЛРаздел6">[35]Форма2!$D$129:$F$132,[35]Форма2!$D$134:$F$135,[35]Форма2!$D$138:$F$141,[35]Форма2!$D$148:$F$150,[35]Форма2!$D$152:$F$153,[35]Форма2!$D$155:$F$158,[35]Форма2!$D$161:$F$167,[35]Форма2!$D$129</definedName>
    <definedName name="БЛРаздел6_13">[36]Форма2!$D$129:$F$132,[36]Форма2!$D$134:$F$135,[36]Форма2!$D$137:$F$140,[36]Форма2!$D$142:$F$144,[36]Форма2!$D$146:$F$150,[36]Форма2!$D$152:$F$154,[36]Форма2!$D$156:$F$162,[36]Форма2!$D$129</definedName>
    <definedName name="БЛРаздел6_16">[36]Форма2!$D$129:$F$132,[36]Форма2!$D$134:$F$135,[36]Форма2!$D$137:$F$140,[36]Форма2!$D$142:$F$144,[36]Форма2!$D$146:$F$150,[36]Форма2!$D$152:$F$154,[36]Форма2!$D$156:$F$162,[36]Форма2!$D$129</definedName>
    <definedName name="БЛРаздел6_17">[37]Форма2!$D$129:$F$132,[37]Форма2!$D$134:$F$135,[37]Форма2!$D$137:$F$140,[37]Форма2!$D$142:$F$144,[37]Форма2!$D$146:$F$150,[37]Форма2!$D$152:$F$154,[37]Форма2!$D$156:$F$162,[37]Форма2!$D$129</definedName>
    <definedName name="БЛРаздел6_18">[36]Форма2!$D$129:$F$132,[36]Форма2!$D$134:$F$135,[36]Форма2!$D$137:$F$140,[36]Форма2!$D$142:$F$144,[36]Форма2!$D$146:$F$150,[36]Форма2!$D$152:$F$154,[36]Форма2!$D$156:$F$162,[36]Форма2!$D$129</definedName>
    <definedName name="БЛРаздел7" localSheetId="6">[34]Форма2!$D$179:$F$185,[34]Форма2!$D$175:$F$177,[34]Форма2!$D$165:$F$173,[34]Форма2!$D$165</definedName>
    <definedName name="БЛРаздел7" localSheetId="7">[34]Форма2!$D$179:$F$185,[34]Форма2!$D$175:$F$177,[34]Форма2!$D$165:$F$173,[34]Форма2!$D$165</definedName>
    <definedName name="БЛРаздел7" localSheetId="8">[34]Форма2!$D$179:$F$185,[34]Форма2!$D$175:$F$177,[34]Форма2!$D$165:$F$173,[34]Форма2!$D$165</definedName>
    <definedName name="БЛРаздел7" localSheetId="9">[34]Форма2!$D$179:$F$185,[34]Форма2!$D$175:$F$177,[34]Форма2!$D$165:$F$173,[34]Форма2!$D$165</definedName>
    <definedName name="БЛРаздел7" localSheetId="10">[34]Форма2!$D$179:$F$185,[34]Форма2!$D$175:$F$177,[34]Форма2!$D$165:$F$173,[34]Форма2!$D$165</definedName>
    <definedName name="БЛРаздел7">[35]Форма2!$D$176:$F$182,[35]Форма2!$D$172:$F$174,[35]Форма2!$D$170:$F$170,[35]Форма2!$D$170</definedName>
    <definedName name="БЛРаздел7_13">[36]Форма2!$D$179:$F$185,[36]Форма2!$D$175:$F$177,[36]Форма2!$D$165:$F$173,[36]Форма2!$D$165</definedName>
    <definedName name="БЛРаздел7_16">[36]Форма2!$D$179:$F$185,[36]Форма2!$D$175:$F$177,[36]Форма2!$D$165:$F$173,[36]Форма2!$D$165</definedName>
    <definedName name="БЛРаздел7_17">[37]Форма2!$D$179:$F$185,[37]Форма2!$D$175:$F$177,[37]Форма2!$D$165:$F$173,[37]Форма2!$D$165</definedName>
    <definedName name="БЛРаздел7_18">[36]Форма2!$D$179:$F$185,[36]Форма2!$D$175:$F$177,[36]Форма2!$D$165:$F$173,[36]Форма2!$D$165</definedName>
    <definedName name="БЛРаздел8" localSheetId="6">[34]Форма2!$E$200:$F$207,[34]Форма2!$C$200:$C$207,[34]Форма2!$E$189:$F$198,[34]Форма2!$C$189:$C$198,[34]Форма2!$E$188:$F$188,[34]Форма2!$C$188</definedName>
    <definedName name="БЛРаздел8" localSheetId="7">[34]Форма2!$E$200:$F$207,[34]Форма2!$C$200:$C$207,[34]Форма2!$E$189:$F$198,[34]Форма2!$C$189:$C$198,[34]Форма2!$E$188:$F$188,[34]Форма2!$C$188</definedName>
    <definedName name="БЛРаздел8" localSheetId="8">[34]Форма2!$E$200:$F$207,[34]Форма2!$C$200:$C$207,[34]Форма2!$E$189:$F$198,[34]Форма2!$C$189:$C$198,[34]Форма2!$E$188:$F$188,[34]Форма2!$C$188</definedName>
    <definedName name="БЛРаздел8" localSheetId="9">[34]Форма2!$E$200:$F$207,[34]Форма2!$C$200:$C$207,[34]Форма2!$E$189:$F$198,[34]Форма2!$C$189:$C$198,[34]Форма2!$E$188:$F$188,[34]Форма2!$C$188</definedName>
    <definedName name="БЛРаздел8" localSheetId="10">[34]Форма2!$E$200:$F$207,[34]Форма2!$C$200:$C$207,[34]Форма2!$E$189:$F$198,[34]Форма2!$C$189:$C$198,[34]Форма2!$E$188:$F$188,[34]Форма2!$C$188</definedName>
    <definedName name="БЛРаздел8">[35]Форма2!$E$190:$F$201,[35]Форма2!$C$190:$C$201,[35]Форма2!$E$186:$F$188,[35]Форма2!$C$186:$C$188,[35]Форма2!$E$185:$F$185,[35]Форма2!$C$185</definedName>
    <definedName name="БЛРаздел8_13">[36]Форма2!$E$200:$F$207,[36]Форма2!$C$200:$C$207,[36]Форма2!$E$189:$F$198,[36]Форма2!$C$189:$C$198,[36]Форма2!$E$188:$F$188,[36]Форма2!$C$188</definedName>
    <definedName name="БЛРаздел8_16">[36]Форма2!$E$200:$F$207,[36]Форма2!$C$200:$C$207,[36]Форма2!$E$189:$F$198,[36]Форма2!$C$189:$C$198,[36]Форма2!$E$188:$F$188,[36]Форма2!$C$188</definedName>
    <definedName name="БЛРаздел8_17">[37]Форма2!$E$200:$F$207,[37]Форма2!$C$200:$C$207,[37]Форма2!$E$189:$F$198,[37]Форма2!$C$189:$C$198,[37]Форма2!$E$188:$F$188,[37]Форма2!$C$188</definedName>
    <definedName name="БЛРаздел8_18">[36]Форма2!$E$200:$F$207,[36]Форма2!$C$200:$C$207,[36]Форма2!$E$189:$F$198,[36]Форма2!$C$189:$C$198,[36]Форма2!$E$188:$F$188,[36]Форма2!$C$188</definedName>
    <definedName name="БЛРаздел9" localSheetId="6">[34]Форма2!$E$234:$F$237,[34]Форма2!$C$234:$C$237,[34]Форма2!$E$224:$F$232,[34]Форма2!$C$224:$C$232,[34]Форма2!$E$223:$F$223,[34]Форма2!$C$223,[34]Форма2!$E$217:$F$221,[34]Форма2!$C$217:$C$221,[34]Форма2!$E$210:$F$215,[34]Форма2!$C$210:$C$215,[34]Форма2!$C$210</definedName>
    <definedName name="БЛРаздел9" localSheetId="7">[34]Форма2!$E$234:$F$237,[34]Форма2!$C$234:$C$237,[34]Форма2!$E$224:$F$232,[34]Форма2!$C$224:$C$232,[34]Форма2!$E$223:$F$223,[34]Форма2!$C$223,[34]Форма2!$E$217:$F$221,[34]Форма2!$C$217:$C$221,[34]Форма2!$E$210:$F$215,[34]Форма2!$C$210:$C$215,[34]Форма2!$C$210</definedName>
    <definedName name="БЛРаздел9" localSheetId="8">[34]Форма2!$E$234:$F$237,[34]Форма2!$C$234:$C$237,[34]Форма2!$E$224:$F$232,[34]Форма2!$C$224:$C$232,[34]Форма2!$E$223:$F$223,[34]Форма2!$C$223,[34]Форма2!$E$217:$F$221,[34]Форма2!$C$217:$C$221,[34]Форма2!$E$210:$F$215,[34]Форма2!$C$210:$C$215,[34]Форма2!$C$210</definedName>
    <definedName name="БЛРаздел9" localSheetId="9">[34]Форма2!$E$234:$F$237,[34]Форма2!$C$234:$C$237,[34]Форма2!$E$224:$F$232,[34]Форма2!$C$224:$C$232,[34]Форма2!$E$223:$F$223,[34]Форма2!$C$223,[34]Форма2!$E$217:$F$221,[34]Форма2!$C$217:$C$221,[34]Форма2!$E$210:$F$215,[34]Форма2!$C$210:$C$215,[34]Форма2!$C$210</definedName>
    <definedName name="БЛРаздел9" localSheetId="12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" localSheetId="10">[34]Форма2!$E$234:$F$237,[34]Форма2!$C$234:$C$237,[34]Форма2!$E$224:$F$232,[34]Форма2!$C$224:$C$232,[34]Форма2!$E$223:$F$223,[34]Форма2!$C$223,[34]Форма2!$E$217:$F$221,[34]Форма2!$C$217:$C$221,[34]Форма2!$E$210:$F$215,[34]Форма2!$C$210:$C$215,[34]Форма2!$C$210</definedName>
    <definedName name="БЛРаздел9" localSheetId="1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" localSheetId="2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" localSheetId="3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" localSheetId="4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" localSheetId="13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" localSheetId="0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" localSheetId="11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" localSheetId="5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">[35]Форма2!#REF!,[35]Форма2!#REF!,[35]Форма2!$E$223:$F$230,[35]Форма2!$C$223:$C$230,[35]Форма2!$E$222:$F$222,[35]Форма2!$C$222,[35]Форма2!$E$216:$F$220,[35]Форма2!$C$216:$C$220,[35]Форма2!$E$205:$F$209,[35]Форма2!$C$205:$C$209,[35]Форма2!#REF!</definedName>
    <definedName name="БЛРаздел9_13">[36]Форма2!$E$234:$F$237,[36]Форма2!$C$234:$C$237,[36]Форма2!$E$224:$F$232,[36]Форма2!$C$224:$C$232,[36]Форма2!$E$223:$F$223,[36]Форма2!$C$223,[36]Форма2!$E$217:$F$221,[36]Форма2!$C$217:$C$221,[36]Форма2!$E$210:$F$215,[36]Форма2!$C$210:$C$215,[36]Форма2!$C$210</definedName>
    <definedName name="БЛРаздел9_16">[36]Форма2!$E$234:$F$237,[36]Форма2!$C$234:$C$237,[36]Форма2!$E$224:$F$232,[36]Форма2!$C$224:$C$232,[36]Форма2!$E$223:$F$223,[36]Форма2!$C$223,[36]Форма2!$E$217:$F$221,[36]Форма2!$C$217:$C$221,[36]Форма2!$E$210:$F$215,[36]Форма2!$C$210:$C$215,[36]Форма2!$C$210</definedName>
    <definedName name="БЛРаздел9_17">[37]Форма2!$E$234:$F$237,[37]Форма2!$C$234:$C$237,[37]Форма2!$E$224:$F$232,[37]Форма2!$C$224:$C$232,[37]Форма2!$E$223:$F$223,[37]Форма2!$C$223,[37]Форма2!$E$217:$F$221,[37]Форма2!$C$217:$C$221,[37]Форма2!$E$210:$F$215,[37]Форма2!$C$210:$C$215,[37]Форма2!$C$210</definedName>
    <definedName name="БЛРаздел9_18">[36]Форма2!$E$234:$F$237,[36]Форма2!$C$234:$C$237,[36]Форма2!$E$224:$F$232,[36]Форма2!$C$224:$C$232,[36]Форма2!$E$223:$F$223,[36]Форма2!$C$223,[36]Форма2!$E$217:$F$221,[36]Форма2!$C$217:$C$221,[36]Форма2!$E$210:$F$215,[36]Форма2!$C$210:$C$215,[36]Форма2!$C$210</definedName>
    <definedName name="БО5">#N/A</definedName>
    <definedName name="БПДанные" localSheetId="6">[34]Форма1!$C$22:$D$33,[34]Форма1!$C$36:$D$48,[34]Форма1!$C$22</definedName>
    <definedName name="БПДанные" localSheetId="7">[34]Форма1!$C$22:$D$33,[34]Форма1!$C$36:$D$48,[34]Форма1!$C$22</definedName>
    <definedName name="БПДанные" localSheetId="8">[34]Форма1!$C$22:$D$33,[34]Форма1!$C$36:$D$48,[34]Форма1!$C$22</definedName>
    <definedName name="БПДанные" localSheetId="9">[34]Форма1!$C$22:$D$33,[34]Форма1!$C$36:$D$48,[34]Форма1!$C$22</definedName>
    <definedName name="БПДанные" localSheetId="12">#REF!,#REF!,#REF!</definedName>
    <definedName name="БПДанные" localSheetId="10">[34]Форма1!$C$22:$D$33,[34]Форма1!$C$36:$D$48,[34]Форма1!$C$22</definedName>
    <definedName name="БПДанные" localSheetId="1">#REF!,#REF!,#REF!</definedName>
    <definedName name="БПДанные" localSheetId="2">#REF!,#REF!,#REF!</definedName>
    <definedName name="БПДанные" localSheetId="3">#REF!,#REF!,#REF!</definedName>
    <definedName name="БПДанные" localSheetId="4">#REF!,#REF!,#REF!</definedName>
    <definedName name="БПДанные" localSheetId="13">#REF!,#REF!,#REF!</definedName>
    <definedName name="БПДанные" localSheetId="0">#REF!,#REF!,#REF!</definedName>
    <definedName name="БПДанные" localSheetId="11">#REF!,#REF!,#REF!</definedName>
    <definedName name="БПДанные" localSheetId="5">#REF!,#REF!,#REF!</definedName>
    <definedName name="БПДанные">#REF!,#REF!,#REF!</definedName>
    <definedName name="БПДанные_13">[36]Форма1!$C$22:$D$33,[36]Форма1!$C$36:$D$48,[36]Форма1!$C$22</definedName>
    <definedName name="БПДанные_16">[36]Форма1!$C$22:$D$33,[36]Форма1!$C$36:$D$48,[36]Форма1!$C$22</definedName>
    <definedName name="БПДанные_17">[37]Форма1!$C$22:$D$33,[37]Форма1!$C$36:$D$48,[37]Форма1!$C$22</definedName>
    <definedName name="БПДанные_18">[36]Форма1!$C$22:$D$33,[36]Форма1!$C$36:$D$48,[36]Форма1!$C$22</definedName>
    <definedName name="Бюджет__по__подразд__2003__года_Лист1_Таблица" localSheetId="6">[38]ОТиТБ!#REF!</definedName>
    <definedName name="Бюджет__по__подразд__2003__года_Лист1_Таблица" localSheetId="7">[38]ОТиТБ!#REF!</definedName>
    <definedName name="Бюджет__по__подразд__2003__года_Лист1_Таблица" localSheetId="8">[38]ОТиТБ!#REF!</definedName>
    <definedName name="Бюджет__по__подразд__2003__года_Лист1_Таблица" localSheetId="9">[38]ОТиТБ!#REF!</definedName>
    <definedName name="Бюджет__по__подразд__2003__года_Лист1_Таблица">[38]ОТиТБ!#REF!</definedName>
    <definedName name="в23ё">#N/A</definedName>
    <definedName name="в23ё_11">#N/A</definedName>
    <definedName name="в23ё_12">#N/A</definedName>
    <definedName name="в23ё_13">#N/A</definedName>
    <definedName name="в23ё_14">#N/A</definedName>
    <definedName name="в23ё_16">#N/A</definedName>
    <definedName name="в23ё_17">#N/A</definedName>
    <definedName name="в23ё_18">#N/A</definedName>
    <definedName name="в23ё_19">#N/A</definedName>
    <definedName name="В32" localSheetId="6">#REF!</definedName>
    <definedName name="В32" localSheetId="7">#REF!</definedName>
    <definedName name="В32" localSheetId="8">#REF!</definedName>
    <definedName name="В32" localSheetId="9">#REF!</definedName>
    <definedName name="В32">#REF!</definedName>
    <definedName name="вб" localSheetId="6">[39]Пр2!#REF!</definedName>
    <definedName name="вб" localSheetId="7">[39]Пр2!#REF!</definedName>
    <definedName name="вб" localSheetId="8">[39]Пр2!#REF!</definedName>
    <definedName name="вб" localSheetId="9">[39]Пр2!#REF!</definedName>
    <definedName name="вб">[39]Пр2!#REF!</definedName>
    <definedName name="вв">#N/A</definedName>
    <definedName name="вв_11">#N/A</definedName>
    <definedName name="вв_12">#N/A</definedName>
    <definedName name="вв_13">#N/A</definedName>
    <definedName name="вв_14">#N/A</definedName>
    <definedName name="вв_16">#N/A</definedName>
    <definedName name="вв_17">#N/A</definedName>
    <definedName name="вв_18">#N/A</definedName>
    <definedName name="вв_19">#N/A</definedName>
    <definedName name="вввввввв" localSheetId="1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с" localSheetId="12" hidden="1">{#N/A,#N/A,FALSE,"Aging Summary";#N/A,#N/A,FALSE,"Ratio Analysis";#N/A,#N/A,FALSE,"Test 120 Day Accts";#N/A,#N/A,FALSE,"Tickmarks"}</definedName>
    <definedName name="вс" localSheetId="5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помогательные_материалы_и_реагенты" localSheetId="6">[31]Исх.данные!#REF!</definedName>
    <definedName name="вспомогательные_материалы_и_реагенты" localSheetId="7">[31]Исх.данные!#REF!</definedName>
    <definedName name="вспомогательные_материалы_и_реагенты" localSheetId="8">[31]Исх.данные!#REF!</definedName>
    <definedName name="вспомогательные_материалы_и_реагенты" localSheetId="9">[31]Исх.данные!#REF!</definedName>
    <definedName name="вспомогательные_материалы_и_реагенты" localSheetId="12">[31]Исх.данные!#REF!</definedName>
    <definedName name="вспомогательные_материалы_и_реагенты" localSheetId="1">[31]Исх.данные!#REF!</definedName>
    <definedName name="вспомогательные_материалы_и_реагенты" localSheetId="2">[31]Исх.данные!#REF!</definedName>
    <definedName name="вспомогательные_материалы_и_реагенты" localSheetId="3">[31]Исх.данные!#REF!</definedName>
    <definedName name="вспомогательные_материалы_и_реагенты" localSheetId="4">[31]Исх.данные!#REF!</definedName>
    <definedName name="вспомогательные_материалы_и_реагенты" localSheetId="13">[31]Исх.данные!#REF!</definedName>
    <definedName name="вспомогательные_материалы_и_реагенты" localSheetId="0">[31]Исх.данные!#REF!</definedName>
    <definedName name="вспомогательные_материалы_и_реагенты" localSheetId="11">[31]Исх.данные!#REF!</definedName>
    <definedName name="вспомогательные_материалы_и_реагенты" localSheetId="5">[31]Исх.данные!#REF!</definedName>
    <definedName name="вспомогательные_материалы_и_реагенты">[31]Исх.данные!#REF!</definedName>
    <definedName name="второй" localSheetId="6">#REF!</definedName>
    <definedName name="второй" localSheetId="7">#REF!</definedName>
    <definedName name="второй" localSheetId="8">#REF!</definedName>
    <definedName name="второй" localSheetId="9">#REF!</definedName>
    <definedName name="второй">#REF!</definedName>
    <definedName name="вуув" hidden="1">{#N/A,#N/A,TRUE,"Лист1";#N/A,#N/A,TRUE,"Лист2";#N/A,#N/A,TRUE,"Лист3"}</definedName>
    <definedName name="гггг" localSheetId="6">#REF!</definedName>
    <definedName name="гггг" localSheetId="7">#REF!</definedName>
    <definedName name="гггг" localSheetId="8">#REF!</definedName>
    <definedName name="гггг" localSheetId="9">#REF!</definedName>
    <definedName name="гггг" localSheetId="12">#REF!</definedName>
    <definedName name="гггг" localSheetId="10">#REF!</definedName>
    <definedName name="гггг" localSheetId="1">#REF!</definedName>
    <definedName name="гггг" localSheetId="2">#REF!</definedName>
    <definedName name="гггг" localSheetId="3">#REF!</definedName>
    <definedName name="гггг" localSheetId="4">#REF!</definedName>
    <definedName name="гггг" localSheetId="13">#REF!</definedName>
    <definedName name="гггг" localSheetId="0">#REF!</definedName>
    <definedName name="гггг" localSheetId="11">#REF!</definedName>
    <definedName name="гггг" localSheetId="5">#REF!</definedName>
    <definedName name="гггг">#REF!</definedName>
    <definedName name="график_2" localSheetId="6">#REF!</definedName>
    <definedName name="график_2" localSheetId="7">#REF!</definedName>
    <definedName name="график_2" localSheetId="8">#REF!</definedName>
    <definedName name="график_2" localSheetId="9">#REF!</definedName>
    <definedName name="график_2">#REF!</definedName>
    <definedName name="графики_Темиржолсу" localSheetId="6">#REF!</definedName>
    <definedName name="графики_Темиржолсу" localSheetId="7">#REF!</definedName>
    <definedName name="графики_Темиржолсу" localSheetId="8">#REF!</definedName>
    <definedName name="графики_Темиржолсу" localSheetId="9">#REF!</definedName>
    <definedName name="графики_Темиржолсу">#REF!</definedName>
    <definedName name="графит" localSheetId="6">[31]Исх.данные!#REF!</definedName>
    <definedName name="графит" localSheetId="7">[31]Исх.данные!#REF!</definedName>
    <definedName name="графит" localSheetId="8">[31]Исх.данные!#REF!</definedName>
    <definedName name="графит" localSheetId="9">[31]Исх.данные!#REF!</definedName>
    <definedName name="графит" localSheetId="12">[31]Исх.данные!#REF!</definedName>
    <definedName name="графит" localSheetId="1">[31]Исх.данные!#REF!</definedName>
    <definedName name="графит" localSheetId="2">[31]Исх.данные!#REF!</definedName>
    <definedName name="графит" localSheetId="3">[31]Исх.данные!#REF!</definedName>
    <definedName name="графит" localSheetId="4">[31]Исх.данные!#REF!</definedName>
    <definedName name="графит" localSheetId="13">[31]Исх.данные!#REF!</definedName>
    <definedName name="графит" localSheetId="0">[31]Исх.данные!#REF!</definedName>
    <definedName name="графит" localSheetId="11">[31]Исх.данные!#REF!</definedName>
    <definedName name="графит" localSheetId="5">[31]Исх.данные!#REF!</definedName>
    <definedName name="графит">[31]Исх.данные!#REF!</definedName>
    <definedName name="графит_в_заготовках" localSheetId="6">[31]Исх.данные!#REF!</definedName>
    <definedName name="графит_в_заготовках" localSheetId="7">[31]Исх.данные!#REF!</definedName>
    <definedName name="графит_в_заготовках" localSheetId="8">[31]Исх.данные!#REF!</definedName>
    <definedName name="графит_в_заготовках" localSheetId="9">[31]Исх.данные!#REF!</definedName>
    <definedName name="графит_в_заготовках" localSheetId="12">[31]Исх.данные!#REF!</definedName>
    <definedName name="графит_в_заготовках" localSheetId="1">[31]Исх.данные!#REF!</definedName>
    <definedName name="графит_в_заготовках" localSheetId="2">[31]Исх.данные!#REF!</definedName>
    <definedName name="графит_в_заготовках" localSheetId="3">[31]Исх.данные!#REF!</definedName>
    <definedName name="графит_в_заготовках" localSheetId="4">[31]Исх.данные!#REF!</definedName>
    <definedName name="графит_в_заготовках" localSheetId="13">[31]Исх.данные!#REF!</definedName>
    <definedName name="графит_в_заготовках" localSheetId="0">[31]Исх.данные!#REF!</definedName>
    <definedName name="графит_в_заготовках" localSheetId="11">[31]Исх.данные!#REF!</definedName>
    <definedName name="графит_в_заготовках" localSheetId="5">[31]Исх.данные!#REF!</definedName>
    <definedName name="графит_в_заготовках">[31]Исх.данные!#REF!</definedName>
    <definedName name="графитовые_блоки" localSheetId="6">[31]Исх.данные!#REF!</definedName>
    <definedName name="графитовые_блоки" localSheetId="7">[31]Исх.данные!#REF!</definedName>
    <definedName name="графитовые_блоки" localSheetId="8">[31]Исх.данные!#REF!</definedName>
    <definedName name="графитовые_блоки" localSheetId="9">[31]Исх.данные!#REF!</definedName>
    <definedName name="графитовые_блоки" localSheetId="12">[31]Исх.данные!#REF!</definedName>
    <definedName name="графитовые_блоки" localSheetId="1">[31]Исх.данные!#REF!</definedName>
    <definedName name="графитовые_блоки" localSheetId="2">[31]Исх.данные!#REF!</definedName>
    <definedName name="графитовые_блоки" localSheetId="3">[31]Исх.данные!#REF!</definedName>
    <definedName name="графитовые_блоки" localSheetId="4">[31]Исх.данные!#REF!</definedName>
    <definedName name="графитовые_блоки" localSheetId="13">[31]Исх.данные!#REF!</definedName>
    <definedName name="графитовые_блоки" localSheetId="0">[31]Исх.данные!#REF!</definedName>
    <definedName name="графитовые_блоки" localSheetId="11">[31]Исх.данные!#REF!</definedName>
    <definedName name="графитовые_блоки" localSheetId="5">[31]Исх.данные!#REF!</definedName>
    <definedName name="графитовые_блоки">[31]Исх.данные!#REF!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 localSheetId="6">#REF!</definedName>
    <definedName name="д" localSheetId="7">#REF!</definedName>
    <definedName name="д" localSheetId="8">#REF!</definedName>
    <definedName name="д" localSheetId="9">#REF!</definedName>
    <definedName name="д">#REF!</definedName>
    <definedName name="д1" localSheetId="6">#REF!</definedName>
    <definedName name="д1" localSheetId="7">#REF!</definedName>
    <definedName name="д1" localSheetId="8">#REF!</definedName>
    <definedName name="д1" localSheetId="9">#REF!</definedName>
    <definedName name="д1">#REF!</definedName>
    <definedName name="д2" localSheetId="6">#REF!</definedName>
    <definedName name="д2" localSheetId="7">#REF!</definedName>
    <definedName name="д2" localSheetId="8">#REF!</definedName>
    <definedName name="д2" localSheetId="9">#REF!</definedName>
    <definedName name="д2">#REF!</definedName>
    <definedName name="д3" localSheetId="6">#REF!</definedName>
    <definedName name="д3" localSheetId="7">#REF!</definedName>
    <definedName name="д3" localSheetId="8">#REF!</definedName>
    <definedName name="д3" localSheetId="9">#REF!</definedName>
    <definedName name="д3">#REF!</definedName>
    <definedName name="д4" localSheetId="6">#REF!</definedName>
    <definedName name="д4" localSheetId="7">#REF!</definedName>
    <definedName name="д4" localSheetId="8">#REF!</definedName>
    <definedName name="д4" localSheetId="9">#REF!</definedName>
    <definedName name="д4">#REF!</definedName>
    <definedName name="дебит">'[40]из сем'!$A$2:$B$362</definedName>
    <definedName name="диагональ" localSheetId="6">[31]Исх.данные!#REF!</definedName>
    <definedName name="диагональ" localSheetId="7">[31]Исх.данные!#REF!</definedName>
    <definedName name="диагональ" localSheetId="8">[31]Исх.данные!#REF!</definedName>
    <definedName name="диагональ" localSheetId="9">[31]Исх.данные!#REF!</definedName>
    <definedName name="диагональ" localSheetId="12">[31]Исх.данные!#REF!</definedName>
    <definedName name="диагональ" localSheetId="1">[31]Исх.данные!#REF!</definedName>
    <definedName name="диагональ" localSheetId="2">[31]Исх.данные!#REF!</definedName>
    <definedName name="диагональ" localSheetId="3">[31]Исх.данные!#REF!</definedName>
    <definedName name="диагональ" localSheetId="4">[31]Исх.данные!#REF!</definedName>
    <definedName name="диагональ" localSheetId="13">[31]Исх.данные!#REF!</definedName>
    <definedName name="диагональ" localSheetId="0">[31]Исх.данные!#REF!</definedName>
    <definedName name="диагональ" localSheetId="11">[31]Исх.данные!#REF!</definedName>
    <definedName name="диагональ" localSheetId="5">[31]Исх.данные!#REF!</definedName>
    <definedName name="диагональ">[31]Исх.данные!#REF!</definedName>
    <definedName name="дирекция" localSheetId="12" hidden="1">{#N/A,#N/A,FALSE,"Aging Summary";#N/A,#N/A,FALSE,"Ratio Analysis";#N/A,#N/A,FALSE,"Test 120 Day Accts";#N/A,#N/A,FALSE,"Tickmarks"}</definedName>
    <definedName name="дирекция" localSheetId="5" hidden="1">{#N/A,#N/A,FALSE,"Aging Summary";#N/A,#N/A,FALSE,"Ratio Analysis";#N/A,#N/A,FALSE,"Test 120 Day Accts";#N/A,#N/A,FALSE,"Tickmarks"}</definedName>
    <definedName name="дирекция" hidden="1">{#N/A,#N/A,FALSE,"Aging Summary";#N/A,#N/A,FALSE,"Ratio Analysis";#N/A,#N/A,FALSE,"Test 120 Day Accts";#N/A,#N/A,FALSE,"Tickmarks"}</definedName>
    <definedName name="дмтс" localSheetId="6">#REF!</definedName>
    <definedName name="дмтс" localSheetId="7">#REF!</definedName>
    <definedName name="дмтс" localSheetId="8">#REF!</definedName>
    <definedName name="дмтс" localSheetId="9">#REF!</definedName>
    <definedName name="дмтс">#REF!</definedName>
    <definedName name="Добыча">'[41]Добыча нефти4'!$F$11:$Q$12</definedName>
    <definedName name="Добыча_13">'[42]Добыча нефти4'!$F$11:$Q$12</definedName>
    <definedName name="Добыча_16">'[42]Добыча нефти4'!$F$11:$Q$12</definedName>
    <definedName name="Добыча_18">'[42]Добыча нефти4'!$F$11:$Q$12</definedName>
    <definedName name="Доз5" localSheetId="6">#REF!</definedName>
    <definedName name="Доз5" localSheetId="7">#REF!</definedName>
    <definedName name="Доз5" localSheetId="8">#REF!</definedName>
    <definedName name="Доз5" localSheetId="9">#REF!</definedName>
    <definedName name="Доз5">#REF!</definedName>
    <definedName name="Доз5_13" localSheetId="6">#REF!</definedName>
    <definedName name="Доз5_13" localSheetId="7">#REF!</definedName>
    <definedName name="Доз5_13" localSheetId="8">#REF!</definedName>
    <definedName name="Доз5_13" localSheetId="9">#REF!</definedName>
    <definedName name="Доз5_13">#REF!</definedName>
    <definedName name="Доз5_16" localSheetId="6">#REF!</definedName>
    <definedName name="Доз5_16" localSheetId="7">#REF!</definedName>
    <definedName name="Доз5_16" localSheetId="8">#REF!</definedName>
    <definedName name="Доз5_16" localSheetId="9">#REF!</definedName>
    <definedName name="Доз5_16">#REF!</definedName>
    <definedName name="Доз5_17" localSheetId="6">#REF!</definedName>
    <definedName name="Доз5_17" localSheetId="7">#REF!</definedName>
    <definedName name="Доз5_17" localSheetId="8">#REF!</definedName>
    <definedName name="Доз5_17" localSheetId="9">#REF!</definedName>
    <definedName name="Доз5_17">#REF!</definedName>
    <definedName name="Доз5_18" localSheetId="6">#REF!</definedName>
    <definedName name="Доз5_18" localSheetId="7">#REF!</definedName>
    <definedName name="Доз5_18" localSheetId="8">#REF!</definedName>
    <definedName name="Доз5_18" localSheetId="9">#REF!</definedName>
    <definedName name="Доз5_18">#REF!</definedName>
    <definedName name="доз6" localSheetId="6">#REF!</definedName>
    <definedName name="доз6" localSheetId="7">#REF!</definedName>
    <definedName name="доз6" localSheetId="8">#REF!</definedName>
    <definedName name="доз6" localSheetId="9">#REF!</definedName>
    <definedName name="доз6">#REF!</definedName>
    <definedName name="др" localSheetId="12" hidden="1">{"glcbs",#N/A,FALSE,"GLCBS";"glccsbs",#N/A,FALSE,"GLCCSBS";"glcis",#N/A,FALSE,"GLCIS";"glccsis",#N/A,FALSE,"GLCCSIS";"glcrat1",#N/A,FALSE,"GLC-ratios1"}</definedName>
    <definedName name="др" localSheetId="5" hidden="1">{"glcbs",#N/A,FALSE,"GLCBS";"glccsbs",#N/A,FALSE,"GLCCSBS";"glcis",#N/A,FALSE,"GLCIS";"glccsis",#N/A,FALSE,"GLCCSIS";"glcrat1",#N/A,FALSE,"GLC-ratios1"}</definedName>
    <definedName name="др" hidden="1">{"glcbs",#N/A,FALSE,"GLCBS";"glccsbs",#N/A,FALSE,"GLCCSBS";"glcis",#N/A,FALSE,"GLCIS";"glccsis",#N/A,FALSE,"GLCCSIS";"glcrat1",#N/A,FALSE,"GLC-ratios1"}</definedName>
    <definedName name="ЕдИзм">[19]ЕдИзм!$A$1:$D$25</definedName>
    <definedName name="ЕдИзм_13">[21]ЕдИзм!$A$1:$D$25</definedName>
    <definedName name="ЕдИзм_16">[21]ЕдИзм!$A$1:$D$25</definedName>
    <definedName name="ЕдИзм_18">[21]ЕдИзм!$A$1:$D$25</definedName>
    <definedName name="ж" localSheetId="6">#REF!</definedName>
    <definedName name="ж" localSheetId="7">#REF!</definedName>
    <definedName name="ж" localSheetId="8">#REF!</definedName>
    <definedName name="ж" localSheetId="9">#REF!</definedName>
    <definedName name="ж">#REF!</definedName>
    <definedName name="_xlnm.Print_Titles" localSheetId="12">'Для работы'!$8:$9</definedName>
    <definedName name="_xlnm.Print_Titles" localSheetId="1">'Проект ТС-2усл.КРЕМ 05.07.17г.'!$3:$4</definedName>
    <definedName name="_xlnm.Print_Titles" localSheetId="2">'Проект ТС-2усл.СЕМ-ДКРЕМ'!$3:$4</definedName>
    <definedName name="_xlnm.Print_Titles" localSheetId="3">'Проект ТС-4 усл.'!$3:$4</definedName>
    <definedName name="_xlnm.Print_Titles" localSheetId="4">'Проект ТС-4 усл. (2)'!$3:$4</definedName>
    <definedName name="_xlnm.Print_Titles" localSheetId="13">'Проект ТС-4 усл.+КРЕМ (2)'!$3:$4</definedName>
    <definedName name="_xlnm.Print_Titles" localSheetId="0">'Проект ТС-6 усл.свод'!$4:$5</definedName>
    <definedName name="_xlnm.Print_Titles" localSheetId="11">ТС!$B:$C,ТС!$3:$4</definedName>
    <definedName name="_xlnm.Print_Titles" localSheetId="5">'ТС-4 усл.ДКРЕМ'!$3:$4</definedName>
    <definedName name="знач">#N/A</definedName>
    <definedName name="И" localSheetId="6">[8]д.7.001!#REF!</definedName>
    <definedName name="И" localSheetId="7">[8]д.7.001!#REF!</definedName>
    <definedName name="И" localSheetId="8">[8]д.7.001!#REF!</definedName>
    <definedName name="И" localSheetId="9">[8]д.7.001!#REF!</definedName>
    <definedName name="И">[8]д.7.001!#REF!</definedName>
    <definedName name="импорт" localSheetId="6">#REF!</definedName>
    <definedName name="импорт" localSheetId="7">#REF!</definedName>
    <definedName name="импорт" localSheetId="8">#REF!</definedName>
    <definedName name="импорт" localSheetId="9">#REF!</definedName>
    <definedName name="импорт">#REF!</definedName>
    <definedName name="импорт_13" localSheetId="6">#REF!</definedName>
    <definedName name="импорт_13" localSheetId="7">#REF!</definedName>
    <definedName name="импорт_13" localSheetId="8">#REF!</definedName>
    <definedName name="импорт_13" localSheetId="9">#REF!</definedName>
    <definedName name="импорт_13">#REF!</definedName>
    <definedName name="импорт_16" localSheetId="6">#REF!</definedName>
    <definedName name="импорт_16" localSheetId="7">#REF!</definedName>
    <definedName name="импорт_16" localSheetId="8">#REF!</definedName>
    <definedName name="импорт_16" localSheetId="9">#REF!</definedName>
    <definedName name="импорт_16">#REF!</definedName>
    <definedName name="импорт_18" localSheetId="6">#REF!</definedName>
    <definedName name="импорт_18" localSheetId="7">#REF!</definedName>
    <definedName name="импорт_18" localSheetId="8">#REF!</definedName>
    <definedName name="импорт_18" localSheetId="9">#REF!</definedName>
    <definedName name="импорт_18">#REF!</definedName>
    <definedName name="индплан" localSheetId="6">#REF!</definedName>
    <definedName name="индплан" localSheetId="7">#REF!</definedName>
    <definedName name="индплан" localSheetId="8">#REF!</definedName>
    <definedName name="индплан" localSheetId="9">#REF!</definedName>
    <definedName name="индплан">#REF!</definedName>
    <definedName name="индцкавг98" hidden="1">{#N/A,#N/A,TRUE,"Лист1";#N/A,#N/A,TRUE,"Лист2";#N/A,#N/A,TRUE,"Лист3"}</definedName>
    <definedName name="й">#N/A</definedName>
    <definedName name="й_11">#N/A</definedName>
    <definedName name="й_12">#N/A</definedName>
    <definedName name="й_13">#N/A</definedName>
    <definedName name="й_14">#N/A</definedName>
    <definedName name="й_16">#N/A</definedName>
    <definedName name="й_17">#N/A</definedName>
    <definedName name="й_18">#N/A</definedName>
    <definedName name="й_19">#N/A</definedName>
    <definedName name="йй">#N/A</definedName>
    <definedName name="йй_11">#N/A</definedName>
    <definedName name="йй_12">#N/A</definedName>
    <definedName name="йй_13">#N/A</definedName>
    <definedName name="йй_14">#N/A</definedName>
    <definedName name="йй_16">#N/A</definedName>
    <definedName name="йй_17">#N/A</definedName>
    <definedName name="йй_18">#N/A</definedName>
    <definedName name="йй_19">#N/A</definedName>
    <definedName name="к" localSheetId="6">#REF!</definedName>
    <definedName name="к" localSheetId="7">#REF!</definedName>
    <definedName name="к" localSheetId="8">#REF!</definedName>
    <definedName name="к" localSheetId="9">#REF!</definedName>
    <definedName name="к" localSheetId="12">#REF!</definedName>
    <definedName name="к" localSheetId="1">#REF!</definedName>
    <definedName name="к" localSheetId="2">#REF!</definedName>
    <definedName name="к" localSheetId="3">#REF!</definedName>
    <definedName name="к" localSheetId="4">#REF!</definedName>
    <definedName name="к" localSheetId="13">#REF!</definedName>
    <definedName name="к" localSheetId="0">#REF!</definedName>
    <definedName name="к" localSheetId="11">#REF!</definedName>
    <definedName name="к" localSheetId="5">#REF!</definedName>
    <definedName name="к">#REF!</definedName>
    <definedName name="ке">#N/A</definedName>
    <definedName name="ке_11">#N/A</definedName>
    <definedName name="ке_12">#N/A</definedName>
    <definedName name="ке_13">#N/A</definedName>
    <definedName name="ке_14">#N/A</definedName>
    <definedName name="ке_16">#N/A</definedName>
    <definedName name="ке_17">#N/A</definedName>
    <definedName name="ке_18">#N/A</definedName>
    <definedName name="ке_19">#N/A</definedName>
    <definedName name="Кегок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hidden="1">{#N/A,#N/A,TRUE,"Лист1";#N/A,#N/A,TRUE,"Лист2";#N/A,#N/A,TRUE,"Лист3"}</definedName>
    <definedName name="кокс" localSheetId="6">[31]Исх.данные!#REF!</definedName>
    <definedName name="кокс" localSheetId="7">[31]Исх.данные!#REF!</definedName>
    <definedName name="кокс" localSheetId="8">[31]Исх.данные!#REF!</definedName>
    <definedName name="кокс" localSheetId="9">[31]Исх.данные!#REF!</definedName>
    <definedName name="кокс" localSheetId="12">[31]Исх.данные!#REF!</definedName>
    <definedName name="кокс" localSheetId="1">[31]Исх.данные!#REF!</definedName>
    <definedName name="кокс" localSheetId="2">[31]Исх.данные!#REF!</definedName>
    <definedName name="кокс" localSheetId="3">[31]Исх.данные!#REF!</definedName>
    <definedName name="кокс" localSheetId="4">[31]Исх.данные!#REF!</definedName>
    <definedName name="кокс" localSheetId="13">[31]Исх.данные!#REF!</definedName>
    <definedName name="кокс" localSheetId="0">[31]Исх.данные!#REF!</definedName>
    <definedName name="кокс" localSheetId="11">[31]Исх.данные!#REF!</definedName>
    <definedName name="кокс" localSheetId="5">[31]Исх.данные!#REF!</definedName>
    <definedName name="кокс">[31]Исх.данные!#REF!</definedName>
    <definedName name="Консолидация" localSheetId="6">#REF!</definedName>
    <definedName name="Консолидация" localSheetId="7">#REF!</definedName>
    <definedName name="Консолидация" localSheetId="8">#REF!</definedName>
    <definedName name="Консолидация" localSheetId="9">#REF!</definedName>
    <definedName name="Консолидация">#REF!</definedName>
    <definedName name="копия">#N/A</definedName>
    <definedName name="КТЖ">#N/A</definedName>
    <definedName name="курс_2005" localSheetId="6">#REF!</definedName>
    <definedName name="курс_2005" localSheetId="7">#REF!</definedName>
    <definedName name="курс_2005" localSheetId="8">#REF!</definedName>
    <definedName name="курс_2005" localSheetId="9">#REF!</definedName>
    <definedName name="курс_2005">#REF!</definedName>
    <definedName name="курс_2006" localSheetId="6">#REF!</definedName>
    <definedName name="курс_2006" localSheetId="7">#REF!</definedName>
    <definedName name="курс_2006" localSheetId="8">#REF!</definedName>
    <definedName name="курс_2006" localSheetId="9">#REF!</definedName>
    <definedName name="курс_2006">#REF!</definedName>
    <definedName name="курс_2007" localSheetId="6">#REF!</definedName>
    <definedName name="курс_2007" localSheetId="7">#REF!</definedName>
    <definedName name="курс_2007" localSheetId="8">#REF!</definedName>
    <definedName name="курс_2007" localSheetId="9">#REF!</definedName>
    <definedName name="курс_2007">#REF!</definedName>
    <definedName name="курс_2008" localSheetId="6">#REF!</definedName>
    <definedName name="курс_2008" localSheetId="7">#REF!</definedName>
    <definedName name="курс_2008" localSheetId="8">#REF!</definedName>
    <definedName name="курс_2008" localSheetId="9">#REF!</definedName>
    <definedName name="курс_2008">#REF!</definedName>
    <definedName name="курс_2009" localSheetId="6">#REF!</definedName>
    <definedName name="курс_2009" localSheetId="7">#REF!</definedName>
    <definedName name="курс_2009" localSheetId="8">#REF!</definedName>
    <definedName name="курс_2009" localSheetId="9">#REF!</definedName>
    <definedName name="курс_2009">#REF!</definedName>
    <definedName name="курс_2010" localSheetId="6">#REF!</definedName>
    <definedName name="курс_2010" localSheetId="7">#REF!</definedName>
    <definedName name="курс_2010" localSheetId="8">#REF!</definedName>
    <definedName name="курс_2010" localSheetId="9">#REF!</definedName>
    <definedName name="курс_2010">#REF!</definedName>
    <definedName name="КурсД">'[4]cash product. plan'!$E$5</definedName>
    <definedName name="кууу" localSheetId="6">#REF!</definedName>
    <definedName name="кууу" localSheetId="7">#REF!</definedName>
    <definedName name="кууу" localSheetId="8">#REF!</definedName>
    <definedName name="кууу" localSheetId="9">#REF!</definedName>
    <definedName name="кууу" localSheetId="12">#REF!</definedName>
    <definedName name="кууу" localSheetId="1">#REF!</definedName>
    <definedName name="кууу" localSheetId="2">#REF!</definedName>
    <definedName name="кууу" localSheetId="3">#REF!</definedName>
    <definedName name="кууу" localSheetId="4">#REF!</definedName>
    <definedName name="кууу" localSheetId="13">#REF!</definedName>
    <definedName name="кууу" localSheetId="0">#REF!</definedName>
    <definedName name="кууу" localSheetId="11">#REF!</definedName>
    <definedName name="кууу" localSheetId="5">#REF!</definedName>
    <definedName name="кууу">#REF!</definedName>
    <definedName name="л">#N/A</definedName>
    <definedName name="лак" localSheetId="6">#REF!</definedName>
    <definedName name="лак" localSheetId="7">#REF!</definedName>
    <definedName name="лак" localSheetId="8">#REF!</definedName>
    <definedName name="лак" localSheetId="9">#REF!</definedName>
    <definedName name="лак" localSheetId="12">#REF!</definedName>
    <definedName name="лак" localSheetId="1">#REF!</definedName>
    <definedName name="лак" localSheetId="2">#REF!</definedName>
    <definedName name="лак" localSheetId="3">#REF!</definedName>
    <definedName name="лак" localSheetId="4">#REF!</definedName>
    <definedName name="лак" localSheetId="13">#REF!</definedName>
    <definedName name="лак" localSheetId="0">#REF!</definedName>
    <definedName name="лак" localSheetId="11">#REF!</definedName>
    <definedName name="лак" localSheetId="5">#REF!</definedName>
    <definedName name="лак">#REF!</definedName>
    <definedName name="Ликвидация" localSheetId="6">#REF!</definedName>
    <definedName name="Ликвидация" localSheetId="7">#REF!</definedName>
    <definedName name="Ликвидация" localSheetId="8">#REF!</definedName>
    <definedName name="Ликвидация" localSheetId="9">#REF!</definedName>
    <definedName name="Ликвидация">#REF!</definedName>
    <definedName name="лист">#N/A</definedName>
    <definedName name="лист1" localSheetId="6">#REF!</definedName>
    <definedName name="лист1" localSheetId="7">#REF!</definedName>
    <definedName name="лист1" localSheetId="8">#REF!</definedName>
    <definedName name="лист1" localSheetId="9">#REF!</definedName>
    <definedName name="лист1">#REF!</definedName>
    <definedName name="лист1_1">#N/A</definedName>
    <definedName name="лист2">#N/A</definedName>
    <definedName name="ллл" localSheetId="6">#REF!</definedName>
    <definedName name="ллл" localSheetId="7">#REF!</definedName>
    <definedName name="ллл" localSheetId="8">#REF!</definedName>
    <definedName name="ллл" localSheetId="9">#REF!</definedName>
    <definedName name="ллл" localSheetId="12">#REF!</definedName>
    <definedName name="ллл" localSheetId="10">#REF!</definedName>
    <definedName name="ллл" localSheetId="1">#REF!</definedName>
    <definedName name="ллл" localSheetId="2">#REF!</definedName>
    <definedName name="ллл" localSheetId="3">#REF!</definedName>
    <definedName name="ллл" localSheetId="4">#REF!</definedName>
    <definedName name="ллл" localSheetId="13">#REF!</definedName>
    <definedName name="ллл" localSheetId="0">#REF!</definedName>
    <definedName name="ллл" localSheetId="11">#REF!</definedName>
    <definedName name="ллл" localSheetId="5">#REF!</definedName>
    <definedName name="ллл">#REF!</definedName>
    <definedName name="лом" localSheetId="6">#REF!</definedName>
    <definedName name="лом" localSheetId="7">#REF!</definedName>
    <definedName name="лом" localSheetId="8">#REF!</definedName>
    <definedName name="лом" localSheetId="9">#REF!</definedName>
    <definedName name="лом" localSheetId="12">#REF!</definedName>
    <definedName name="лом" localSheetId="1">#REF!</definedName>
    <definedName name="лом" localSheetId="2">#REF!</definedName>
    <definedName name="лом" localSheetId="3">#REF!</definedName>
    <definedName name="лом" localSheetId="4">#REF!</definedName>
    <definedName name="лом" localSheetId="13">#REF!</definedName>
    <definedName name="лом" localSheetId="0">#REF!</definedName>
    <definedName name="лом" localSheetId="11">#REF!</definedName>
    <definedName name="лом" localSheetId="5">#REF!</definedName>
    <definedName name="лом">#REF!</definedName>
    <definedName name="магнезит_металлургический" localSheetId="6">[31]Исх.данные!#REF!</definedName>
    <definedName name="магнезит_металлургический" localSheetId="7">[31]Исх.данные!#REF!</definedName>
    <definedName name="магнезит_металлургический" localSheetId="8">[31]Исх.данные!#REF!</definedName>
    <definedName name="магнезит_металлургический" localSheetId="9">[31]Исх.данные!#REF!</definedName>
    <definedName name="магнезит_металлургический" localSheetId="12">[31]Исх.данные!#REF!</definedName>
    <definedName name="магнезит_металлургический" localSheetId="1">[31]Исх.данные!#REF!</definedName>
    <definedName name="магнезит_металлургический" localSheetId="2">[31]Исх.данные!#REF!</definedName>
    <definedName name="магнезит_металлургический" localSheetId="3">[31]Исх.данные!#REF!</definedName>
    <definedName name="магнезит_металлургический" localSheetId="4">[31]Исх.данные!#REF!</definedName>
    <definedName name="магнезит_металлургический" localSheetId="13">[31]Исх.данные!#REF!</definedName>
    <definedName name="магнезит_металлургический" localSheetId="0">[31]Исх.данные!#REF!</definedName>
    <definedName name="магнезит_металлургический" localSheetId="11">[31]Исх.данные!#REF!</definedName>
    <definedName name="магнезит_металлургический" localSheetId="5">[31]Исх.данные!#REF!</definedName>
    <definedName name="магнезит_металлургический">[31]Исх.данные!#REF!</definedName>
    <definedName name="мбр" localSheetId="6">[39]Пр2!#REF!</definedName>
    <definedName name="мбр" localSheetId="7">[39]Пр2!#REF!</definedName>
    <definedName name="мбр" localSheetId="8">[39]Пр2!#REF!</definedName>
    <definedName name="мбр" localSheetId="9">[39]Пр2!#REF!</definedName>
    <definedName name="мбр">[39]Пр2!#REF!</definedName>
    <definedName name="медь_катодная" localSheetId="6">[31]Исх.данные!#REF!</definedName>
    <definedName name="медь_катодная" localSheetId="7">[31]Исх.данные!#REF!</definedName>
    <definedName name="медь_катодная" localSheetId="8">[31]Исх.данные!#REF!</definedName>
    <definedName name="медь_катодная" localSheetId="9">[31]Исх.данные!#REF!</definedName>
    <definedName name="медь_катодная" localSheetId="12">[31]Исх.данные!#REF!</definedName>
    <definedName name="медь_катодная" localSheetId="1">[31]Исх.данные!#REF!</definedName>
    <definedName name="медь_катодная" localSheetId="2">[31]Исх.данные!#REF!</definedName>
    <definedName name="медь_катодная" localSheetId="3">[31]Исх.данные!#REF!</definedName>
    <definedName name="медь_катодная" localSheetId="4">[31]Исх.данные!#REF!</definedName>
    <definedName name="медь_катодная" localSheetId="13">[31]Исх.данные!#REF!</definedName>
    <definedName name="медь_катодная" localSheetId="0">[31]Исх.данные!#REF!</definedName>
    <definedName name="медь_катодная" localSheetId="11">[31]Исх.данные!#REF!</definedName>
    <definedName name="медь_катодная" localSheetId="5">[31]Исх.данные!#REF!</definedName>
    <definedName name="медь_катодная">[31]Исх.данные!#REF!</definedName>
    <definedName name="металлический_магний" localSheetId="6">[31]Исх.данные!#REF!</definedName>
    <definedName name="металлический_магний" localSheetId="7">[31]Исх.данные!#REF!</definedName>
    <definedName name="металлический_магний" localSheetId="8">[31]Исх.данные!#REF!</definedName>
    <definedName name="металлический_магний" localSheetId="9">[31]Исх.данные!#REF!</definedName>
    <definedName name="металлический_магний" localSheetId="12">[31]Исх.данные!#REF!</definedName>
    <definedName name="металлический_магний" localSheetId="1">[31]Исх.данные!#REF!</definedName>
    <definedName name="металлический_магний" localSheetId="2">[31]Исх.данные!#REF!</definedName>
    <definedName name="металлический_магний" localSheetId="3">[31]Исх.данные!#REF!</definedName>
    <definedName name="металлический_магний" localSheetId="4">[31]Исх.данные!#REF!</definedName>
    <definedName name="металлический_магний" localSheetId="13">[31]Исх.данные!#REF!</definedName>
    <definedName name="металлический_магний" localSheetId="0">[31]Исх.данные!#REF!</definedName>
    <definedName name="металлический_магний" localSheetId="11">[31]Исх.данные!#REF!</definedName>
    <definedName name="металлический_магний" localSheetId="5">[31]Исх.данные!#REF!</definedName>
    <definedName name="металлический_магний">[31]Исх.данные!#REF!</definedName>
    <definedName name="ммм" localSheetId="6">#REF!</definedName>
    <definedName name="ммм" localSheetId="7">#REF!</definedName>
    <definedName name="ммм" localSheetId="8">#REF!</definedName>
    <definedName name="ммм" localSheetId="9">#REF!</definedName>
    <definedName name="ммм">#REF!</definedName>
    <definedName name="мпр" localSheetId="6">#REF!</definedName>
    <definedName name="мпр" localSheetId="7">#REF!</definedName>
    <definedName name="мпр" localSheetId="8">#REF!</definedName>
    <definedName name="мпр" localSheetId="9">#REF!</definedName>
    <definedName name="мпр">#REF!</definedName>
    <definedName name="МРП" localSheetId="6">#REF!</definedName>
    <definedName name="МРП" localSheetId="7">#REF!</definedName>
    <definedName name="МРП" localSheetId="8">#REF!</definedName>
    <definedName name="МРП" localSheetId="9">#REF!</definedName>
    <definedName name="МРП">#REF!</definedName>
    <definedName name="мым">#N/A</definedName>
    <definedName name="мым_11">#N/A</definedName>
    <definedName name="мым_12">#N/A</definedName>
    <definedName name="мым_13">#N/A</definedName>
    <definedName name="мым_14">#N/A</definedName>
    <definedName name="мым_16">#N/A</definedName>
    <definedName name="мым_17">#N/A</definedName>
    <definedName name="мым_18">#N/A</definedName>
    <definedName name="мым_19">#N/A</definedName>
    <definedName name="налогКЖДТ" localSheetId="6">#REF!</definedName>
    <definedName name="налогКЖДТ" localSheetId="7">#REF!</definedName>
    <definedName name="налогКЖДТ" localSheetId="8">#REF!</definedName>
    <definedName name="налогКЖДТ" localSheetId="9">#REF!</definedName>
    <definedName name="налогКЖДТ">#REF!</definedName>
    <definedName name="налогКТЖ" localSheetId="6">#REF!</definedName>
    <definedName name="налогКТЖ" localSheetId="7">#REF!</definedName>
    <definedName name="налогКТЖ" localSheetId="8">#REF!</definedName>
    <definedName name="налогКТЖ" localSheetId="9">#REF!</definedName>
    <definedName name="налогКТЖ">#REF!</definedName>
    <definedName name="налогЛокомотив" localSheetId="6">#REF!</definedName>
    <definedName name="налогЛокомотив" localSheetId="7">#REF!</definedName>
    <definedName name="налогЛокомотив" localSheetId="8">#REF!</definedName>
    <definedName name="налогЛокомотив" localSheetId="9">#REF!</definedName>
    <definedName name="налогЛокомотив">#REF!</definedName>
    <definedName name="НДС">'[43]0. Данные'!$C$9</definedName>
    <definedName name="никель_катодный" localSheetId="6">[31]Исх.данные!#REF!</definedName>
    <definedName name="никель_катодный" localSheetId="7">[31]Исх.данные!#REF!</definedName>
    <definedName name="никель_катодный" localSheetId="8">[31]Исх.данные!#REF!</definedName>
    <definedName name="никель_катодный" localSheetId="9">[31]Исх.данные!#REF!</definedName>
    <definedName name="никель_катодный" localSheetId="12">[31]Исх.данные!#REF!</definedName>
    <definedName name="никель_катодный" localSheetId="1">[31]Исх.данные!#REF!</definedName>
    <definedName name="никель_катодный" localSheetId="2">[31]Исх.данные!#REF!</definedName>
    <definedName name="никель_катодный" localSheetId="3">[31]Исх.данные!#REF!</definedName>
    <definedName name="никель_катодный" localSheetId="4">[31]Исх.данные!#REF!</definedName>
    <definedName name="никель_катодный" localSheetId="13">[31]Исх.данные!#REF!</definedName>
    <definedName name="никель_катодный" localSheetId="0">[31]Исх.данные!#REF!</definedName>
    <definedName name="никель_катодный" localSheetId="11">[31]Исх.данные!#REF!</definedName>
    <definedName name="никель_катодный" localSheetId="5">[31]Исх.данные!#REF!</definedName>
    <definedName name="никель_катодный">[31]Исх.данные!#REF!</definedName>
    <definedName name="новое" localSheetId="6">[31]Исх.данные!#REF!</definedName>
    <definedName name="новое" localSheetId="7">[31]Исх.данные!#REF!</definedName>
    <definedName name="новое" localSheetId="8">[31]Исх.данные!#REF!</definedName>
    <definedName name="новое" localSheetId="9">[31]Исх.данные!#REF!</definedName>
    <definedName name="новое" localSheetId="12">[31]Исх.данные!#REF!</definedName>
    <definedName name="новое" localSheetId="1">[31]Исх.данные!#REF!</definedName>
    <definedName name="новое" localSheetId="2">[31]Исх.данные!#REF!</definedName>
    <definedName name="новое" localSheetId="3">[31]Исх.данные!#REF!</definedName>
    <definedName name="новое" localSheetId="4">[31]Исх.данные!#REF!</definedName>
    <definedName name="новое" localSheetId="13">[31]Исх.данные!#REF!</definedName>
    <definedName name="новое" localSheetId="0">[31]Исх.данные!#REF!</definedName>
    <definedName name="новое" localSheetId="11">[31]Исх.данные!#REF!</definedName>
    <definedName name="новое" localSheetId="5">[31]Исх.данные!#REF!</definedName>
    <definedName name="новое">[31]Исх.данные!#REF!</definedName>
    <definedName name="о">#N/A</definedName>
    <definedName name="_xlnm.Print_Area" localSheetId="11">ТС!$A$2:$BE$143</definedName>
    <definedName name="_xlnm.Print_Area">[17]Production!$E$9:$Q$258</definedName>
    <definedName name="Область_печати_ИМ" localSheetId="6">#REF!</definedName>
    <definedName name="Область_печати_ИМ" localSheetId="7">#REF!</definedName>
    <definedName name="Область_печати_ИМ" localSheetId="8">#REF!</definedName>
    <definedName name="Область_печати_ИМ" localSheetId="9">#REF!</definedName>
    <definedName name="Область_печати_ИМ" localSheetId="12">#REF!</definedName>
    <definedName name="Область_печати_ИМ" localSheetId="1">#REF!</definedName>
    <definedName name="Область_печати_ИМ" localSheetId="2">#REF!</definedName>
    <definedName name="Область_печати_ИМ" localSheetId="3">#REF!</definedName>
    <definedName name="Область_печати_ИМ" localSheetId="4">#REF!</definedName>
    <definedName name="Область_печати_ИМ" localSheetId="13">#REF!</definedName>
    <definedName name="Область_печати_ИМ" localSheetId="0">#REF!</definedName>
    <definedName name="Область_печати_ИМ" localSheetId="11">#REF!</definedName>
    <definedName name="Область_печати_ИМ" localSheetId="5">#REF!</definedName>
    <definedName name="Область_печати_ИМ">#REF!</definedName>
    <definedName name="Общие" localSheetId="6">#REF!</definedName>
    <definedName name="Общие" localSheetId="7">#REF!</definedName>
    <definedName name="Общие" localSheetId="8">#REF!</definedName>
    <definedName name="Общие" localSheetId="9">#REF!</definedName>
    <definedName name="Общие">#REF!</definedName>
    <definedName name="олд" localSheetId="6">#REF!</definedName>
    <definedName name="олд" localSheetId="7">#REF!</definedName>
    <definedName name="олд" localSheetId="8">#REF!</definedName>
    <definedName name="олд" localSheetId="9">#REF!</definedName>
    <definedName name="олд" localSheetId="12">#REF!</definedName>
    <definedName name="олд" localSheetId="10">#REF!</definedName>
    <definedName name="олд" localSheetId="1">#REF!</definedName>
    <definedName name="олд" localSheetId="2">#REF!</definedName>
    <definedName name="олд" localSheetId="3">#REF!</definedName>
    <definedName name="олд" localSheetId="4">#REF!</definedName>
    <definedName name="олд" localSheetId="13">#REF!</definedName>
    <definedName name="олд" localSheetId="0">#REF!</definedName>
    <definedName name="олд" localSheetId="11">#REF!</definedName>
    <definedName name="олд" localSheetId="5">#REF!</definedName>
    <definedName name="олд">#REF!</definedName>
    <definedName name="оплата" localSheetId="6">#REF!</definedName>
    <definedName name="оплата" localSheetId="7">#REF!</definedName>
    <definedName name="оплата" localSheetId="8">#REF!</definedName>
    <definedName name="оплата" localSheetId="9">#REF!</definedName>
    <definedName name="оплата">#REF!</definedName>
    <definedName name="оплата2" localSheetId="6">#REF!</definedName>
    <definedName name="оплата2" localSheetId="7">#REF!</definedName>
    <definedName name="оплата2" localSheetId="8">#REF!</definedName>
    <definedName name="оплата2" localSheetId="9">#REF!</definedName>
    <definedName name="оплата2">#REF!</definedName>
    <definedName name="Ора">'[44]поставка сравн13'!$A$1:$Q$30</definedName>
    <definedName name="Ораз">[33]Форма2!$D$179:$F$185,[33]Форма2!$D$175:$F$177,[33]Форма2!$D$165:$F$173,[33]Форма2!$D$165</definedName>
    <definedName name="оснастка" localSheetId="6">[31]Исх.данные!#REF!</definedName>
    <definedName name="оснастка" localSheetId="7">[31]Исх.данные!#REF!</definedName>
    <definedName name="оснастка" localSheetId="8">[31]Исх.данные!#REF!</definedName>
    <definedName name="оснастка" localSheetId="9">[31]Исх.данные!#REF!</definedName>
    <definedName name="оснастка" localSheetId="12">[31]Исх.данные!#REF!</definedName>
    <definedName name="оснастка" localSheetId="1">[31]Исх.данные!#REF!</definedName>
    <definedName name="оснастка" localSheetId="2">[31]Исх.данные!#REF!</definedName>
    <definedName name="оснастка" localSheetId="3">[31]Исх.данные!#REF!</definedName>
    <definedName name="оснастка" localSheetId="4">[31]Исх.данные!#REF!</definedName>
    <definedName name="оснастка" localSheetId="13">[31]Исх.данные!#REF!</definedName>
    <definedName name="оснастка" localSheetId="0">[31]Исх.данные!#REF!</definedName>
    <definedName name="оснастка" localSheetId="11">[31]Исх.данные!#REF!</definedName>
    <definedName name="оснастка" localSheetId="5">[31]Исх.данные!#REF!</definedName>
    <definedName name="оснастка">[31]Исх.данные!#REF!</definedName>
    <definedName name="остаток" localSheetId="6">#REF!</definedName>
    <definedName name="остаток" localSheetId="7">#REF!</definedName>
    <definedName name="остаток" localSheetId="8">#REF!</definedName>
    <definedName name="остаток" localSheetId="9">#REF!</definedName>
    <definedName name="остаток">#REF!</definedName>
    <definedName name="пар" localSheetId="6">[31]Исх.данные!#REF!</definedName>
    <definedName name="пар" localSheetId="7">[31]Исх.данные!#REF!</definedName>
    <definedName name="пар" localSheetId="8">[31]Исх.данные!#REF!</definedName>
    <definedName name="пар" localSheetId="9">[31]Исх.данные!#REF!</definedName>
    <definedName name="пар" localSheetId="12">[31]Исх.данные!#REF!</definedName>
    <definedName name="пар" localSheetId="1">[31]Исх.данные!#REF!</definedName>
    <definedName name="пар" localSheetId="2">[31]Исх.данные!#REF!</definedName>
    <definedName name="пар" localSheetId="3">[31]Исх.данные!#REF!</definedName>
    <definedName name="пар" localSheetId="4">[31]Исх.данные!#REF!</definedName>
    <definedName name="пар" localSheetId="13">[31]Исх.данные!#REF!</definedName>
    <definedName name="пар" localSheetId="0">[31]Исх.данные!#REF!</definedName>
    <definedName name="пар" localSheetId="11">[31]Исх.данные!#REF!</definedName>
    <definedName name="пар" localSheetId="5">[31]Исх.данные!#REF!</definedName>
    <definedName name="пар">[31]Исх.данные!#REF!</definedName>
    <definedName name="ПВД1" localSheetId="6">#REF!</definedName>
    <definedName name="ПВД1" localSheetId="7">#REF!</definedName>
    <definedName name="ПВД1" localSheetId="8">#REF!</definedName>
    <definedName name="ПВД1" localSheetId="9">#REF!</definedName>
    <definedName name="ПВД1" localSheetId="12">#REF!</definedName>
    <definedName name="ПВД1" localSheetId="10">#REF!</definedName>
    <definedName name="ПВД1" localSheetId="1">#REF!</definedName>
    <definedName name="ПВД1" localSheetId="2">#REF!</definedName>
    <definedName name="ПВД1" localSheetId="3">#REF!</definedName>
    <definedName name="ПВД1" localSheetId="4">#REF!</definedName>
    <definedName name="ПВД1" localSheetId="13">#REF!</definedName>
    <definedName name="ПВД1" localSheetId="0">#REF!</definedName>
    <definedName name="ПВД1" localSheetId="11">#REF!</definedName>
    <definedName name="ПВД1" localSheetId="5">#REF!</definedName>
    <definedName name="ПВД1">#REF!</definedName>
    <definedName name="первый" localSheetId="6">#REF!</definedName>
    <definedName name="первый" localSheetId="7">#REF!</definedName>
    <definedName name="первый" localSheetId="8">#REF!</definedName>
    <definedName name="первый" localSheetId="9">#REF!</definedName>
    <definedName name="первый">#REF!</definedName>
    <definedName name="плавиковая_кислота" localSheetId="6">[31]Исх.данные!#REF!</definedName>
    <definedName name="плавиковая_кислота" localSheetId="7">[31]Исх.данные!#REF!</definedName>
    <definedName name="плавиковая_кислота" localSheetId="8">[31]Исх.данные!#REF!</definedName>
    <definedName name="плавиковая_кислота" localSheetId="9">[31]Исх.данные!#REF!</definedName>
    <definedName name="плавиковая_кислота" localSheetId="12">[31]Исх.данные!#REF!</definedName>
    <definedName name="плавиковая_кислота" localSheetId="1">[31]Исх.данные!#REF!</definedName>
    <definedName name="плавиковая_кислота" localSheetId="2">[31]Исх.данные!#REF!</definedName>
    <definedName name="плавиковая_кислота" localSheetId="3">[31]Исх.данные!#REF!</definedName>
    <definedName name="плавиковая_кислота" localSheetId="4">[31]Исх.данные!#REF!</definedName>
    <definedName name="плавиковая_кислота" localSheetId="13">[31]Исх.данные!#REF!</definedName>
    <definedName name="плавиковая_кислота" localSheetId="0">[31]Исх.данные!#REF!</definedName>
    <definedName name="плавиковая_кислота" localSheetId="11">[31]Исх.данные!#REF!</definedName>
    <definedName name="плавиковая_кислота" localSheetId="5">[31]Исх.данные!#REF!</definedName>
    <definedName name="плавиковая_кислота">[31]Исх.данные!#REF!</definedName>
    <definedName name="пол">#N/A</definedName>
    <definedName name="пп">#N/A</definedName>
    <definedName name="ппп">#N/A</definedName>
    <definedName name="пппп">#N/A</definedName>
    <definedName name="ППТН" localSheetId="6">#REF!</definedName>
    <definedName name="ППТН" localSheetId="7">#REF!</definedName>
    <definedName name="ППТН" localSheetId="8">#REF!</definedName>
    <definedName name="ППТН" localSheetId="9">#REF!</definedName>
    <definedName name="ППТН" localSheetId="12">#REF!</definedName>
    <definedName name="ППТН" localSheetId="1">#REF!</definedName>
    <definedName name="ППТН" localSheetId="2">#REF!</definedName>
    <definedName name="ППТН" localSheetId="3">#REF!</definedName>
    <definedName name="ППТН" localSheetId="4">#REF!</definedName>
    <definedName name="ППТН" localSheetId="13">#REF!</definedName>
    <definedName name="ППТН" localSheetId="0">#REF!</definedName>
    <definedName name="ППТН" localSheetId="11">#REF!</definedName>
    <definedName name="ППТН" localSheetId="5">#REF!</definedName>
    <definedName name="ППТН">#REF!</definedName>
    <definedName name="пр" localSheetId="6">#N/A</definedName>
    <definedName name="пр" localSheetId="7">#N/A</definedName>
    <definedName name="пр" localSheetId="8">#N/A</definedName>
    <definedName name="пр" localSheetId="9">#N/A</definedName>
    <definedName name="Пр" localSheetId="12" hidden="1">{"assets",#N/A,FALSE,"historicBS";"liab",#N/A,FALSE,"historicBS";"is",#N/A,FALSE,"historicIS";"ratios",#N/A,FALSE,"ratios"}</definedName>
    <definedName name="пр" localSheetId="10">#N/A</definedName>
    <definedName name="Пр" localSheetId="5" hidden="1">{"assets",#N/A,FALSE,"historicBS";"liab",#N/A,FALSE,"historicBS";"is",#N/A,FALSE,"historicIS";"ratios",#N/A,FALSE,"ratios"}</definedName>
    <definedName name="Пр" hidden="1">{"assets",#N/A,FALSE,"historicBS";"liab",#N/A,FALSE,"historicBS";"is",#N/A,FALSE,"historicIS";"ratios",#N/A,FALSE,"ratios"}</definedName>
    <definedName name="Предприятия">'[45]#ССЫЛКА'!$A$1:$D$64</definedName>
    <definedName name="Предприятия_13" localSheetId="6">#REF!</definedName>
    <definedName name="Предприятия_13" localSheetId="7">#REF!</definedName>
    <definedName name="Предприятия_13" localSheetId="8">#REF!</definedName>
    <definedName name="Предприятия_13" localSheetId="9">#REF!</definedName>
    <definedName name="Предприятия_13">#REF!</definedName>
    <definedName name="Предприятия_16" localSheetId="6">#REF!</definedName>
    <definedName name="Предприятия_16" localSheetId="7">#REF!</definedName>
    <definedName name="Предприятия_16" localSheetId="8">#REF!</definedName>
    <definedName name="Предприятия_16" localSheetId="9">#REF!</definedName>
    <definedName name="Предприятия_16">#REF!</definedName>
    <definedName name="Предприятия_18" localSheetId="6">#REF!</definedName>
    <definedName name="Предприятия_18" localSheetId="7">#REF!</definedName>
    <definedName name="Предприятия_18" localSheetId="8">#REF!</definedName>
    <definedName name="Предприятия_18" localSheetId="9">#REF!</definedName>
    <definedName name="Предприятия_18">#REF!</definedName>
    <definedName name="прибыль3" hidden="1">{#N/A,#N/A,TRUE,"Лист1";#N/A,#N/A,TRUE,"Лист2";#N/A,#N/A,TRUE,"Лист3"}</definedName>
    <definedName name="Прог" localSheetId="6">#REF!</definedName>
    <definedName name="Прог" localSheetId="7">#REF!</definedName>
    <definedName name="Прог" localSheetId="8">#REF!</definedName>
    <definedName name="Прог" localSheetId="9">#REF!</definedName>
    <definedName name="Прог">#REF!</definedName>
    <definedName name="промвода" localSheetId="6">[31]Исх.данные!#REF!</definedName>
    <definedName name="промвода" localSheetId="7">[31]Исх.данные!#REF!</definedName>
    <definedName name="промвода" localSheetId="8">[31]Исх.данные!#REF!</definedName>
    <definedName name="промвода" localSheetId="9">[31]Исх.данные!#REF!</definedName>
    <definedName name="промвода" localSheetId="12">[31]Исх.данные!#REF!</definedName>
    <definedName name="промвода" localSheetId="1">[31]Исх.данные!#REF!</definedName>
    <definedName name="промвода" localSheetId="2">[31]Исх.данные!#REF!</definedName>
    <definedName name="промвода" localSheetId="3">[31]Исх.данные!#REF!</definedName>
    <definedName name="промвода" localSheetId="4">[31]Исх.данные!#REF!</definedName>
    <definedName name="промвода" localSheetId="13">[31]Исх.данные!#REF!</definedName>
    <definedName name="промвода" localSheetId="0">[31]Исх.данные!#REF!</definedName>
    <definedName name="промвода" localSheetId="11">[31]Исх.данные!#REF!</definedName>
    <definedName name="промвода" localSheetId="5">[31]Исх.данные!#REF!</definedName>
    <definedName name="промвода">[31]Исх.данные!#REF!</definedName>
    <definedName name="пррррр" localSheetId="6">#REF!</definedName>
    <definedName name="пррррр" localSheetId="7">#REF!</definedName>
    <definedName name="пррррр" localSheetId="8">#REF!</definedName>
    <definedName name="пррррр" localSheetId="9">#REF!</definedName>
    <definedName name="пррррр">#REF!</definedName>
    <definedName name="прррррр" localSheetId="6">#REF!</definedName>
    <definedName name="прррррр" localSheetId="7">#REF!</definedName>
    <definedName name="прррррр" localSheetId="8">#REF!</definedName>
    <definedName name="прррррр" localSheetId="9">#REF!</definedName>
    <definedName name="прррррр">#REF!</definedName>
    <definedName name="расход" localSheetId="6">#REF!</definedName>
    <definedName name="расход" localSheetId="7">#REF!</definedName>
    <definedName name="расход" localSheetId="8">#REF!</definedName>
    <definedName name="расход" localSheetId="9">#REF!</definedName>
    <definedName name="расход">#REF!</definedName>
    <definedName name="расходы">[46]Форма2!$C$51:$C$58,[46]Форма2!$E$51:$F$58,[46]Форма2!$C$60:$C$63,[46]Форма2!$E$60:$F$63,[46]Форма2!$C$65:$C$67,[46]Форма2!$E$65:$F$67,[46]Форма2!$C$51</definedName>
    <definedName name="Реализация" localSheetId="6">#REF!</definedName>
    <definedName name="Реализация" localSheetId="7">#REF!</definedName>
    <definedName name="Реализация" localSheetId="8">#REF!</definedName>
    <definedName name="Реализация" localSheetId="9">#REF!</definedName>
    <definedName name="Реализация">#REF!</definedName>
    <definedName name="рис1" hidden="1">{#N/A,#N/A,TRUE,"Лист1";#N/A,#N/A,TRUE,"Лист2";#N/A,#N/A,TRUE,"Лист3"}</definedName>
    <definedName name="рол" localSheetId="6">#REF!</definedName>
    <definedName name="рол" localSheetId="7">#REF!</definedName>
    <definedName name="рол" localSheetId="8">#REF!</definedName>
    <definedName name="рол" localSheetId="9">#REF!</definedName>
    <definedName name="рол" localSheetId="12">#REF!</definedName>
    <definedName name="рол" localSheetId="10">#REF!</definedName>
    <definedName name="рол" localSheetId="1">#REF!</definedName>
    <definedName name="рол" localSheetId="2">#REF!</definedName>
    <definedName name="рол" localSheetId="3">#REF!</definedName>
    <definedName name="рол" localSheetId="4">#REF!</definedName>
    <definedName name="рол" localSheetId="13">#REF!</definedName>
    <definedName name="рол" localSheetId="0">#REF!</definedName>
    <definedName name="рол" localSheetId="11">#REF!</definedName>
    <definedName name="рол" localSheetId="5">#REF!</definedName>
    <definedName name="рол">#REF!</definedName>
    <definedName name="рп">#N/A</definedName>
    <definedName name="рпопо" hidden="1">{#N/A,#N/A,TRUE,"Лист1";#N/A,#N/A,TRUE,"Лист2";#N/A,#N/A,TRUE,"Лист3"}</definedName>
    <definedName name="ррр" localSheetId="12" hidden="1">{"assets",#N/A,FALSE,"historicBS";"liab",#N/A,FALSE,"historicBS";"is",#N/A,FALSE,"historicIS";"ratios",#N/A,FALSE,"ratios"}</definedName>
    <definedName name="ррр" localSheetId="5" hidden="1">{"assets",#N/A,FALSE,"historicBS";"liab",#N/A,FALSE,"historicBS";"is",#N/A,FALSE,"historicIS";"ratios",#N/A,FALSE,"ratios"}</definedName>
    <definedName name="ррр" hidden="1">{"assets",#N/A,FALSE,"historicBS";"liab",#N/A,FALSE,"historicBS";"is",#N/A,FALSE,"historicIS";"ratios",#N/A,FALSE,"ratios"}</definedName>
    <definedName name="рррр">#N/A</definedName>
    <definedName name="с" localSheetId="6">#N/A</definedName>
    <definedName name="с" localSheetId="7">#N/A</definedName>
    <definedName name="с" localSheetId="8">#N/A</definedName>
    <definedName name="с" localSheetId="9">#N/A</definedName>
    <definedName name="с" localSheetId="12">#REF!</definedName>
    <definedName name="с" localSheetId="10">#N/A</definedName>
    <definedName name="с" localSheetId="1">#REF!</definedName>
    <definedName name="с" localSheetId="2">#REF!</definedName>
    <definedName name="с" localSheetId="3">#REF!</definedName>
    <definedName name="с" localSheetId="4">#REF!</definedName>
    <definedName name="с" localSheetId="13">#REF!</definedName>
    <definedName name="с" localSheetId="0">#REF!</definedName>
    <definedName name="с" localSheetId="11">#REF!</definedName>
    <definedName name="с" localSheetId="5">#REF!</definedName>
    <definedName name="с">#REF!</definedName>
    <definedName name="с_11">#N/A</definedName>
    <definedName name="с_12">#N/A</definedName>
    <definedName name="с_13">#N/A</definedName>
    <definedName name="с_14">#N/A</definedName>
    <definedName name="с_16">#N/A</definedName>
    <definedName name="с_17">#N/A</definedName>
    <definedName name="с_18">#N/A</definedName>
    <definedName name="с_19">#N/A</definedName>
    <definedName name="сахар" localSheetId="6">[31]Исх.данные!#REF!</definedName>
    <definedName name="сахар" localSheetId="7">[31]Исх.данные!#REF!</definedName>
    <definedName name="сахар" localSheetId="8">[31]Исх.данные!#REF!</definedName>
    <definedName name="сахар" localSheetId="9">[31]Исх.данные!#REF!</definedName>
    <definedName name="сахар" localSheetId="12">[31]Исх.данные!#REF!</definedName>
    <definedName name="сахар" localSheetId="1">[31]Исх.данные!#REF!</definedName>
    <definedName name="сахар" localSheetId="2">[31]Исх.данные!#REF!</definedName>
    <definedName name="сахар" localSheetId="3">[31]Исх.данные!#REF!</definedName>
    <definedName name="сахар" localSheetId="4">[31]Исх.данные!#REF!</definedName>
    <definedName name="сахар" localSheetId="13">[31]Исх.данные!#REF!</definedName>
    <definedName name="сахар" localSheetId="0">[31]Исх.данные!#REF!</definedName>
    <definedName name="сахар" localSheetId="11">[31]Исх.данные!#REF!</definedName>
    <definedName name="сахар" localSheetId="5">[31]Исх.данные!#REF!</definedName>
    <definedName name="сахар">[31]Исх.данные!#REF!</definedName>
    <definedName name="СБУ_100" localSheetId="6">#REF!</definedName>
    <definedName name="СБУ_100" localSheetId="7">#REF!</definedName>
    <definedName name="СБУ_100" localSheetId="8">#REF!</definedName>
    <definedName name="СБУ_100" localSheetId="9">#REF!</definedName>
    <definedName name="СБУ_100" localSheetId="12">#REF!</definedName>
    <definedName name="СБУ_100" localSheetId="1">#REF!</definedName>
    <definedName name="СБУ_100" localSheetId="2">#REF!</definedName>
    <definedName name="СБУ_100" localSheetId="3">#REF!</definedName>
    <definedName name="СБУ_100" localSheetId="4">#REF!</definedName>
    <definedName name="СБУ_100" localSheetId="13">#REF!</definedName>
    <definedName name="СБУ_100" localSheetId="0">#REF!</definedName>
    <definedName name="СБУ_100" localSheetId="11">#REF!</definedName>
    <definedName name="СБУ_100" localSheetId="5">#REF!</definedName>
    <definedName name="СБУ_100">#REF!</definedName>
    <definedName name="Свод">#N/A</definedName>
    <definedName name="сектор">[19]Предпр!$L$3:$L$9</definedName>
    <definedName name="сектор_13">[21]Предпр!$L$3:$L$8</definedName>
    <definedName name="сектор_16">[21]Предпр!$L$3:$L$8</definedName>
    <definedName name="сектор_18">[21]Предпр!$L$3:$L$8</definedName>
    <definedName name="серная_кислота" localSheetId="6">[31]Исх.данные!#REF!</definedName>
    <definedName name="серная_кислота" localSheetId="7">[31]Исх.данные!#REF!</definedName>
    <definedName name="серная_кислота" localSheetId="8">[31]Исх.данные!#REF!</definedName>
    <definedName name="серная_кислота" localSheetId="9">[31]Исх.данные!#REF!</definedName>
    <definedName name="серная_кислота" localSheetId="12">[31]Исх.данные!#REF!</definedName>
    <definedName name="серная_кислота" localSheetId="1">[31]Исх.данные!#REF!</definedName>
    <definedName name="серная_кислота" localSheetId="2">[31]Исх.данные!#REF!</definedName>
    <definedName name="серная_кислота" localSheetId="3">[31]Исх.данные!#REF!</definedName>
    <definedName name="серная_кислота" localSheetId="4">[31]Исх.данные!#REF!</definedName>
    <definedName name="серная_кислота" localSheetId="13">[31]Исх.данные!#REF!</definedName>
    <definedName name="серная_кислота" localSheetId="0">[31]Исх.данные!#REF!</definedName>
    <definedName name="серная_кислота" localSheetId="11">[31]Исх.данные!#REF!</definedName>
    <definedName name="серная_кислота" localSheetId="5">[31]Исх.данные!#REF!</definedName>
    <definedName name="серная_кислота">[31]Исх.данные!#REF!</definedName>
    <definedName name="см" localSheetId="6">#REF!</definedName>
    <definedName name="см" localSheetId="7">#REF!</definedName>
    <definedName name="см" localSheetId="8">#REF!</definedName>
    <definedName name="см" localSheetId="9">#REF!</definedName>
    <definedName name="см">#REF!</definedName>
    <definedName name="сода_кальцинированная" localSheetId="6">[31]Исх.данные!#REF!</definedName>
    <definedName name="сода_кальцинированная" localSheetId="7">[31]Исх.данные!#REF!</definedName>
    <definedName name="сода_кальцинированная" localSheetId="8">[31]Исх.данные!#REF!</definedName>
    <definedName name="сода_кальцинированная" localSheetId="9">[31]Исх.данные!#REF!</definedName>
    <definedName name="сода_кальцинированная" localSheetId="12">[31]Исх.данные!#REF!</definedName>
    <definedName name="сода_кальцинированная" localSheetId="1">[31]Исх.данные!#REF!</definedName>
    <definedName name="сода_кальцинированная" localSheetId="2">[31]Исх.данные!#REF!</definedName>
    <definedName name="сода_кальцинированная" localSheetId="3">[31]Исх.данные!#REF!</definedName>
    <definedName name="сода_кальцинированная" localSheetId="4">[31]Исх.данные!#REF!</definedName>
    <definedName name="сода_кальцинированная" localSheetId="13">[31]Исх.данные!#REF!</definedName>
    <definedName name="сода_кальцинированная" localSheetId="0">[31]Исх.данные!#REF!</definedName>
    <definedName name="сода_кальцинированная" localSheetId="11">[31]Исх.данные!#REF!</definedName>
    <definedName name="сода_кальцинированная" localSheetId="5">[31]Исх.данные!#REF!</definedName>
    <definedName name="сода_кальцинированная">[31]Исх.данные!#REF!</definedName>
    <definedName name="сода_каустическая" localSheetId="6">[31]Исх.данные!#REF!</definedName>
    <definedName name="сода_каустическая" localSheetId="7">[31]Исх.данные!#REF!</definedName>
    <definedName name="сода_каустическая" localSheetId="8">[31]Исх.данные!#REF!</definedName>
    <definedName name="сода_каустическая" localSheetId="9">[31]Исх.данные!#REF!</definedName>
    <definedName name="сода_каустическая" localSheetId="12">[31]Исх.данные!#REF!</definedName>
    <definedName name="сода_каустическая" localSheetId="1">[31]Исх.данные!#REF!</definedName>
    <definedName name="сода_каустическая" localSheetId="2">[31]Исх.данные!#REF!</definedName>
    <definedName name="сода_каустическая" localSheetId="3">[31]Исх.данные!#REF!</definedName>
    <definedName name="сода_каустическая" localSheetId="4">[31]Исх.данные!#REF!</definedName>
    <definedName name="сода_каустическая" localSheetId="13">[31]Исх.данные!#REF!</definedName>
    <definedName name="сода_каустическая" localSheetId="0">[31]Исх.данные!#REF!</definedName>
    <definedName name="сода_каустическая" localSheetId="11">[31]Исх.данные!#REF!</definedName>
    <definedName name="сода_каустическая" localSheetId="5">[31]Исх.данные!#REF!</definedName>
    <definedName name="сода_каустическая">[31]Исх.данные!#REF!</definedName>
    <definedName name="Сохранение" localSheetId="6">#REF!</definedName>
    <definedName name="Сохранение" localSheetId="7">#REF!</definedName>
    <definedName name="Сохранение" localSheetId="8">#REF!</definedName>
    <definedName name="Сохранение" localSheetId="9">#REF!</definedName>
    <definedName name="Сохранение">#REF!</definedName>
    <definedName name="Соц.пособие" localSheetId="6">[47]ОТиТБ!#REF!</definedName>
    <definedName name="Соц.пособие" localSheetId="7">[47]ОТиТБ!#REF!</definedName>
    <definedName name="Соц.пособие" localSheetId="8">[47]ОТиТБ!#REF!</definedName>
    <definedName name="Соц.пособие" localSheetId="9">[47]ОТиТБ!#REF!</definedName>
    <definedName name="Соц.пособие">[47]ОТиТБ!#REF!</definedName>
    <definedName name="спецоснастка" localSheetId="6">[31]Исх.данные!#REF!</definedName>
    <definedName name="спецоснастка" localSheetId="7">[31]Исх.данные!#REF!</definedName>
    <definedName name="спецоснастка" localSheetId="8">[31]Исх.данные!#REF!</definedName>
    <definedName name="спецоснастка" localSheetId="9">[31]Исх.данные!#REF!</definedName>
    <definedName name="спецоснастка" localSheetId="12">[31]Исх.данные!#REF!</definedName>
    <definedName name="спецоснастка" localSheetId="1">[31]Исх.данные!#REF!</definedName>
    <definedName name="спецоснастка" localSheetId="2">[31]Исх.данные!#REF!</definedName>
    <definedName name="спецоснастка" localSheetId="3">[31]Исх.данные!#REF!</definedName>
    <definedName name="спецоснастка" localSheetId="4">[31]Исх.данные!#REF!</definedName>
    <definedName name="спецоснастка" localSheetId="13">[31]Исх.данные!#REF!</definedName>
    <definedName name="спецоснастка" localSheetId="0">[31]Исх.данные!#REF!</definedName>
    <definedName name="спецоснастка" localSheetId="11">[31]Исх.данные!#REF!</definedName>
    <definedName name="спецоснастка" localSheetId="5">[31]Исх.данные!#REF!</definedName>
    <definedName name="спецоснастка">[31]Исх.данные!#REF!</definedName>
    <definedName name="СписокТЭП">[48]СписокТЭП!$A$1:$C$40</definedName>
    <definedName name="СписокТЭП_13">[49]СписокТЭП!$A$1:$C$40</definedName>
    <definedName name="СписокТЭП_16">[49]СписокТЭП!$A$1:$C$40</definedName>
    <definedName name="СписокТЭП_18">[49]СписокТЭП!$A$1:$C$40</definedName>
    <definedName name="сс">#N/A</definedName>
    <definedName name="сс_11">#N/A</definedName>
    <definedName name="сс_12">#N/A</definedName>
    <definedName name="сс_13">#N/A</definedName>
    <definedName name="сс_14">#N/A</definedName>
    <definedName name="сс_16">#N/A</definedName>
    <definedName name="сс_17">#N/A</definedName>
    <definedName name="сс_18">#N/A</definedName>
    <definedName name="сс_19">#N/A</definedName>
    <definedName name="сссс">#N/A</definedName>
    <definedName name="сссс_11">#N/A</definedName>
    <definedName name="сссс_12">#N/A</definedName>
    <definedName name="сссс_13">#N/A</definedName>
    <definedName name="сссс_14">#N/A</definedName>
    <definedName name="сссс_16">#N/A</definedName>
    <definedName name="сссс_17">#N/A</definedName>
    <definedName name="сссс_18">#N/A</definedName>
    <definedName name="сссс_19">#N/A</definedName>
    <definedName name="ссы">#N/A</definedName>
    <definedName name="ссы_11">#N/A</definedName>
    <definedName name="ссы_12">#N/A</definedName>
    <definedName name="ссы_13">#N/A</definedName>
    <definedName name="ссы_14">#N/A</definedName>
    <definedName name="ссы_16">#N/A</definedName>
    <definedName name="ссы_17">#N/A</definedName>
    <definedName name="ссы_18">#N/A</definedName>
    <definedName name="ссы_19">#N/A</definedName>
    <definedName name="ставка" localSheetId="6">#REF!</definedName>
    <definedName name="ставка" localSheetId="7">#REF!</definedName>
    <definedName name="ставка" localSheetId="8">#REF!</definedName>
    <definedName name="ставка" localSheetId="9">#REF!</definedName>
    <definedName name="ставка" localSheetId="12">#REF!</definedName>
    <definedName name="ставка" localSheetId="1">#REF!</definedName>
    <definedName name="ставка" localSheetId="2">#REF!</definedName>
    <definedName name="ставка" localSheetId="3">#REF!</definedName>
    <definedName name="ставка" localSheetId="4">#REF!</definedName>
    <definedName name="ставка" localSheetId="13">#REF!</definedName>
    <definedName name="ставка" localSheetId="0">#REF!</definedName>
    <definedName name="ставка" localSheetId="11">#REF!</definedName>
    <definedName name="ставка" localSheetId="5">#REF!</definedName>
    <definedName name="ставка">#REF!</definedName>
    <definedName name="сурик_свинцовый" localSheetId="6">[31]Исх.данные!#REF!</definedName>
    <definedName name="сурик_свинцовый" localSheetId="7">[31]Исх.данные!#REF!</definedName>
    <definedName name="сурик_свинцовый" localSheetId="8">[31]Исх.данные!#REF!</definedName>
    <definedName name="сурик_свинцовый" localSheetId="9">[31]Исх.данные!#REF!</definedName>
    <definedName name="сурик_свинцовый" localSheetId="12">[31]Исх.данные!#REF!</definedName>
    <definedName name="сурик_свинцовый" localSheetId="1">[31]Исх.данные!#REF!</definedName>
    <definedName name="сурик_свинцовый" localSheetId="2">[31]Исх.данные!#REF!</definedName>
    <definedName name="сурик_свинцовый" localSheetId="3">[31]Исх.данные!#REF!</definedName>
    <definedName name="сурик_свинцовый" localSheetId="4">[31]Исх.данные!#REF!</definedName>
    <definedName name="сурик_свинцовый" localSheetId="13">[31]Исх.данные!#REF!</definedName>
    <definedName name="сурик_свинцовый" localSheetId="0">[31]Исх.данные!#REF!</definedName>
    <definedName name="сурик_свинцовый" localSheetId="11">[31]Исх.данные!#REF!</definedName>
    <definedName name="сурик_свинцовый" localSheetId="5">[31]Исх.данные!#REF!</definedName>
    <definedName name="сурик_свинцовый">[31]Исх.данные!#REF!</definedName>
    <definedName name="счс">'[50]I KEY INFORMATION'!$I$20</definedName>
    <definedName name="сяры" localSheetId="6">#REF!</definedName>
    <definedName name="сяры" localSheetId="7">#REF!</definedName>
    <definedName name="сяры" localSheetId="8">#REF!</definedName>
    <definedName name="сяры" localSheetId="9">#REF!</definedName>
    <definedName name="сяры">#REF!</definedName>
    <definedName name="титэк" localSheetId="6">#REF!</definedName>
    <definedName name="титэк" localSheetId="7">#REF!</definedName>
    <definedName name="титэк" localSheetId="8">#REF!</definedName>
    <definedName name="титэк" localSheetId="9">#REF!</definedName>
    <definedName name="титэк">#REF!</definedName>
    <definedName name="титэк_13" localSheetId="6">#REF!</definedName>
    <definedName name="титэк_13" localSheetId="7">#REF!</definedName>
    <definedName name="титэк_13" localSheetId="8">#REF!</definedName>
    <definedName name="титэк_13" localSheetId="9">#REF!</definedName>
    <definedName name="титэк_13">#REF!</definedName>
    <definedName name="титэк_16" localSheetId="6">#REF!</definedName>
    <definedName name="титэк_16" localSheetId="7">#REF!</definedName>
    <definedName name="титэк_16" localSheetId="8">#REF!</definedName>
    <definedName name="титэк_16" localSheetId="9">#REF!</definedName>
    <definedName name="титэк_16">#REF!</definedName>
    <definedName name="титэк_18" localSheetId="6">#REF!</definedName>
    <definedName name="титэк_18" localSheetId="7">#REF!</definedName>
    <definedName name="титэк_18" localSheetId="8">#REF!</definedName>
    <definedName name="титэк_18" localSheetId="9">#REF!</definedName>
    <definedName name="титэк_18">#REF!</definedName>
    <definedName name="титэк1" localSheetId="6">#REF!</definedName>
    <definedName name="титэк1" localSheetId="7">#REF!</definedName>
    <definedName name="титэк1" localSheetId="8">#REF!</definedName>
    <definedName name="титэк1" localSheetId="9">#REF!</definedName>
    <definedName name="титэк1">#REF!</definedName>
    <definedName name="титэк1_13" localSheetId="6">#REF!</definedName>
    <definedName name="титэк1_13" localSheetId="7">#REF!</definedName>
    <definedName name="титэк1_13" localSheetId="8">#REF!</definedName>
    <definedName name="титэк1_13" localSheetId="9">#REF!</definedName>
    <definedName name="титэк1_13">#REF!</definedName>
    <definedName name="титэк1_16" localSheetId="6">#REF!</definedName>
    <definedName name="титэк1_16" localSheetId="7">#REF!</definedName>
    <definedName name="титэк1_16" localSheetId="8">#REF!</definedName>
    <definedName name="титэк1_16" localSheetId="9">#REF!</definedName>
    <definedName name="титэк1_16">#REF!</definedName>
    <definedName name="титэк1_18" localSheetId="6">#REF!</definedName>
    <definedName name="титэк1_18" localSheetId="7">#REF!</definedName>
    <definedName name="титэк1_18" localSheetId="8">#REF!</definedName>
    <definedName name="титэк1_18" localSheetId="9">#REF!</definedName>
    <definedName name="титэк1_18">#REF!</definedName>
    <definedName name="титэмба" localSheetId="6">#REF!</definedName>
    <definedName name="титэмба" localSheetId="7">#REF!</definedName>
    <definedName name="титэмба" localSheetId="8">#REF!</definedName>
    <definedName name="титэмба" localSheetId="9">#REF!</definedName>
    <definedName name="титэмба">#REF!</definedName>
    <definedName name="титэмба_13" localSheetId="6">#REF!</definedName>
    <definedName name="титэмба_13" localSheetId="7">#REF!</definedName>
    <definedName name="титэмба_13" localSheetId="8">#REF!</definedName>
    <definedName name="титэмба_13" localSheetId="9">#REF!</definedName>
    <definedName name="титэмба_13">#REF!</definedName>
    <definedName name="титэмба_16" localSheetId="6">#REF!</definedName>
    <definedName name="титэмба_16" localSheetId="7">#REF!</definedName>
    <definedName name="титэмба_16" localSheetId="8">#REF!</definedName>
    <definedName name="титэмба_16" localSheetId="9">#REF!</definedName>
    <definedName name="титэмба_16">#REF!</definedName>
    <definedName name="титэмба_18" localSheetId="6">#REF!</definedName>
    <definedName name="титэмба_18" localSheetId="7">#REF!</definedName>
    <definedName name="титэмба_18" localSheetId="8">#REF!</definedName>
    <definedName name="титэмба_18" localSheetId="9">#REF!</definedName>
    <definedName name="титэмба_18">#REF!</definedName>
    <definedName name="ТНП" localSheetId="6">#REF!</definedName>
    <definedName name="ТНП" localSheetId="7">#REF!</definedName>
    <definedName name="ТНП" localSheetId="8">#REF!</definedName>
    <definedName name="ТНП" localSheetId="9">#REF!</definedName>
    <definedName name="ТНП" localSheetId="12">#REF!</definedName>
    <definedName name="ТНП" localSheetId="1">#REF!</definedName>
    <definedName name="ТНП" localSheetId="2">#REF!</definedName>
    <definedName name="ТНП" localSheetId="3">#REF!</definedName>
    <definedName name="ТНП" localSheetId="4">#REF!</definedName>
    <definedName name="ТНП" localSheetId="13">#REF!</definedName>
    <definedName name="ТНП" localSheetId="0">#REF!</definedName>
    <definedName name="ТНП" localSheetId="11">#REF!</definedName>
    <definedName name="ТНП" localSheetId="5">#REF!</definedName>
    <definedName name="ТНП">#REF!</definedName>
    <definedName name="тп" hidden="1">{#N/A,#N/A,TRUE,"Лист1";#N/A,#N/A,TRUE,"Лист2";#N/A,#N/A,TRUE,"Лист3"}</definedName>
    <definedName name="трансп" localSheetId="6">#REF!</definedName>
    <definedName name="трансп" localSheetId="7">#REF!</definedName>
    <definedName name="трансп" localSheetId="8">#REF!</definedName>
    <definedName name="трансп" localSheetId="9">#REF!</definedName>
    <definedName name="трансп" localSheetId="12">#REF!</definedName>
    <definedName name="трансп" localSheetId="1">#REF!</definedName>
    <definedName name="трансп" localSheetId="2">#REF!</definedName>
    <definedName name="трансп" localSheetId="3">#REF!</definedName>
    <definedName name="трансп" localSheetId="4">#REF!</definedName>
    <definedName name="трансп" localSheetId="13">#REF!</definedName>
    <definedName name="трансп" localSheetId="0">#REF!</definedName>
    <definedName name="трансп" localSheetId="11">#REF!</definedName>
    <definedName name="трансп" localSheetId="5">#REF!</definedName>
    <definedName name="трансп">#REF!</definedName>
    <definedName name="третий" localSheetId="6">#REF!</definedName>
    <definedName name="третий" localSheetId="7">#REF!</definedName>
    <definedName name="третий" localSheetId="8">#REF!</definedName>
    <definedName name="третий" localSheetId="9">#REF!</definedName>
    <definedName name="третий">#REF!</definedName>
    <definedName name="тьб" localSheetId="6">#REF!</definedName>
    <definedName name="тьб" localSheetId="7">#REF!</definedName>
    <definedName name="тьб" localSheetId="8">#REF!</definedName>
    <definedName name="тьб" localSheetId="9">#REF!</definedName>
    <definedName name="тьб" localSheetId="12">#REF!</definedName>
    <definedName name="тьб" localSheetId="10">#REF!</definedName>
    <definedName name="тьб" localSheetId="1">#REF!</definedName>
    <definedName name="тьб" localSheetId="2">#REF!</definedName>
    <definedName name="тьб" localSheetId="3">#REF!</definedName>
    <definedName name="тьб" localSheetId="4">#REF!</definedName>
    <definedName name="тьб" localSheetId="13">#REF!</definedName>
    <definedName name="тьб" localSheetId="0">#REF!</definedName>
    <definedName name="тьб" localSheetId="11">#REF!</definedName>
    <definedName name="тьб" localSheetId="5">#REF!</definedName>
    <definedName name="тьб">#REF!</definedName>
    <definedName name="у">#N/A</definedName>
    <definedName name="у_11">#N/A</definedName>
    <definedName name="у_12">#N/A</definedName>
    <definedName name="у_13">#N/A</definedName>
    <definedName name="у_14">#N/A</definedName>
    <definedName name="у_16">#N/A</definedName>
    <definedName name="у_17">#N/A</definedName>
    <definedName name="у_18">#N/A</definedName>
    <definedName name="у_19">#N/A</definedName>
    <definedName name="Увеличение" localSheetId="6">#REF!</definedName>
    <definedName name="Увеличение" localSheetId="7">#REF!</definedName>
    <definedName name="Увеличение" localSheetId="8">#REF!</definedName>
    <definedName name="Увеличение" localSheetId="9">#REF!</definedName>
    <definedName name="Увеличение">#REF!</definedName>
    <definedName name="уголь_осветляющий" localSheetId="6">[31]Исх.данные!#REF!</definedName>
    <definedName name="уголь_осветляющий" localSheetId="7">[31]Исх.данные!#REF!</definedName>
    <definedName name="уголь_осветляющий" localSheetId="8">[31]Исх.данные!#REF!</definedName>
    <definedName name="уголь_осветляющий" localSheetId="9">[31]Исх.данные!#REF!</definedName>
    <definedName name="уголь_осветляющий" localSheetId="12">[31]Исх.данные!#REF!</definedName>
    <definedName name="уголь_осветляющий" localSheetId="1">[31]Исх.данные!#REF!</definedName>
    <definedName name="уголь_осветляющий" localSheetId="2">[31]Исх.данные!#REF!</definedName>
    <definedName name="уголь_осветляющий" localSheetId="3">[31]Исх.данные!#REF!</definedName>
    <definedName name="уголь_осветляющий" localSheetId="4">[31]Исх.данные!#REF!</definedName>
    <definedName name="уголь_осветляющий" localSheetId="13">[31]Исх.данные!#REF!</definedName>
    <definedName name="уголь_осветляющий" localSheetId="0">[31]Исх.данные!#REF!</definedName>
    <definedName name="уголь_осветляющий" localSheetId="11">[31]Исх.данные!#REF!</definedName>
    <definedName name="уголь_осветляющий" localSheetId="5">[31]Исх.данные!#REF!</definedName>
    <definedName name="уголь_осветляющий">[31]Исх.данные!#REF!</definedName>
    <definedName name="ук">#N/A</definedName>
    <definedName name="ук_11">#N/A</definedName>
    <definedName name="ук_12">#N/A</definedName>
    <definedName name="ук_13">#N/A</definedName>
    <definedName name="ук_14">#N/A</definedName>
    <definedName name="ук_16">#N/A</definedName>
    <definedName name="ук_17">#N/A</definedName>
    <definedName name="ук_18">#N/A</definedName>
    <definedName name="ук_19">#N/A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 localSheetId="6">#REF!</definedName>
    <definedName name="Уровень2" localSheetId="7">#REF!</definedName>
    <definedName name="Уровень2" localSheetId="8">#REF!</definedName>
    <definedName name="Уровень2" localSheetId="9">#REF!</definedName>
    <definedName name="Уровень2">#REF!</definedName>
    <definedName name="Уровень3" localSheetId="6">#REF!</definedName>
    <definedName name="Уровень3" localSheetId="7">#REF!</definedName>
    <definedName name="Уровень3" localSheetId="8">#REF!</definedName>
    <definedName name="Уровень3" localSheetId="9">#REF!</definedName>
    <definedName name="Уровень3">#REF!</definedName>
    <definedName name="форма6" localSheetId="6">#REF!</definedName>
    <definedName name="форма6" localSheetId="7">#REF!</definedName>
    <definedName name="форма6" localSheetId="8">#REF!</definedName>
    <definedName name="форма6" localSheetId="9">#REF!</definedName>
    <definedName name="форма6">#REF!</definedName>
    <definedName name="форма6_13" localSheetId="6">#REF!</definedName>
    <definedName name="форма6_13" localSheetId="7">#REF!</definedName>
    <definedName name="форма6_13" localSheetId="8">#REF!</definedName>
    <definedName name="форма6_13" localSheetId="9">#REF!</definedName>
    <definedName name="форма6_13">#REF!</definedName>
    <definedName name="форма6_16" localSheetId="6">#REF!</definedName>
    <definedName name="форма6_16" localSheetId="7">#REF!</definedName>
    <definedName name="форма6_16" localSheetId="8">#REF!</definedName>
    <definedName name="форма6_16" localSheetId="9">#REF!</definedName>
    <definedName name="форма6_16">#REF!</definedName>
    <definedName name="форма6_18" localSheetId="6">#REF!</definedName>
    <definedName name="форма6_18" localSheetId="7">#REF!</definedName>
    <definedName name="форма6_18" localSheetId="8">#REF!</definedName>
    <definedName name="форма6_18" localSheetId="9">#REF!</definedName>
    <definedName name="форма6_18">#REF!</definedName>
    <definedName name="ххх">#N/A</definedName>
    <definedName name="ц">#N/A</definedName>
    <definedName name="ц_11">#N/A</definedName>
    <definedName name="ц_12">#N/A</definedName>
    <definedName name="ц_13">#N/A</definedName>
    <definedName name="ц_14">#N/A</definedName>
    <definedName name="ц_16">#N/A</definedName>
    <definedName name="ц_17">#N/A</definedName>
    <definedName name="ц_18">#N/A</definedName>
    <definedName name="ц_19">#N/A</definedName>
    <definedName name="цу">#N/A</definedName>
    <definedName name="цу_11">#N/A</definedName>
    <definedName name="цу_12">#N/A</definedName>
    <definedName name="цу_13">#N/A</definedName>
    <definedName name="цу_14">#N/A</definedName>
    <definedName name="цу_16">#N/A</definedName>
    <definedName name="цу_17">#N/A</definedName>
    <definedName name="цу_18">#N/A</definedName>
    <definedName name="цу_19">#N/A</definedName>
    <definedName name="цц">#N/A</definedName>
    <definedName name="цц_11">#N/A</definedName>
    <definedName name="цц_12">#N/A</definedName>
    <definedName name="цц_13">#N/A</definedName>
    <definedName name="цц_14">#N/A</definedName>
    <definedName name="цц_16">#N/A</definedName>
    <definedName name="цц_17">#N/A</definedName>
    <definedName name="цц_18">#N/A</definedName>
    <definedName name="цц_19">#N/A</definedName>
    <definedName name="четвертый" localSheetId="6">#REF!</definedName>
    <definedName name="четвертый" localSheetId="7">#REF!</definedName>
    <definedName name="четвертый" localSheetId="8">#REF!</definedName>
    <definedName name="четвертый" localSheetId="9">#REF!</definedName>
    <definedName name="четвертый">#REF!</definedName>
    <definedName name="чсч">'[50]I KEY INFORMATION'!$E$63</definedName>
    <definedName name="шщрзгшрз">#N/A</definedName>
    <definedName name="щ">#N/A</definedName>
    <definedName name="щ_11">#N/A</definedName>
    <definedName name="щ_12">#N/A</definedName>
    <definedName name="щ_13">#N/A</definedName>
    <definedName name="щ_14">#N/A</definedName>
    <definedName name="щ_16">#N/A</definedName>
    <definedName name="щ_17">#N/A</definedName>
    <definedName name="щ_18">#N/A</definedName>
    <definedName name="щ_19">#N/A</definedName>
    <definedName name="ыв">#N/A</definedName>
    <definedName name="ыв_11">#N/A</definedName>
    <definedName name="ыв_12">#N/A</definedName>
    <definedName name="ыв_13">#N/A</definedName>
    <definedName name="ыв_14">#N/A</definedName>
    <definedName name="ыв_16">#N/A</definedName>
    <definedName name="ыв_17">#N/A</definedName>
    <definedName name="ыв_18">#N/A</definedName>
    <definedName name="ыв_19">#N/A</definedName>
    <definedName name="ыва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>#N/A</definedName>
    <definedName name="ыыыы_11">#N/A</definedName>
    <definedName name="ыыыы_12">#N/A</definedName>
    <definedName name="ыыыы_13">#N/A</definedName>
    <definedName name="ыыыы_14">#N/A</definedName>
    <definedName name="ыыыы_16">#N/A</definedName>
    <definedName name="ыыыы_17">#N/A</definedName>
    <definedName name="ыыыы_18">#N/A</definedName>
    <definedName name="ыыыы_19">#N/A</definedName>
    <definedName name="Экспорт_Объемы_добычи" localSheetId="6">#REF!</definedName>
    <definedName name="Экспорт_Объемы_добычи" localSheetId="7">#REF!</definedName>
    <definedName name="Экспорт_Объемы_добычи" localSheetId="8">#REF!</definedName>
    <definedName name="Экспорт_Объемы_добычи" localSheetId="9">#REF!</definedName>
    <definedName name="Экспорт_Объемы_добычи">#REF!</definedName>
    <definedName name="Экспорт_Объемы_добычи_13" localSheetId="6">#REF!</definedName>
    <definedName name="Экспорт_Объемы_добычи_13" localSheetId="7">#REF!</definedName>
    <definedName name="Экспорт_Объемы_добычи_13" localSheetId="8">#REF!</definedName>
    <definedName name="Экспорт_Объемы_добычи_13" localSheetId="9">#REF!</definedName>
    <definedName name="Экспорт_Объемы_добычи_13">#REF!</definedName>
    <definedName name="Экспорт_Объемы_добычи_16" localSheetId="6">#REF!</definedName>
    <definedName name="Экспорт_Объемы_добычи_16" localSheetId="7">#REF!</definedName>
    <definedName name="Экспорт_Объемы_добычи_16" localSheetId="8">#REF!</definedName>
    <definedName name="Экспорт_Объемы_добычи_16" localSheetId="9">#REF!</definedName>
    <definedName name="Экспорт_Объемы_добычи_16">#REF!</definedName>
    <definedName name="Экспорт_Объемы_добычи_17">[51]Нефть!$A$1:$R$7</definedName>
    <definedName name="Экспорт_Объемы_добычи_18" localSheetId="6">#REF!</definedName>
    <definedName name="Экспорт_Объемы_добычи_18" localSheetId="7">#REF!</definedName>
    <definedName name="Экспорт_Объемы_добычи_18" localSheetId="8">#REF!</definedName>
    <definedName name="Экспорт_Объемы_добычи_18" localSheetId="9">#REF!</definedName>
    <definedName name="Экспорт_Объемы_добычи_18">#REF!</definedName>
    <definedName name="Экспорт_Поставки_нефти">'[41]поставка сравн13'!$A$1:$Q$30</definedName>
    <definedName name="Экспорт_Поставки_нефти_13">'[42]поставка сравн13'!$A$1:$Q$30</definedName>
    <definedName name="Экспорт_Поставки_нефти_16">'[42]поставка сравн13'!$A$1:$Q$30</definedName>
    <definedName name="Экспорт_Поставки_нефти_18">'[42]поставка сравн13'!$A$1:$Q$30</definedName>
    <definedName name="электроды_графитовые" localSheetId="6">[31]Исх.данные!#REF!</definedName>
    <definedName name="электроды_графитовые" localSheetId="7">[31]Исх.данные!#REF!</definedName>
    <definedName name="электроды_графитовые" localSheetId="8">[31]Исх.данные!#REF!</definedName>
    <definedName name="электроды_графитовые" localSheetId="9">[31]Исх.данные!#REF!</definedName>
    <definedName name="электроды_графитовые" localSheetId="12">[31]Исх.данные!#REF!</definedName>
    <definedName name="электроды_графитовые" localSheetId="1">[31]Исх.данные!#REF!</definedName>
    <definedName name="электроды_графитовые" localSheetId="2">[31]Исх.данные!#REF!</definedName>
    <definedName name="электроды_графитовые" localSheetId="3">[31]Исх.данные!#REF!</definedName>
    <definedName name="электроды_графитовые" localSheetId="4">[31]Исх.данные!#REF!</definedName>
    <definedName name="электроды_графитовые" localSheetId="13">[31]Исх.данные!#REF!</definedName>
    <definedName name="электроды_графитовые" localSheetId="0">[31]Исх.данные!#REF!</definedName>
    <definedName name="электроды_графитовые" localSheetId="11">[31]Исх.данные!#REF!</definedName>
    <definedName name="электроды_графитовые" localSheetId="5">[31]Исх.данные!#REF!</definedName>
    <definedName name="электроды_графитовые">[31]Исх.данные!#REF!</definedName>
    <definedName name="электроэнергия" localSheetId="6">[31]Исх.данные!#REF!</definedName>
    <definedName name="электроэнергия" localSheetId="7">[31]Исх.данные!#REF!</definedName>
    <definedName name="электроэнергия" localSheetId="8">[31]Исх.данные!#REF!</definedName>
    <definedName name="электроэнергия" localSheetId="9">[31]Исх.данные!#REF!</definedName>
    <definedName name="электроэнергия" localSheetId="12">[31]Исх.данные!#REF!</definedName>
    <definedName name="электроэнергия" localSheetId="1">[31]Исх.данные!#REF!</definedName>
    <definedName name="электроэнергия" localSheetId="2">[31]Исх.данные!#REF!</definedName>
    <definedName name="электроэнергия" localSheetId="3">[31]Исх.данные!#REF!</definedName>
    <definedName name="электроэнергия" localSheetId="4">[31]Исх.данные!#REF!</definedName>
    <definedName name="электроэнергия" localSheetId="13">[31]Исх.данные!#REF!</definedName>
    <definedName name="электроэнергия" localSheetId="0">[31]Исх.данные!#REF!</definedName>
    <definedName name="электроэнергия" localSheetId="11">[31]Исх.данные!#REF!</definedName>
    <definedName name="электроэнергия" localSheetId="5">[31]Исх.данные!#REF!</definedName>
    <definedName name="электроэнергия">[31]Исх.данные!#REF!</definedName>
    <definedName name="энергозатраты" localSheetId="6">[31]Исх.данные!#REF!</definedName>
    <definedName name="энергозатраты" localSheetId="7">[31]Исх.данные!#REF!</definedName>
    <definedName name="энергозатраты" localSheetId="8">[31]Исх.данные!#REF!</definedName>
    <definedName name="энергозатраты" localSheetId="9">[31]Исх.данные!#REF!</definedName>
    <definedName name="энергозатраты" localSheetId="12">[31]Исх.данные!#REF!</definedName>
    <definedName name="энергозатраты" localSheetId="1">[31]Исх.данные!#REF!</definedName>
    <definedName name="энергозатраты" localSheetId="2">[31]Исх.данные!#REF!</definedName>
    <definedName name="энергозатраты" localSheetId="3">[31]Исх.данные!#REF!</definedName>
    <definedName name="энергозатраты" localSheetId="4">[31]Исх.данные!#REF!</definedName>
    <definedName name="энергозатраты" localSheetId="13">[31]Исх.данные!#REF!</definedName>
    <definedName name="энергозатраты" localSheetId="0">[31]Исх.данные!#REF!</definedName>
    <definedName name="энергозатраты" localSheetId="11">[31]Исх.данные!#REF!</definedName>
    <definedName name="энергозатраты" localSheetId="5">[31]Исх.данные!#REF!</definedName>
    <definedName name="энергозатраты">[31]Исх.данные!#REF!</definedName>
    <definedName name="ээ" localSheetId="6">#REF!</definedName>
    <definedName name="ээ" localSheetId="7">#REF!</definedName>
    <definedName name="ээ" localSheetId="8">#REF!</definedName>
    <definedName name="ээ" localSheetId="9">#REF!</definedName>
    <definedName name="ээ">#REF!</definedName>
    <definedName name="юю" localSheetId="6">#REF!</definedName>
    <definedName name="юю" localSheetId="7">#REF!</definedName>
    <definedName name="юю" localSheetId="8">#REF!</definedName>
    <definedName name="юю" localSheetId="9">#REF!</definedName>
    <definedName name="юю">#REF!</definedName>
    <definedName name="явп" localSheetId="6">#REF!</definedName>
    <definedName name="явп" localSheetId="7">#REF!</definedName>
    <definedName name="явп" localSheetId="8">#REF!</definedName>
    <definedName name="явп" localSheetId="9">#REF!</definedName>
    <definedName name="явп">#REF!</definedName>
  </definedNames>
  <calcPr calcId="162913"/>
</workbook>
</file>

<file path=xl/calcChain.xml><?xml version="1.0" encoding="utf-8"?>
<calcChain xmlns="http://schemas.openxmlformats.org/spreadsheetml/2006/main">
  <c r="G43" i="45" l="1"/>
  <c r="G36" i="45"/>
  <c r="G45" i="45"/>
  <c r="G42" i="45"/>
  <c r="G41" i="45"/>
  <c r="G40" i="45"/>
  <c r="G39" i="45"/>
  <c r="G38" i="45"/>
  <c r="G37" i="45"/>
  <c r="G35" i="45"/>
  <c r="G34" i="45"/>
  <c r="G33" i="45"/>
  <c r="G32" i="45"/>
  <c r="G31" i="45"/>
  <c r="G30" i="45"/>
  <c r="G29" i="45"/>
  <c r="G28" i="45"/>
  <c r="G27" i="45"/>
  <c r="G26" i="45"/>
  <c r="G18" i="45"/>
  <c r="G19" i="45"/>
  <c r="G20" i="45"/>
  <c r="G21" i="45"/>
  <c r="G22" i="45"/>
  <c r="G23" i="45"/>
  <c r="G24" i="45"/>
  <c r="G25" i="45"/>
  <c r="G11" i="45"/>
  <c r="G13" i="45"/>
  <c r="G14" i="45"/>
  <c r="G15" i="45"/>
  <c r="G16" i="45"/>
  <c r="G17" i="45"/>
  <c r="G12" i="45"/>
  <c r="G43" i="44"/>
  <c r="G36" i="44"/>
  <c r="G44" i="44"/>
  <c r="G42" i="44"/>
  <c r="G41" i="44"/>
  <c r="G40" i="44"/>
  <c r="G39" i="44"/>
  <c r="G38" i="44"/>
  <c r="G37" i="44"/>
  <c r="G26" i="44"/>
  <c r="G35" i="44"/>
  <c r="G34" i="44"/>
  <c r="G33" i="44"/>
  <c r="G32" i="44"/>
  <c r="G31" i="44"/>
  <c r="G30" i="44"/>
  <c r="G29" i="44"/>
  <c r="G28" i="44"/>
  <c r="G27" i="44"/>
  <c r="G11" i="44"/>
  <c r="G25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12" i="44"/>
  <c r="AC179" i="50" l="1"/>
  <c r="AS178" i="50"/>
  <c r="AK178" i="50"/>
  <c r="U178" i="50"/>
  <c r="AS177" i="50"/>
  <c r="AK177" i="50"/>
  <c r="U177" i="50"/>
  <c r="U176" i="50"/>
  <c r="AS175" i="50"/>
  <c r="AK175" i="50"/>
  <c r="M175" i="50"/>
  <c r="AS174" i="50"/>
  <c r="AK174" i="50"/>
  <c r="AC174" i="50"/>
  <c r="M174" i="50"/>
  <c r="M173" i="50"/>
  <c r="AS172" i="50"/>
  <c r="AK172" i="50"/>
  <c r="AC172" i="50"/>
  <c r="U172" i="50"/>
  <c r="M172" i="50"/>
  <c r="CZ166" i="50"/>
  <c r="CR166" i="50"/>
  <c r="CJ166" i="50"/>
  <c r="BT166" i="50"/>
  <c r="BL166" i="50"/>
  <c r="BD166" i="50"/>
  <c r="AF166" i="50"/>
  <c r="H166" i="50"/>
  <c r="CO165" i="50"/>
  <c r="CW164" i="50"/>
  <c r="CO164" i="50"/>
  <c r="CG164" i="50"/>
  <c r="BY164" i="50"/>
  <c r="BQ164" i="50"/>
  <c r="BI164" i="50"/>
  <c r="BA164" i="50"/>
  <c r="AS164" i="50"/>
  <c r="AK164" i="50"/>
  <c r="AC164" i="50"/>
  <c r="U164" i="50"/>
  <c r="M164" i="50"/>
  <c r="D164" i="50"/>
  <c r="DC155" i="50"/>
  <c r="CU155" i="50"/>
  <c r="CM155" i="50"/>
  <c r="CE155" i="50"/>
  <c r="BW155" i="50"/>
  <c r="BO155" i="50"/>
  <c r="BG155" i="50"/>
  <c r="AQ155" i="50"/>
  <c r="AI155" i="50"/>
  <c r="AA155" i="50"/>
  <c r="S155" i="50"/>
  <c r="DB154" i="50"/>
  <c r="CT154" i="50"/>
  <c r="CL154" i="50"/>
  <c r="CD154" i="50"/>
  <c r="BV154" i="50"/>
  <c r="BN154" i="50"/>
  <c r="BF154" i="50"/>
  <c r="AP154" i="50"/>
  <c r="AH154" i="50"/>
  <c r="Z154" i="50"/>
  <c r="R154" i="50"/>
  <c r="DA153" i="50"/>
  <c r="DA166" i="50" s="1"/>
  <c r="CS153" i="50"/>
  <c r="CS166" i="50" s="1"/>
  <c r="CK153" i="50"/>
  <c r="CK166" i="50" s="1"/>
  <c r="CC153" i="50"/>
  <c r="CC166" i="50" s="1"/>
  <c r="BU153" i="50"/>
  <c r="BU166" i="50" s="1"/>
  <c r="BM153" i="50"/>
  <c r="BM166" i="50" s="1"/>
  <c r="BE153" i="50"/>
  <c r="BE166" i="50" s="1"/>
  <c r="Q153" i="50"/>
  <c r="Q166" i="50" s="1"/>
  <c r="CZ152" i="50"/>
  <c r="CR152" i="50"/>
  <c r="CJ152" i="50"/>
  <c r="CB152" i="50"/>
  <c r="CB166" i="50" s="1"/>
  <c r="BT152" i="50"/>
  <c r="BL152" i="50"/>
  <c r="BD152" i="50"/>
  <c r="AV152" i="50"/>
  <c r="AV166" i="50" s="1"/>
  <c r="P152" i="50"/>
  <c r="P166" i="50" s="1"/>
  <c r="CY151" i="50"/>
  <c r="CY166" i="50" s="1"/>
  <c r="CQ151" i="50"/>
  <c r="CQ166" i="50" s="1"/>
  <c r="CI151" i="50"/>
  <c r="CI166" i="50" s="1"/>
  <c r="CA151" i="50"/>
  <c r="CA166" i="50" s="1"/>
  <c r="BS151" i="50"/>
  <c r="BS166" i="50" s="1"/>
  <c r="BK151" i="50"/>
  <c r="BK166" i="50" s="1"/>
  <c r="BI166" i="50" s="1"/>
  <c r="BC151" i="50"/>
  <c r="BC166" i="50" s="1"/>
  <c r="W151" i="50"/>
  <c r="W166" i="50" s="1"/>
  <c r="AW148" i="50"/>
  <c r="AO148" i="50"/>
  <c r="AG148" i="50"/>
  <c r="Y148" i="50"/>
  <c r="CW145" i="50"/>
  <c r="CO145" i="50"/>
  <c r="CG145" i="50"/>
  <c r="CG165" i="50" s="1"/>
  <c r="BY145" i="50"/>
  <c r="BY165" i="50" s="1"/>
  <c r="BQ145" i="50"/>
  <c r="BI145" i="50"/>
  <c r="BI165" i="50" s="1"/>
  <c r="BA145" i="50"/>
  <c r="BA165" i="50" s="1"/>
  <c r="AY145" i="50"/>
  <c r="AX145" i="50"/>
  <c r="AW145" i="50"/>
  <c r="AW153" i="50" s="1"/>
  <c r="AW166" i="50" s="1"/>
  <c r="AV145" i="50"/>
  <c r="AU145" i="50"/>
  <c r="AU151" i="50" s="1"/>
  <c r="AU166" i="50" s="1"/>
  <c r="AT145" i="50"/>
  <c r="AS145" i="50"/>
  <c r="AS165" i="50" s="1"/>
  <c r="AO145" i="50"/>
  <c r="AO153" i="50" s="1"/>
  <c r="AO166" i="50" s="1"/>
  <c r="AN145" i="50"/>
  <c r="AN152" i="50" s="1"/>
  <c r="AN166" i="50" s="1"/>
  <c r="AM145" i="50"/>
  <c r="AK145" i="50" s="1"/>
  <c r="AL145" i="50"/>
  <c r="AG145" i="50"/>
  <c r="AG153" i="50" s="1"/>
  <c r="AG166" i="50" s="1"/>
  <c r="AF145" i="50"/>
  <c r="AF152" i="50" s="1"/>
  <c r="AE145" i="50"/>
  <c r="Y145" i="50"/>
  <c r="Y153" i="50" s="1"/>
  <c r="Y166" i="50" s="1"/>
  <c r="X145" i="50"/>
  <c r="W145" i="50"/>
  <c r="Q145" i="50"/>
  <c r="P145" i="50"/>
  <c r="O145" i="50"/>
  <c r="O151" i="50" s="1"/>
  <c r="O166" i="50" s="1"/>
  <c r="M145" i="50"/>
  <c r="AT144" i="50"/>
  <c r="AS144" i="50"/>
  <c r="AL144" i="50"/>
  <c r="AK144" i="50"/>
  <c r="AQ144" i="50" s="1"/>
  <c r="AD144" i="50"/>
  <c r="AC144" i="50"/>
  <c r="V144" i="50"/>
  <c r="U144" i="50"/>
  <c r="N144" i="50"/>
  <c r="M144" i="50"/>
  <c r="G144" i="50"/>
  <c r="F144" i="50"/>
  <c r="E144" i="50"/>
  <c r="AX143" i="50"/>
  <c r="AX142" i="50" s="1"/>
  <c r="AS143" i="50"/>
  <c r="AN143" i="50"/>
  <c r="F143" i="50"/>
  <c r="AP142" i="50"/>
  <c r="AH142" i="50"/>
  <c r="Z142" i="50"/>
  <c r="R142" i="50"/>
  <c r="P142" i="50"/>
  <c r="E142" i="50"/>
  <c r="DC140" i="50"/>
  <c r="DB140" i="50"/>
  <c r="DA140" i="50"/>
  <c r="CZ140" i="50"/>
  <c r="CY140" i="50"/>
  <c r="CX140" i="50"/>
  <c r="CU140" i="50"/>
  <c r="CT140" i="50"/>
  <c r="CS140" i="50"/>
  <c r="CR140" i="50"/>
  <c r="CQ140" i="50"/>
  <c r="CP140" i="50" s="1"/>
  <c r="CM140" i="50"/>
  <c r="CL140" i="50"/>
  <c r="CK140" i="50"/>
  <c r="CJ140" i="50"/>
  <c r="CI140" i="50"/>
  <c r="CH140" i="50" s="1"/>
  <c r="CE140" i="50"/>
  <c r="CD140" i="50"/>
  <c r="CC140" i="50"/>
  <c r="CB140" i="50"/>
  <c r="CA140" i="50"/>
  <c r="BZ140" i="50" s="1"/>
  <c r="BW140" i="50"/>
  <c r="BV140" i="50"/>
  <c r="BU140" i="50"/>
  <c r="BT140" i="50"/>
  <c r="BS140" i="50"/>
  <c r="BR140" i="50"/>
  <c r="BO140" i="50"/>
  <c r="BN140" i="50"/>
  <c r="BM140" i="50"/>
  <c r="BL140" i="50"/>
  <c r="BK140" i="50"/>
  <c r="BG140" i="50"/>
  <c r="BF140" i="50"/>
  <c r="BE140" i="50"/>
  <c r="BD140" i="50"/>
  <c r="BC140" i="50"/>
  <c r="BB140" i="50"/>
  <c r="AS140" i="50"/>
  <c r="AK140" i="50"/>
  <c r="AC140" i="50"/>
  <c r="U140" i="50"/>
  <c r="M140" i="50"/>
  <c r="H140" i="50"/>
  <c r="E140" i="50"/>
  <c r="DC139" i="50"/>
  <c r="DB139" i="50"/>
  <c r="DA139" i="50"/>
  <c r="CZ139" i="50"/>
  <c r="CY139" i="50"/>
  <c r="CX139" i="50"/>
  <c r="CU139" i="50"/>
  <c r="CT139" i="50"/>
  <c r="CS139" i="50"/>
  <c r="CR139" i="50"/>
  <c r="CQ139" i="50"/>
  <c r="CP139" i="50" s="1"/>
  <c r="CM139" i="50"/>
  <c r="CL139" i="50"/>
  <c r="CK139" i="50"/>
  <c r="CJ139" i="50"/>
  <c r="CI139" i="50"/>
  <c r="CH139" i="50"/>
  <c r="CE139" i="50"/>
  <c r="CC139" i="50"/>
  <c r="BZ139" i="50"/>
  <c r="BW139" i="50"/>
  <c r="BU139" i="50"/>
  <c r="BR139" i="50"/>
  <c r="BO139" i="50"/>
  <c r="BM139" i="50"/>
  <c r="BJ139" i="50"/>
  <c r="BG139" i="50"/>
  <c r="BE139" i="50"/>
  <c r="BB139" i="50"/>
  <c r="AT139" i="50"/>
  <c r="AS139" i="50"/>
  <c r="AO139" i="50"/>
  <c r="AL139" i="50"/>
  <c r="AG139" i="50"/>
  <c r="AD139" i="50"/>
  <c r="Y139" i="50"/>
  <c r="V139" i="50"/>
  <c r="Q139" i="50"/>
  <c r="N139" i="50"/>
  <c r="DC138" i="50"/>
  <c r="DB138" i="50"/>
  <c r="DA138" i="50"/>
  <c r="CZ138" i="50"/>
  <c r="CY138" i="50"/>
  <c r="CX138" i="50" s="1"/>
  <c r="CU138" i="50"/>
  <c r="CT138" i="50"/>
  <c r="CS138" i="50"/>
  <c r="CR138" i="50"/>
  <c r="CQ138" i="50"/>
  <c r="CP138" i="50"/>
  <c r="CM138" i="50"/>
  <c r="CL138" i="50"/>
  <c r="CK138" i="50"/>
  <c r="CJ138" i="50"/>
  <c r="CI138" i="50"/>
  <c r="CH138" i="50" s="1"/>
  <c r="CE138" i="50"/>
  <c r="CD138" i="50"/>
  <c r="CC138" i="50"/>
  <c r="CB138" i="50"/>
  <c r="CA138" i="50"/>
  <c r="BZ138" i="50"/>
  <c r="BW138" i="50"/>
  <c r="BV138" i="50"/>
  <c r="BU138" i="50"/>
  <c r="BT138" i="50"/>
  <c r="BS138" i="50"/>
  <c r="BO138" i="50"/>
  <c r="BN138" i="50"/>
  <c r="BM138" i="50"/>
  <c r="BL138" i="50"/>
  <c r="BK138" i="50"/>
  <c r="BJ138" i="50"/>
  <c r="BG138" i="50"/>
  <c r="BF138" i="50"/>
  <c r="BE138" i="50"/>
  <c r="BD138" i="50"/>
  <c r="BC138" i="50"/>
  <c r="BB138" i="50" s="1"/>
  <c r="AS137" i="50"/>
  <c r="H137" i="50"/>
  <c r="E137" i="50"/>
  <c r="DC136" i="50"/>
  <c r="DB136" i="50"/>
  <c r="DA136" i="50"/>
  <c r="CZ136" i="50"/>
  <c r="CY136" i="50"/>
  <c r="CX136" i="50"/>
  <c r="CU136" i="50"/>
  <c r="CT136" i="50"/>
  <c r="CS136" i="50"/>
  <c r="CR136" i="50"/>
  <c r="CQ136" i="50"/>
  <c r="CM136" i="50"/>
  <c r="CL136" i="50"/>
  <c r="CK136" i="50"/>
  <c r="CJ136" i="50"/>
  <c r="CI136" i="50"/>
  <c r="CH136" i="50"/>
  <c r="CE136" i="50"/>
  <c r="CD136" i="50"/>
  <c r="CC136" i="50"/>
  <c r="CB136" i="50"/>
  <c r="CA136" i="50"/>
  <c r="BZ136" i="50" s="1"/>
  <c r="BW136" i="50"/>
  <c r="BV136" i="50"/>
  <c r="BU136" i="50"/>
  <c r="BT136" i="50"/>
  <c r="BS136" i="50"/>
  <c r="BR136" i="50"/>
  <c r="BO136" i="50"/>
  <c r="BN136" i="50"/>
  <c r="BM136" i="50"/>
  <c r="BL136" i="50"/>
  <c r="BK136" i="50"/>
  <c r="BJ136" i="50" s="1"/>
  <c r="BG136" i="50"/>
  <c r="BF136" i="50"/>
  <c r="BE136" i="50"/>
  <c r="BD136" i="50"/>
  <c r="BC136" i="50"/>
  <c r="BB136" i="50" s="1"/>
  <c r="H136" i="50"/>
  <c r="E136" i="50"/>
  <c r="DC135" i="50"/>
  <c r="DB135" i="50"/>
  <c r="DA135" i="50"/>
  <c r="CZ135" i="50"/>
  <c r="CX135" i="50" s="1"/>
  <c r="CY135" i="50"/>
  <c r="CU135" i="50"/>
  <c r="CT135" i="50"/>
  <c r="CS135" i="50"/>
  <c r="CR135" i="50"/>
  <c r="CQ135" i="50"/>
  <c r="CP135" i="50"/>
  <c r="CM135" i="50"/>
  <c r="CL135" i="50"/>
  <c r="CK135" i="50"/>
  <c r="CJ135" i="50"/>
  <c r="CH135" i="50" s="1"/>
  <c r="CI135" i="50"/>
  <c r="CE135" i="50"/>
  <c r="CD135" i="50"/>
  <c r="CC135" i="50"/>
  <c r="CB135" i="50"/>
  <c r="CA135" i="50"/>
  <c r="BZ135" i="50"/>
  <c r="BW135" i="50"/>
  <c r="BV135" i="50"/>
  <c r="BU135" i="50"/>
  <c r="BT135" i="50"/>
  <c r="BR135" i="50" s="1"/>
  <c r="BS135" i="50"/>
  <c r="BO135" i="50"/>
  <c r="BN135" i="50"/>
  <c r="BM135" i="50"/>
  <c r="BL135" i="50"/>
  <c r="BK135" i="50"/>
  <c r="BJ135" i="50"/>
  <c r="BG135" i="50"/>
  <c r="BF135" i="50"/>
  <c r="BE135" i="50"/>
  <c r="BD135" i="50"/>
  <c r="BB135" i="50" s="1"/>
  <c r="BC135" i="50"/>
  <c r="AK135" i="50"/>
  <c r="H135" i="50"/>
  <c r="E135" i="50"/>
  <c r="AS134" i="50"/>
  <c r="AK134" i="50"/>
  <c r="AC134" i="50"/>
  <c r="U134" i="50"/>
  <c r="M134" i="50"/>
  <c r="H134" i="50"/>
  <c r="E134" i="50"/>
  <c r="DC133" i="50"/>
  <c r="DB133" i="50"/>
  <c r="DA133" i="50"/>
  <c r="CZ133" i="50"/>
  <c r="CY133" i="50"/>
  <c r="CX133" i="50"/>
  <c r="CU133" i="50"/>
  <c r="CT133" i="50"/>
  <c r="CS133" i="50"/>
  <c r="CR133" i="50"/>
  <c r="CP133" i="50" s="1"/>
  <c r="CQ133" i="50"/>
  <c r="CM133" i="50"/>
  <c r="CL133" i="50"/>
  <c r="CK133" i="50"/>
  <c r="CJ133" i="50"/>
  <c r="CI133" i="50"/>
  <c r="CH133" i="50"/>
  <c r="CE133" i="50"/>
  <c r="CD133" i="50"/>
  <c r="CC133" i="50"/>
  <c r="CB133" i="50"/>
  <c r="BZ133" i="50" s="1"/>
  <c r="CA133" i="50"/>
  <c r="BW133" i="50"/>
  <c r="BV133" i="50"/>
  <c r="BU133" i="50"/>
  <c r="BT133" i="50"/>
  <c r="BS133" i="50"/>
  <c r="BR133" i="50"/>
  <c r="BO133" i="50"/>
  <c r="BN133" i="50"/>
  <c r="BM133" i="50"/>
  <c r="BL133" i="50"/>
  <c r="BJ133" i="50" s="1"/>
  <c r="BK133" i="50"/>
  <c r="BG133" i="50"/>
  <c r="BF133" i="50"/>
  <c r="BE133" i="50"/>
  <c r="BD133" i="50"/>
  <c r="BC133" i="50"/>
  <c r="BB133" i="50"/>
  <c r="AS133" i="50"/>
  <c r="AK133" i="50"/>
  <c r="U133" i="50"/>
  <c r="H133" i="50"/>
  <c r="E133" i="50"/>
  <c r="DC132" i="50"/>
  <c r="DB132" i="50"/>
  <c r="DA132" i="50"/>
  <c r="CZ132" i="50"/>
  <c r="CY132" i="50"/>
  <c r="CX132" i="50" s="1"/>
  <c r="CU132" i="50"/>
  <c r="CT132" i="50"/>
  <c r="CS132" i="50"/>
  <c r="CR132" i="50"/>
  <c r="CQ132" i="50"/>
  <c r="CP132" i="50"/>
  <c r="CM132" i="50"/>
  <c r="CL132" i="50"/>
  <c r="CK132" i="50"/>
  <c r="CJ132" i="50"/>
  <c r="CI132" i="50"/>
  <c r="CH132" i="50" s="1"/>
  <c r="CE132" i="50"/>
  <c r="CD132" i="50"/>
  <c r="CC132" i="50"/>
  <c r="CB132" i="50"/>
  <c r="CA132" i="50"/>
  <c r="BZ132" i="50"/>
  <c r="BW132" i="50"/>
  <c r="BV132" i="50"/>
  <c r="BU132" i="50"/>
  <c r="BT132" i="50"/>
  <c r="BS132" i="50"/>
  <c r="BR132" i="50" s="1"/>
  <c r="BO132" i="50"/>
  <c r="BN132" i="50"/>
  <c r="BM132" i="50"/>
  <c r="BL132" i="50"/>
  <c r="BK132" i="50"/>
  <c r="BJ132" i="50"/>
  <c r="BG132" i="50"/>
  <c r="BF132" i="50"/>
  <c r="BE132" i="50"/>
  <c r="BD132" i="50"/>
  <c r="BC132" i="50"/>
  <c r="BB132" i="50" s="1"/>
  <c r="AC132" i="50"/>
  <c r="H132" i="50"/>
  <c r="E132" i="50"/>
  <c r="DC131" i="50"/>
  <c r="DB131" i="50"/>
  <c r="DA131" i="50"/>
  <c r="CZ131" i="50"/>
  <c r="CY131" i="50"/>
  <c r="CX131" i="50"/>
  <c r="CU131" i="50"/>
  <c r="CT131" i="50"/>
  <c r="CS131" i="50"/>
  <c r="CR131" i="50"/>
  <c r="CQ131" i="50"/>
  <c r="CP131" i="50" s="1"/>
  <c r="CM131" i="50"/>
  <c r="CL131" i="50"/>
  <c r="CK131" i="50"/>
  <c r="CJ131" i="50"/>
  <c r="CI131" i="50"/>
  <c r="CH131" i="50"/>
  <c r="CE131" i="50"/>
  <c r="CD131" i="50"/>
  <c r="CC131" i="50"/>
  <c r="CB131" i="50"/>
  <c r="CA131" i="50"/>
  <c r="BZ131" i="50" s="1"/>
  <c r="BW131" i="50"/>
  <c r="BV131" i="50"/>
  <c r="BU131" i="50"/>
  <c r="BT131" i="50"/>
  <c r="BS131" i="50"/>
  <c r="BR131" i="50"/>
  <c r="BO131" i="50"/>
  <c r="BN131" i="50"/>
  <c r="BM131" i="50"/>
  <c r="BL131" i="50"/>
  <c r="BK131" i="50"/>
  <c r="BJ131" i="50" s="1"/>
  <c r="BG131" i="50"/>
  <c r="BF131" i="50"/>
  <c r="BE131" i="50"/>
  <c r="BD131" i="50"/>
  <c r="BC131" i="50"/>
  <c r="BB131" i="50"/>
  <c r="AS131" i="50"/>
  <c r="U131" i="50"/>
  <c r="H131" i="50"/>
  <c r="E131" i="50"/>
  <c r="DC130" i="50"/>
  <c r="DB130" i="50"/>
  <c r="DA130" i="50"/>
  <c r="CZ130" i="50"/>
  <c r="CY130" i="50"/>
  <c r="CX130" i="50"/>
  <c r="CU130" i="50"/>
  <c r="CT130" i="50"/>
  <c r="CS130" i="50"/>
  <c r="CR130" i="50"/>
  <c r="CQ130" i="50"/>
  <c r="CM130" i="50"/>
  <c r="CL130" i="50"/>
  <c r="CK130" i="50"/>
  <c r="CJ130" i="50"/>
  <c r="CI130" i="50"/>
  <c r="CH130" i="50"/>
  <c r="CE130" i="50"/>
  <c r="CD130" i="50"/>
  <c r="CC130" i="50"/>
  <c r="CB130" i="50"/>
  <c r="CA130" i="50"/>
  <c r="BZ130" i="50" s="1"/>
  <c r="BW130" i="50"/>
  <c r="BV130" i="50"/>
  <c r="BU130" i="50"/>
  <c r="BT130" i="50"/>
  <c r="BS130" i="50"/>
  <c r="BR130" i="50"/>
  <c r="BO130" i="50"/>
  <c r="BN130" i="50"/>
  <c r="BM130" i="50"/>
  <c r="BL130" i="50"/>
  <c r="BK130" i="50"/>
  <c r="BJ130" i="50" s="1"/>
  <c r="BG130" i="50"/>
  <c r="BF130" i="50"/>
  <c r="BE130" i="50"/>
  <c r="BD130" i="50"/>
  <c r="BC130" i="50"/>
  <c r="BB130" i="50" s="1"/>
  <c r="AS130" i="50"/>
  <c r="AK130" i="50"/>
  <c r="AC130" i="50"/>
  <c r="U130" i="50"/>
  <c r="M130" i="50"/>
  <c r="H130" i="50"/>
  <c r="E130" i="50"/>
  <c r="DC129" i="50"/>
  <c r="DB129" i="50"/>
  <c r="DA129" i="50"/>
  <c r="CZ129" i="50"/>
  <c r="CY129" i="50"/>
  <c r="CX129" i="50"/>
  <c r="CU129" i="50"/>
  <c r="CT129" i="50"/>
  <c r="CS129" i="50"/>
  <c r="CR129" i="50"/>
  <c r="CQ129" i="50"/>
  <c r="CM129" i="50"/>
  <c r="CL129" i="50"/>
  <c r="CK129" i="50"/>
  <c r="CJ129" i="50"/>
  <c r="CI129" i="50"/>
  <c r="CH129" i="50"/>
  <c r="CE129" i="50"/>
  <c r="CD129" i="50"/>
  <c r="CC129" i="50"/>
  <c r="CB129" i="50"/>
  <c r="CA129" i="50"/>
  <c r="BZ129" i="50" s="1"/>
  <c r="BW129" i="50"/>
  <c r="BV129" i="50"/>
  <c r="BU129" i="50"/>
  <c r="BT129" i="50"/>
  <c r="BS129" i="50"/>
  <c r="BR129" i="50"/>
  <c r="BO129" i="50"/>
  <c r="BN129" i="50"/>
  <c r="BM129" i="50"/>
  <c r="BL129" i="50"/>
  <c r="BK129" i="50"/>
  <c r="BJ129" i="50" s="1"/>
  <c r="BG129" i="50"/>
  <c r="BF129" i="50"/>
  <c r="BE129" i="50"/>
  <c r="BD129" i="50"/>
  <c r="BC129" i="50"/>
  <c r="BB129" i="50"/>
  <c r="H129" i="50"/>
  <c r="E129" i="50"/>
  <c r="DC128" i="50"/>
  <c r="DB128" i="50"/>
  <c r="DA128" i="50"/>
  <c r="CZ128" i="50"/>
  <c r="CY128" i="50"/>
  <c r="CX128" i="50" s="1"/>
  <c r="CU128" i="50"/>
  <c r="CT128" i="50"/>
  <c r="CS128" i="50"/>
  <c r="CR128" i="50"/>
  <c r="CQ128" i="50"/>
  <c r="CP128" i="50"/>
  <c r="CM128" i="50"/>
  <c r="CL128" i="50"/>
  <c r="CK128" i="50"/>
  <c r="CJ128" i="50"/>
  <c r="CI128" i="50"/>
  <c r="CE128" i="50"/>
  <c r="CD128" i="50"/>
  <c r="CC128" i="50"/>
  <c r="CB128" i="50"/>
  <c r="CA128" i="50"/>
  <c r="BZ128" i="50"/>
  <c r="BW128" i="50"/>
  <c r="BV128" i="50"/>
  <c r="BU128" i="50"/>
  <c r="BT128" i="50"/>
  <c r="BS128" i="50"/>
  <c r="BO128" i="50"/>
  <c r="BN128" i="50"/>
  <c r="BM128" i="50"/>
  <c r="BL128" i="50"/>
  <c r="BK128" i="50"/>
  <c r="BJ128" i="50"/>
  <c r="BG128" i="50"/>
  <c r="BF128" i="50"/>
  <c r="BE128" i="50"/>
  <c r="BD128" i="50"/>
  <c r="BC128" i="50"/>
  <c r="BB128" i="50" s="1"/>
  <c r="AS128" i="50"/>
  <c r="AC128" i="50"/>
  <c r="H128" i="50"/>
  <c r="E128" i="50"/>
  <c r="H127" i="50"/>
  <c r="H122" i="50" s="1"/>
  <c r="E127" i="50"/>
  <c r="DC126" i="50"/>
  <c r="DB126" i="50"/>
  <c r="DA126" i="50"/>
  <c r="CZ126" i="50"/>
  <c r="CY126" i="50"/>
  <c r="CX126" i="50"/>
  <c r="CU126" i="50"/>
  <c r="CT126" i="50"/>
  <c r="CS126" i="50"/>
  <c r="CR126" i="50"/>
  <c r="CQ126" i="50"/>
  <c r="CM126" i="50"/>
  <c r="CL126" i="50"/>
  <c r="CK126" i="50"/>
  <c r="CJ126" i="50"/>
  <c r="CI126" i="50"/>
  <c r="CH126" i="50"/>
  <c r="CE126" i="50"/>
  <c r="CD126" i="50"/>
  <c r="CC126" i="50"/>
  <c r="CB126" i="50"/>
  <c r="CA126" i="50"/>
  <c r="BW126" i="50"/>
  <c r="BV126" i="50"/>
  <c r="BU126" i="50"/>
  <c r="BT126" i="50"/>
  <c r="BS126" i="50"/>
  <c r="BR126" i="50"/>
  <c r="BO126" i="50"/>
  <c r="BN126" i="50"/>
  <c r="BM126" i="50"/>
  <c r="BL126" i="50"/>
  <c r="BK126" i="50"/>
  <c r="BG126" i="50"/>
  <c r="BF126" i="50"/>
  <c r="BE126" i="50"/>
  <c r="BD126" i="50"/>
  <c r="BC126" i="50"/>
  <c r="BB126" i="50"/>
  <c r="AS126" i="50"/>
  <c r="AK126" i="50"/>
  <c r="AC126" i="50"/>
  <c r="U126" i="50"/>
  <c r="M126" i="50"/>
  <c r="H126" i="50"/>
  <c r="E126" i="50"/>
  <c r="DC125" i="50"/>
  <c r="DB125" i="50"/>
  <c r="DA125" i="50"/>
  <c r="CZ125" i="50"/>
  <c r="CY125" i="50"/>
  <c r="CU125" i="50"/>
  <c r="CT125" i="50"/>
  <c r="CS125" i="50"/>
  <c r="CR125" i="50"/>
  <c r="CQ125" i="50"/>
  <c r="CP125" i="50"/>
  <c r="CM125" i="50"/>
  <c r="CL125" i="50"/>
  <c r="CK125" i="50"/>
  <c r="CJ125" i="50"/>
  <c r="CI125" i="50"/>
  <c r="CH125" i="50" s="1"/>
  <c r="CE125" i="50"/>
  <c r="CD125" i="50"/>
  <c r="CC125" i="50"/>
  <c r="CB125" i="50"/>
  <c r="CA125" i="50"/>
  <c r="BZ125" i="50"/>
  <c r="BW125" i="50"/>
  <c r="BV125" i="50"/>
  <c r="BU125" i="50"/>
  <c r="BT125" i="50"/>
  <c r="BS125" i="50"/>
  <c r="BR125" i="50" s="1"/>
  <c r="BO125" i="50"/>
  <c r="BN125" i="50"/>
  <c r="BM125" i="50"/>
  <c r="BL125" i="50"/>
  <c r="BK125" i="50"/>
  <c r="BJ125" i="50"/>
  <c r="BG125" i="50"/>
  <c r="BF125" i="50"/>
  <c r="BE125" i="50"/>
  <c r="BD125" i="50"/>
  <c r="BC125" i="50"/>
  <c r="AS125" i="50"/>
  <c r="H125" i="50"/>
  <c r="E125" i="50"/>
  <c r="DC124" i="50"/>
  <c r="DB124" i="50"/>
  <c r="DA124" i="50"/>
  <c r="CZ124" i="50"/>
  <c r="CY124" i="50"/>
  <c r="CX124" i="50" s="1"/>
  <c r="CU124" i="50"/>
  <c r="CT124" i="50"/>
  <c r="CS124" i="50"/>
  <c r="CR124" i="50"/>
  <c r="CQ124" i="50"/>
  <c r="CP124" i="50"/>
  <c r="CM124" i="50"/>
  <c r="CL124" i="50"/>
  <c r="CK124" i="50"/>
  <c r="CJ124" i="50"/>
  <c r="CI124" i="50"/>
  <c r="CE124" i="50"/>
  <c r="CD124" i="50"/>
  <c r="CC124" i="50"/>
  <c r="CB124" i="50"/>
  <c r="CA124" i="50"/>
  <c r="BZ124" i="50"/>
  <c r="BW124" i="50"/>
  <c r="BV124" i="50"/>
  <c r="BU124" i="50"/>
  <c r="BT124" i="50"/>
  <c r="BS124" i="50"/>
  <c r="BO124" i="50"/>
  <c r="BN124" i="50"/>
  <c r="BM124" i="50"/>
  <c r="BL124" i="50"/>
  <c r="BK124" i="50"/>
  <c r="BJ124" i="50"/>
  <c r="BG124" i="50"/>
  <c r="BF124" i="50"/>
  <c r="BE124" i="50"/>
  <c r="BD124" i="50"/>
  <c r="BC124" i="50"/>
  <c r="AS124" i="50"/>
  <c r="H124" i="50"/>
  <c r="E124" i="50"/>
  <c r="DC123" i="50"/>
  <c r="DB123" i="50"/>
  <c r="DA123" i="50"/>
  <c r="CZ123" i="50"/>
  <c r="CY123" i="50"/>
  <c r="CX123" i="50"/>
  <c r="CU123" i="50"/>
  <c r="CT123" i="50"/>
  <c r="CS123" i="50"/>
  <c r="CR123" i="50"/>
  <c r="CQ123" i="50"/>
  <c r="CP123" i="50" s="1"/>
  <c r="CM123" i="50"/>
  <c r="CL123" i="50"/>
  <c r="CK123" i="50"/>
  <c r="CJ123" i="50"/>
  <c r="CI123" i="50"/>
  <c r="CH123" i="50"/>
  <c r="CE123" i="50"/>
  <c r="CD123" i="50"/>
  <c r="CC123" i="50"/>
  <c r="CB123" i="50"/>
  <c r="CA123" i="50"/>
  <c r="BZ123" i="50" s="1"/>
  <c r="BW123" i="50"/>
  <c r="BV123" i="50"/>
  <c r="BU123" i="50"/>
  <c r="BT123" i="50"/>
  <c r="BS123" i="50"/>
  <c r="BR123" i="50"/>
  <c r="BO123" i="50"/>
  <c r="BN123" i="50"/>
  <c r="BM123" i="50"/>
  <c r="BL123" i="50"/>
  <c r="BK123" i="50"/>
  <c r="BG123" i="50"/>
  <c r="BF123" i="50"/>
  <c r="BE123" i="50"/>
  <c r="BD123" i="50"/>
  <c r="BC123" i="50"/>
  <c r="BB123" i="50"/>
  <c r="AS123" i="50"/>
  <c r="U123" i="50"/>
  <c r="M123" i="50"/>
  <c r="H123" i="50"/>
  <c r="E123" i="50"/>
  <c r="CW122" i="50"/>
  <c r="CO122" i="50"/>
  <c r="CG122" i="50"/>
  <c r="BY122" i="50"/>
  <c r="BQ122" i="50"/>
  <c r="BI122" i="50"/>
  <c r="BA122" i="50"/>
  <c r="AK122" i="50"/>
  <c r="U122" i="50"/>
  <c r="J122" i="50"/>
  <c r="I122" i="50"/>
  <c r="G122" i="50"/>
  <c r="F122" i="50"/>
  <c r="E122" i="50" s="1"/>
  <c r="D122" i="50"/>
  <c r="DC121" i="50"/>
  <c r="DB121" i="50"/>
  <c r="DA121" i="50"/>
  <c r="CZ121" i="50"/>
  <c r="CY121" i="50"/>
  <c r="CX121" i="50"/>
  <c r="CU121" i="50"/>
  <c r="CT121" i="50"/>
  <c r="CS121" i="50"/>
  <c r="CR121" i="50"/>
  <c r="CP121" i="50" s="1"/>
  <c r="CQ121" i="50"/>
  <c r="CM121" i="50"/>
  <c r="CL121" i="50"/>
  <c r="CK121" i="50"/>
  <c r="CJ121" i="50"/>
  <c r="CI121" i="50"/>
  <c r="CH121" i="50"/>
  <c r="CE121" i="50"/>
  <c r="CD121" i="50"/>
  <c r="CC121" i="50"/>
  <c r="CB121" i="50"/>
  <c r="BZ121" i="50" s="1"/>
  <c r="CA121" i="50"/>
  <c r="BW121" i="50"/>
  <c r="BV121" i="50"/>
  <c r="BU121" i="50"/>
  <c r="BT121" i="50"/>
  <c r="BS121" i="50"/>
  <c r="BR121" i="50"/>
  <c r="BO121" i="50"/>
  <c r="BN121" i="50"/>
  <c r="BM121" i="50"/>
  <c r="BL121" i="50"/>
  <c r="BJ121" i="50" s="1"/>
  <c r="BK121" i="50"/>
  <c r="BG121" i="50"/>
  <c r="AS121" i="50"/>
  <c r="AK121" i="50"/>
  <c r="H121" i="50"/>
  <c r="E121" i="50"/>
  <c r="DC120" i="50"/>
  <c r="DB120" i="50"/>
  <c r="DB119" i="50" s="1"/>
  <c r="DA120" i="50"/>
  <c r="CZ120" i="50"/>
  <c r="CY120" i="50"/>
  <c r="CX120" i="50"/>
  <c r="CU120" i="50"/>
  <c r="CT120" i="50"/>
  <c r="CS120" i="50"/>
  <c r="CR120" i="50"/>
  <c r="CQ120" i="50"/>
  <c r="CP120" i="50" s="1"/>
  <c r="CM120" i="50"/>
  <c r="CL120" i="50"/>
  <c r="CL119" i="50" s="1"/>
  <c r="CK120" i="50"/>
  <c r="CJ120" i="50"/>
  <c r="CI120" i="50"/>
  <c r="CH120" i="50"/>
  <c r="CE120" i="50"/>
  <c r="CD120" i="50"/>
  <c r="CC120" i="50"/>
  <c r="CB120" i="50"/>
  <c r="CB119" i="50" s="1"/>
  <c r="CA120" i="50"/>
  <c r="BZ120" i="50" s="1"/>
  <c r="BW120" i="50"/>
  <c r="BV120" i="50"/>
  <c r="BV119" i="50" s="1"/>
  <c r="BU120" i="50"/>
  <c r="BT120" i="50"/>
  <c r="BS120" i="50"/>
  <c r="BR120" i="50"/>
  <c r="BO120" i="50"/>
  <c r="BN120" i="50"/>
  <c r="BM120" i="50"/>
  <c r="BL120" i="50"/>
  <c r="BK120" i="50"/>
  <c r="BG120" i="50"/>
  <c r="AS120" i="50"/>
  <c r="AK120" i="50"/>
  <c r="AC120" i="50"/>
  <c r="U120" i="50"/>
  <c r="M120" i="50"/>
  <c r="H120" i="50"/>
  <c r="E120" i="50"/>
  <c r="DC119" i="50"/>
  <c r="DA119" i="50"/>
  <c r="CZ119" i="50"/>
  <c r="CY119" i="50"/>
  <c r="CX119" i="50"/>
  <c r="CW119" i="50"/>
  <c r="CU119" i="50"/>
  <c r="CT119" i="50"/>
  <c r="CS119" i="50"/>
  <c r="CR119" i="50"/>
  <c r="CQ119" i="50"/>
  <c r="CO119" i="50"/>
  <c r="CM119" i="50"/>
  <c r="CK119" i="50"/>
  <c r="CJ119" i="50"/>
  <c r="CI119" i="50"/>
  <c r="CH119" i="50" s="1"/>
  <c r="CG119" i="50"/>
  <c r="CE119" i="50"/>
  <c r="CD119" i="50"/>
  <c r="CC119" i="50"/>
  <c r="CA119" i="50"/>
  <c r="BZ119" i="50"/>
  <c r="BY119" i="50"/>
  <c r="BW119" i="50"/>
  <c r="BU119" i="50"/>
  <c r="BT119" i="50"/>
  <c r="BS119" i="50"/>
  <c r="BR119" i="50"/>
  <c r="BQ119" i="50"/>
  <c r="BO119" i="50"/>
  <c r="BN119" i="50"/>
  <c r="BM119" i="50"/>
  <c r="BL119" i="50"/>
  <c r="BK119" i="50"/>
  <c r="BI119" i="50"/>
  <c r="BG119" i="50"/>
  <c r="BA119" i="50"/>
  <c r="AS119" i="50"/>
  <c r="AK119" i="50"/>
  <c r="AC119" i="50"/>
  <c r="M119" i="50"/>
  <c r="J119" i="50"/>
  <c r="I119" i="50"/>
  <c r="H119" i="50"/>
  <c r="G119" i="50"/>
  <c r="F119" i="50"/>
  <c r="E119" i="50"/>
  <c r="D119" i="50"/>
  <c r="DC118" i="50"/>
  <c r="DB118" i="50"/>
  <c r="DA118" i="50"/>
  <c r="CZ118" i="50"/>
  <c r="CY118" i="50"/>
  <c r="CU118" i="50"/>
  <c r="CT118" i="50"/>
  <c r="CS118" i="50"/>
  <c r="CR118" i="50"/>
  <c r="CQ118" i="50"/>
  <c r="CP118" i="50"/>
  <c r="CM118" i="50"/>
  <c r="CL118" i="50"/>
  <c r="CK118" i="50"/>
  <c r="CJ118" i="50"/>
  <c r="CI118" i="50"/>
  <c r="CH118" i="50" s="1"/>
  <c r="CE118" i="50"/>
  <c r="CD118" i="50"/>
  <c r="CC118" i="50"/>
  <c r="CB118" i="50"/>
  <c r="CA118" i="50"/>
  <c r="BZ118" i="50"/>
  <c r="BW118" i="50"/>
  <c r="BV118" i="50"/>
  <c r="BU118" i="50"/>
  <c r="BT118" i="50"/>
  <c r="BS118" i="50"/>
  <c r="BR118" i="50" s="1"/>
  <c r="BO118" i="50"/>
  <c r="BN118" i="50"/>
  <c r="BM118" i="50"/>
  <c r="BL118" i="50"/>
  <c r="BK118" i="50"/>
  <c r="BJ118" i="50"/>
  <c r="BG118" i="50"/>
  <c r="BF118" i="50"/>
  <c r="BE118" i="50"/>
  <c r="BD118" i="50"/>
  <c r="BC118" i="50"/>
  <c r="AK118" i="50"/>
  <c r="H118" i="50"/>
  <c r="E118" i="50"/>
  <c r="DF116" i="50"/>
  <c r="DC116" i="50"/>
  <c r="DB116" i="50"/>
  <c r="DA116" i="50"/>
  <c r="CZ116" i="50"/>
  <c r="CX116" i="50" s="1"/>
  <c r="CY116" i="50"/>
  <c r="CU116" i="50"/>
  <c r="CT116" i="50"/>
  <c r="CS116" i="50"/>
  <c r="CR116" i="50"/>
  <c r="CQ116" i="50"/>
  <c r="CP116" i="50"/>
  <c r="CM116" i="50"/>
  <c r="CL116" i="50"/>
  <c r="CK116" i="50"/>
  <c r="CJ116" i="50"/>
  <c r="CH116" i="50" s="1"/>
  <c r="CI116" i="50"/>
  <c r="CE116" i="50"/>
  <c r="CD116" i="50"/>
  <c r="CD114" i="50" s="1"/>
  <c r="CC116" i="50"/>
  <c r="CB116" i="50"/>
  <c r="CA116" i="50"/>
  <c r="BZ116" i="50"/>
  <c r="BW116" i="50"/>
  <c r="BV116" i="50"/>
  <c r="BU116" i="50"/>
  <c r="BT116" i="50"/>
  <c r="BR116" i="50" s="1"/>
  <c r="BS116" i="50"/>
  <c r="BO116" i="50"/>
  <c r="BN116" i="50"/>
  <c r="BM116" i="50"/>
  <c r="BL116" i="50"/>
  <c r="BK116" i="50"/>
  <c r="BJ116" i="50"/>
  <c r="BG116" i="50"/>
  <c r="BF116" i="50"/>
  <c r="BE116" i="50"/>
  <c r="BD116" i="50"/>
  <c r="BB116" i="50" s="1"/>
  <c r="BC116" i="50"/>
  <c r="AS116" i="50"/>
  <c r="Y116" i="50"/>
  <c r="V116" i="50"/>
  <c r="H116" i="50"/>
  <c r="E116" i="50"/>
  <c r="DC115" i="50"/>
  <c r="DB115" i="50"/>
  <c r="DA115" i="50"/>
  <c r="CZ115" i="50"/>
  <c r="CZ114" i="50" s="1"/>
  <c r="CY115" i="50"/>
  <c r="CX115" i="50" s="1"/>
  <c r="CU115" i="50"/>
  <c r="CT115" i="50"/>
  <c r="CS115" i="50"/>
  <c r="CR115" i="50"/>
  <c r="CQ115" i="50"/>
  <c r="CP115" i="50"/>
  <c r="CM115" i="50"/>
  <c r="CL115" i="50"/>
  <c r="CK115" i="50"/>
  <c r="CJ115" i="50"/>
  <c r="CI115" i="50"/>
  <c r="CH115" i="50" s="1"/>
  <c r="CE115" i="50"/>
  <c r="CD115" i="50"/>
  <c r="CC115" i="50"/>
  <c r="CB115" i="50"/>
  <c r="CA115" i="50"/>
  <c r="BZ115" i="50"/>
  <c r="BW115" i="50"/>
  <c r="BV115" i="50"/>
  <c r="BU115" i="50"/>
  <c r="BT115" i="50"/>
  <c r="BT114" i="50" s="1"/>
  <c r="BS115" i="50"/>
  <c r="BO115" i="50"/>
  <c r="BN115" i="50"/>
  <c r="BN114" i="50" s="1"/>
  <c r="BI114" i="50" s="1"/>
  <c r="BI100" i="50" s="1"/>
  <c r="BI99" i="50" s="1"/>
  <c r="BM115" i="50"/>
  <c r="BL115" i="50"/>
  <c r="BK115" i="50"/>
  <c r="BJ115" i="50"/>
  <c r="BG115" i="50"/>
  <c r="BF115" i="50"/>
  <c r="BE115" i="50"/>
  <c r="BD115" i="50"/>
  <c r="BD114" i="50" s="1"/>
  <c r="BC115" i="50"/>
  <c r="AS115" i="50"/>
  <c r="V115" i="50"/>
  <c r="H115" i="50"/>
  <c r="E115" i="50"/>
  <c r="DC114" i="50"/>
  <c r="DB114" i="50"/>
  <c r="DA114" i="50"/>
  <c r="CY114" i="50"/>
  <c r="CX114" i="50"/>
  <c r="CU114" i="50"/>
  <c r="CT114" i="50"/>
  <c r="CS114" i="50"/>
  <c r="CR114" i="50"/>
  <c r="CP114" i="50" s="1"/>
  <c r="CQ114" i="50"/>
  <c r="CO114" i="50"/>
  <c r="CM114" i="50"/>
  <c r="CL114" i="50"/>
  <c r="CK114" i="50"/>
  <c r="CJ114" i="50"/>
  <c r="CI114" i="50"/>
  <c r="CE114" i="50"/>
  <c r="CC114" i="50"/>
  <c r="CB114" i="50"/>
  <c r="CA114" i="50"/>
  <c r="BW114" i="50"/>
  <c r="BV114" i="50"/>
  <c r="BU114" i="50"/>
  <c r="BS114" i="50"/>
  <c r="BR114" i="50"/>
  <c r="BO114" i="50"/>
  <c r="BM114" i="50"/>
  <c r="BL114" i="50"/>
  <c r="BJ114" i="50" s="1"/>
  <c r="BK114" i="50"/>
  <c r="BG114" i="50"/>
  <c r="BF114" i="50"/>
  <c r="BE114" i="50"/>
  <c r="BC114" i="50"/>
  <c r="Z114" i="50"/>
  <c r="Y114" i="50"/>
  <c r="X114" i="50"/>
  <c r="W114" i="50"/>
  <c r="V114" i="50" s="1"/>
  <c r="J114" i="50"/>
  <c r="I114" i="50"/>
  <c r="H114" i="50"/>
  <c r="G114" i="50"/>
  <c r="F114" i="50"/>
  <c r="E114" i="50"/>
  <c r="CW113" i="50"/>
  <c r="CO113" i="50"/>
  <c r="CG113" i="50"/>
  <c r="BY113" i="50"/>
  <c r="BQ113" i="50"/>
  <c r="BI113" i="50"/>
  <c r="BA113" i="50"/>
  <c r="AS113" i="50"/>
  <c r="AK113" i="50"/>
  <c r="U113" i="50"/>
  <c r="M113" i="50"/>
  <c r="D113" i="50"/>
  <c r="DC112" i="50"/>
  <c r="DB112" i="50"/>
  <c r="DA112" i="50"/>
  <c r="CZ112" i="50"/>
  <c r="CY112" i="50"/>
  <c r="CX112" i="50" s="1"/>
  <c r="CU112" i="50"/>
  <c r="CT112" i="50"/>
  <c r="CS112" i="50"/>
  <c r="CR112" i="50"/>
  <c r="CQ112" i="50"/>
  <c r="CP112" i="50" s="1"/>
  <c r="CM112" i="50"/>
  <c r="CL112" i="50"/>
  <c r="CK112" i="50"/>
  <c r="CJ112" i="50"/>
  <c r="CI112" i="50"/>
  <c r="CH112" i="50"/>
  <c r="CE112" i="50"/>
  <c r="CD112" i="50"/>
  <c r="CC112" i="50"/>
  <c r="CB112" i="50"/>
  <c r="CA112" i="50"/>
  <c r="BZ112" i="50" s="1"/>
  <c r="BW112" i="50"/>
  <c r="BV112" i="50"/>
  <c r="BU112" i="50"/>
  <c r="BT112" i="50"/>
  <c r="BS112" i="50"/>
  <c r="BR112" i="50"/>
  <c r="BO112" i="50"/>
  <c r="BN112" i="50"/>
  <c r="BM112" i="50"/>
  <c r="BL112" i="50"/>
  <c r="BK112" i="50"/>
  <c r="BJ112" i="50" s="1"/>
  <c r="BG112" i="50"/>
  <c r="BF112" i="50"/>
  <c r="BE112" i="50"/>
  <c r="BD112" i="50"/>
  <c r="BC112" i="50"/>
  <c r="BB112" i="50"/>
  <c r="AS112" i="50"/>
  <c r="AK112" i="50"/>
  <c r="AC112" i="50"/>
  <c r="U112" i="50"/>
  <c r="M112" i="50"/>
  <c r="H112" i="50"/>
  <c r="E112" i="50"/>
  <c r="DC111" i="50"/>
  <c r="DB111" i="50"/>
  <c r="DA111" i="50"/>
  <c r="CZ111" i="50"/>
  <c r="CY111" i="50"/>
  <c r="CU111" i="50"/>
  <c r="CT111" i="50"/>
  <c r="CT106" i="50" s="1"/>
  <c r="CS111" i="50"/>
  <c r="CR111" i="50"/>
  <c r="CQ111" i="50"/>
  <c r="CP111" i="50"/>
  <c r="CM111" i="50"/>
  <c r="CL111" i="50"/>
  <c r="CK111" i="50"/>
  <c r="CJ111" i="50"/>
  <c r="CI111" i="50"/>
  <c r="CE111" i="50"/>
  <c r="CD111" i="50"/>
  <c r="CC111" i="50"/>
  <c r="CB111" i="50"/>
  <c r="CA111" i="50"/>
  <c r="BZ111" i="50"/>
  <c r="BW111" i="50"/>
  <c r="BV111" i="50"/>
  <c r="BU111" i="50"/>
  <c r="BT111" i="50"/>
  <c r="BS111" i="50"/>
  <c r="BR111" i="50" s="1"/>
  <c r="BO111" i="50"/>
  <c r="BN111" i="50"/>
  <c r="BM111" i="50"/>
  <c r="BL111" i="50"/>
  <c r="BK111" i="50"/>
  <c r="BJ111" i="50"/>
  <c r="BG111" i="50"/>
  <c r="BF111" i="50"/>
  <c r="BE111" i="50"/>
  <c r="BD111" i="50"/>
  <c r="BC111" i="50"/>
  <c r="AS111" i="50"/>
  <c r="AK111" i="50"/>
  <c r="AC111" i="50"/>
  <c r="U111" i="50"/>
  <c r="M111" i="50"/>
  <c r="H111" i="50"/>
  <c r="E111" i="50"/>
  <c r="DC110" i="50"/>
  <c r="DB110" i="50"/>
  <c r="DA110" i="50"/>
  <c r="CZ110" i="50"/>
  <c r="CY110" i="50"/>
  <c r="CX110" i="50" s="1"/>
  <c r="CU110" i="50"/>
  <c r="CT110" i="50"/>
  <c r="CS110" i="50"/>
  <c r="CS106" i="50" s="1"/>
  <c r="CR110" i="50"/>
  <c r="CQ110" i="50"/>
  <c r="CP110" i="50"/>
  <c r="CM110" i="50"/>
  <c r="CM106" i="50" s="1"/>
  <c r="CL110" i="50"/>
  <c r="CK110" i="50"/>
  <c r="CJ110" i="50"/>
  <c r="CI110" i="50"/>
  <c r="CE110" i="50"/>
  <c r="CD110" i="50"/>
  <c r="CC110" i="50"/>
  <c r="CC106" i="50" s="1"/>
  <c r="CB110" i="50"/>
  <c r="CA110" i="50"/>
  <c r="BZ110" i="50"/>
  <c r="BW110" i="50"/>
  <c r="BV110" i="50"/>
  <c r="BU110" i="50"/>
  <c r="BT110" i="50"/>
  <c r="BS110" i="50"/>
  <c r="BR110" i="50" s="1"/>
  <c r="BO110" i="50"/>
  <c r="BN110" i="50"/>
  <c r="BM110" i="50"/>
  <c r="BM106" i="50" s="1"/>
  <c r="BL110" i="50"/>
  <c r="BK110" i="50"/>
  <c r="BJ110" i="50"/>
  <c r="BG110" i="50"/>
  <c r="BG106" i="50" s="1"/>
  <c r="BF110" i="50"/>
  <c r="BE110" i="50"/>
  <c r="BD110" i="50"/>
  <c r="BC110" i="50"/>
  <c r="H110" i="50"/>
  <c r="H106" i="50" s="1"/>
  <c r="E110" i="50"/>
  <c r="DC109" i="50"/>
  <c r="DB109" i="50"/>
  <c r="DA109" i="50"/>
  <c r="DA106" i="50" s="1"/>
  <c r="CZ109" i="50"/>
  <c r="CY109" i="50"/>
  <c r="CX109" i="50"/>
  <c r="CU109" i="50"/>
  <c r="CU106" i="50" s="1"/>
  <c r="CT109" i="50"/>
  <c r="CS109" i="50"/>
  <c r="CR109" i="50"/>
  <c r="CQ109" i="50"/>
  <c r="CM109" i="50"/>
  <c r="CL109" i="50"/>
  <c r="CK109" i="50"/>
  <c r="CJ109" i="50"/>
  <c r="CI109" i="50"/>
  <c r="CH109" i="50"/>
  <c r="CE109" i="50"/>
  <c r="CE106" i="50" s="1"/>
  <c r="CD109" i="50"/>
  <c r="CC109" i="50"/>
  <c r="CB109" i="50"/>
  <c r="CA109" i="50"/>
  <c r="BW109" i="50"/>
  <c r="BV109" i="50"/>
  <c r="BU109" i="50"/>
  <c r="BU106" i="50" s="1"/>
  <c r="BT109" i="50"/>
  <c r="BS109" i="50"/>
  <c r="BR109" i="50"/>
  <c r="BO109" i="50"/>
  <c r="BO106" i="50" s="1"/>
  <c r="BN109" i="50"/>
  <c r="BM109" i="50"/>
  <c r="BL109" i="50"/>
  <c r="BK109" i="50"/>
  <c r="BG109" i="50"/>
  <c r="BF109" i="50"/>
  <c r="BE109" i="50"/>
  <c r="BE106" i="50" s="1"/>
  <c r="BD109" i="50"/>
  <c r="BC109" i="50"/>
  <c r="BB109" i="50"/>
  <c r="AS109" i="50"/>
  <c r="AK109" i="50"/>
  <c r="AC109" i="50"/>
  <c r="U109" i="50"/>
  <c r="M109" i="50"/>
  <c r="H109" i="50"/>
  <c r="E109" i="50"/>
  <c r="DC108" i="50"/>
  <c r="DB108" i="50"/>
  <c r="DA108" i="50"/>
  <c r="CZ108" i="50"/>
  <c r="CY108" i="50"/>
  <c r="CU108" i="50"/>
  <c r="CT108" i="50"/>
  <c r="CS108" i="50"/>
  <c r="CR108" i="50"/>
  <c r="CQ108" i="50"/>
  <c r="CP108" i="50"/>
  <c r="CM108" i="50"/>
  <c r="CL108" i="50"/>
  <c r="CK108" i="50"/>
  <c r="CJ108" i="50"/>
  <c r="CI108" i="50"/>
  <c r="CE108" i="50"/>
  <c r="CD108" i="50"/>
  <c r="CD106" i="50" s="1"/>
  <c r="CC108" i="50"/>
  <c r="CB108" i="50"/>
  <c r="CA108" i="50"/>
  <c r="BZ108" i="50"/>
  <c r="BW108" i="50"/>
  <c r="BV108" i="50"/>
  <c r="BU108" i="50"/>
  <c r="BT108" i="50"/>
  <c r="BT106" i="50" s="1"/>
  <c r="BS108" i="50"/>
  <c r="BO108" i="50"/>
  <c r="BN108" i="50"/>
  <c r="BN106" i="50" s="1"/>
  <c r="BM108" i="50"/>
  <c r="BL108" i="50"/>
  <c r="BK108" i="50"/>
  <c r="BJ108" i="50"/>
  <c r="BG108" i="50"/>
  <c r="BF108" i="50"/>
  <c r="BE108" i="50"/>
  <c r="BD108" i="50"/>
  <c r="BD106" i="50" s="1"/>
  <c r="BC108" i="50"/>
  <c r="AS108" i="50"/>
  <c r="AK108" i="50"/>
  <c r="AC108" i="50"/>
  <c r="U108" i="50"/>
  <c r="M108" i="50"/>
  <c r="H108" i="50"/>
  <c r="E108" i="50"/>
  <c r="DC106" i="50"/>
  <c r="DB106" i="50"/>
  <c r="CY106" i="50"/>
  <c r="CW106" i="50"/>
  <c r="CR106" i="50"/>
  <c r="CO106" i="50"/>
  <c r="CL106" i="50"/>
  <c r="CK106" i="50"/>
  <c r="CG106" i="50"/>
  <c r="CB106" i="50"/>
  <c r="BY106" i="50"/>
  <c r="BW106" i="50"/>
  <c r="BV106" i="50"/>
  <c r="BS106" i="50"/>
  <c r="BR106" i="50" s="1"/>
  <c r="BQ106" i="50"/>
  <c r="BL106" i="50"/>
  <c r="BI106" i="50"/>
  <c r="BF106" i="50"/>
  <c r="BA106" i="50"/>
  <c r="AS106" i="50"/>
  <c r="U106" i="50"/>
  <c r="M106" i="50"/>
  <c r="J106" i="50"/>
  <c r="I106" i="50"/>
  <c r="G106" i="50"/>
  <c r="F106" i="50"/>
  <c r="E106" i="50" s="1"/>
  <c r="D106" i="50"/>
  <c r="DC105" i="50"/>
  <c r="DB105" i="50"/>
  <c r="DA105" i="50"/>
  <c r="CZ105" i="50"/>
  <c r="CY105" i="50"/>
  <c r="CX105" i="50"/>
  <c r="CU105" i="50"/>
  <c r="CT105" i="50"/>
  <c r="CS105" i="50"/>
  <c r="CR105" i="50"/>
  <c r="CP105" i="50" s="1"/>
  <c r="CQ105" i="50"/>
  <c r="CM105" i="50"/>
  <c r="CL105" i="50"/>
  <c r="CK105" i="50"/>
  <c r="CJ105" i="50"/>
  <c r="CI105" i="50"/>
  <c r="CH105" i="50"/>
  <c r="CE105" i="50"/>
  <c r="CD105" i="50"/>
  <c r="CC105" i="50"/>
  <c r="CB105" i="50"/>
  <c r="CA105" i="50"/>
  <c r="BW105" i="50"/>
  <c r="BV105" i="50"/>
  <c r="BU105" i="50"/>
  <c r="BT105" i="50"/>
  <c r="BS105" i="50"/>
  <c r="BR105" i="50"/>
  <c r="BO105" i="50"/>
  <c r="BN105" i="50"/>
  <c r="BM105" i="50"/>
  <c r="BL105" i="50"/>
  <c r="BJ105" i="50" s="1"/>
  <c r="BK105" i="50"/>
  <c r="BG105" i="50"/>
  <c r="BF105" i="50"/>
  <c r="BE105" i="50"/>
  <c r="BD105" i="50"/>
  <c r="BC105" i="50"/>
  <c r="BB105" i="50"/>
  <c r="AS105" i="50"/>
  <c r="AK105" i="50"/>
  <c r="AC105" i="50"/>
  <c r="U105" i="50"/>
  <c r="M105" i="50"/>
  <c r="H105" i="50"/>
  <c r="E105" i="50"/>
  <c r="DC104" i="50"/>
  <c r="DB104" i="50"/>
  <c r="DA104" i="50"/>
  <c r="CZ104" i="50"/>
  <c r="CY104" i="50"/>
  <c r="CX104" i="50"/>
  <c r="CU104" i="50"/>
  <c r="CT104" i="50"/>
  <c r="CS104" i="50"/>
  <c r="CR104" i="50"/>
  <c r="CQ104" i="50"/>
  <c r="CP104" i="50" s="1"/>
  <c r="CM104" i="50"/>
  <c r="CL104" i="50"/>
  <c r="CK104" i="50"/>
  <c r="CJ104" i="50"/>
  <c r="CI104" i="50"/>
  <c r="CH104" i="50"/>
  <c r="CE104" i="50"/>
  <c r="CD104" i="50"/>
  <c r="CC104" i="50"/>
  <c r="CB104" i="50"/>
  <c r="CA104" i="50"/>
  <c r="BZ104" i="50" s="1"/>
  <c r="BW104" i="50"/>
  <c r="BV104" i="50"/>
  <c r="BU104" i="50"/>
  <c r="BT104" i="50"/>
  <c r="BS104" i="50"/>
  <c r="BR104" i="50" s="1"/>
  <c r="BO104" i="50"/>
  <c r="BN104" i="50"/>
  <c r="BM104" i="50"/>
  <c r="BL104" i="50"/>
  <c r="BK104" i="50"/>
  <c r="BG104" i="50"/>
  <c r="BF104" i="50"/>
  <c r="BE104" i="50"/>
  <c r="BD104" i="50"/>
  <c r="BC104" i="50"/>
  <c r="BB104" i="50" s="1"/>
  <c r="AS104" i="50"/>
  <c r="AK104" i="50"/>
  <c r="AC104" i="50"/>
  <c r="U104" i="50"/>
  <c r="M104" i="50"/>
  <c r="H104" i="50"/>
  <c r="E104" i="50"/>
  <c r="DC103" i="50"/>
  <c r="DB103" i="50"/>
  <c r="DA103" i="50"/>
  <c r="CZ103" i="50"/>
  <c r="CY103" i="50"/>
  <c r="CU103" i="50"/>
  <c r="CT103" i="50"/>
  <c r="CS103" i="50"/>
  <c r="CR103" i="50"/>
  <c r="CQ103" i="50"/>
  <c r="CP103" i="50"/>
  <c r="CM103" i="50"/>
  <c r="CL103" i="50"/>
  <c r="CK103" i="50"/>
  <c r="CJ103" i="50"/>
  <c r="CH103" i="50" s="1"/>
  <c r="CI103" i="50"/>
  <c r="CE103" i="50"/>
  <c r="CD103" i="50"/>
  <c r="CC103" i="50"/>
  <c r="CB103" i="50"/>
  <c r="CA103" i="50"/>
  <c r="BZ103" i="50"/>
  <c r="BW103" i="50"/>
  <c r="BV103" i="50"/>
  <c r="BU103" i="50"/>
  <c r="BT103" i="50"/>
  <c r="BR103" i="50" s="1"/>
  <c r="BS103" i="50"/>
  <c r="BO103" i="50"/>
  <c r="BN103" i="50"/>
  <c r="BM103" i="50"/>
  <c r="BL103" i="50"/>
  <c r="BK103" i="50"/>
  <c r="BJ103" i="50"/>
  <c r="BG103" i="50"/>
  <c r="BF103" i="50"/>
  <c r="BE103" i="50"/>
  <c r="BD103" i="50"/>
  <c r="BB103" i="50" s="1"/>
  <c r="BC103" i="50"/>
  <c r="AS103" i="50"/>
  <c r="AK103" i="50"/>
  <c r="AC103" i="50"/>
  <c r="U103" i="50"/>
  <c r="M103" i="50"/>
  <c r="H103" i="50"/>
  <c r="E103" i="50"/>
  <c r="DC102" i="50"/>
  <c r="DB102" i="50"/>
  <c r="DA102" i="50"/>
  <c r="CZ102" i="50"/>
  <c r="CY102" i="50"/>
  <c r="CX102" i="50" s="1"/>
  <c r="CU102" i="50"/>
  <c r="CT102" i="50"/>
  <c r="CS102" i="50"/>
  <c r="CR102" i="50"/>
  <c r="CQ102" i="50"/>
  <c r="CP102" i="50"/>
  <c r="CM102" i="50"/>
  <c r="CL102" i="50"/>
  <c r="CK102" i="50"/>
  <c r="CJ102" i="50"/>
  <c r="CI102" i="50"/>
  <c r="CH102" i="50" s="1"/>
  <c r="CE102" i="50"/>
  <c r="CD102" i="50"/>
  <c r="CC102" i="50"/>
  <c r="CB102" i="50"/>
  <c r="CA102" i="50"/>
  <c r="BZ102" i="50"/>
  <c r="BW102" i="50"/>
  <c r="BV102" i="50"/>
  <c r="BU102" i="50"/>
  <c r="BT102" i="50"/>
  <c r="BS102" i="50"/>
  <c r="BO102" i="50"/>
  <c r="BN102" i="50"/>
  <c r="BM102" i="50"/>
  <c r="BL102" i="50"/>
  <c r="BK102" i="50"/>
  <c r="BJ102" i="50"/>
  <c r="BG102" i="50"/>
  <c r="BF102" i="50"/>
  <c r="BE102" i="50"/>
  <c r="BD102" i="50"/>
  <c r="BC102" i="50"/>
  <c r="BB102" i="50" s="1"/>
  <c r="AS102" i="50"/>
  <c r="AK102" i="50"/>
  <c r="AC102" i="50"/>
  <c r="U102" i="50"/>
  <c r="M102" i="50"/>
  <c r="H102" i="50"/>
  <c r="H100" i="50" s="1"/>
  <c r="H99" i="50" s="1"/>
  <c r="E102" i="50"/>
  <c r="CO100" i="50"/>
  <c r="J100" i="50"/>
  <c r="G100" i="50"/>
  <c r="F100" i="50"/>
  <c r="E100" i="50" s="1"/>
  <c r="CO99" i="50"/>
  <c r="J99" i="50"/>
  <c r="G99" i="50"/>
  <c r="F99" i="50"/>
  <c r="CX98" i="50"/>
  <c r="CW98" i="50"/>
  <c r="CP98" i="50"/>
  <c r="CO98" i="50"/>
  <c r="CH98" i="50"/>
  <c r="CG98" i="50"/>
  <c r="BZ98" i="50"/>
  <c r="BY98" i="50"/>
  <c r="BR98" i="50"/>
  <c r="BQ98" i="50"/>
  <c r="BJ98" i="50"/>
  <c r="BI98" i="50"/>
  <c r="BB98" i="50"/>
  <c r="BA98" i="50"/>
  <c r="AT98" i="50"/>
  <c r="AS98" i="50"/>
  <c r="AL98" i="50"/>
  <c r="AK98" i="50"/>
  <c r="AD98" i="50"/>
  <c r="AC98" i="50"/>
  <c r="V98" i="50"/>
  <c r="U98" i="50"/>
  <c r="N98" i="50"/>
  <c r="M98" i="50"/>
  <c r="J98" i="50"/>
  <c r="I98" i="50"/>
  <c r="H98" i="50"/>
  <c r="G98" i="50"/>
  <c r="F98" i="50"/>
  <c r="CX97" i="50"/>
  <c r="CW97" i="50"/>
  <c r="CP97" i="50"/>
  <c r="CO97" i="50"/>
  <c r="CH97" i="50"/>
  <c r="CG97" i="50"/>
  <c r="BZ97" i="50"/>
  <c r="BY97" i="50"/>
  <c r="BR97" i="50"/>
  <c r="BQ97" i="50"/>
  <c r="BJ97" i="50"/>
  <c r="BI97" i="50"/>
  <c r="BB97" i="50"/>
  <c r="BA97" i="50"/>
  <c r="AT97" i="50"/>
  <c r="AS97" i="50"/>
  <c r="AL97" i="50"/>
  <c r="AK97" i="50"/>
  <c r="AD97" i="50"/>
  <c r="AC97" i="50"/>
  <c r="V97" i="50"/>
  <c r="U97" i="50"/>
  <c r="N97" i="50"/>
  <c r="M97" i="50"/>
  <c r="J97" i="50"/>
  <c r="I97" i="50"/>
  <c r="H97" i="50"/>
  <c r="G97" i="50"/>
  <c r="F97" i="50"/>
  <c r="E97" i="50"/>
  <c r="CX96" i="50"/>
  <c r="CW96" i="50"/>
  <c r="CP96" i="50"/>
  <c r="CO96" i="50"/>
  <c r="CH96" i="50"/>
  <c r="CG96" i="50"/>
  <c r="BZ96" i="50"/>
  <c r="BY96" i="50"/>
  <c r="BR96" i="50"/>
  <c r="BQ96" i="50"/>
  <c r="BJ96" i="50"/>
  <c r="BI96" i="50"/>
  <c r="BB96" i="50"/>
  <c r="BA96" i="50"/>
  <c r="AT96" i="50"/>
  <c r="AS96" i="50"/>
  <c r="AL96" i="50"/>
  <c r="AK96" i="50"/>
  <c r="AD96" i="50"/>
  <c r="AC96" i="50"/>
  <c r="V96" i="50"/>
  <c r="U96" i="50"/>
  <c r="N96" i="50"/>
  <c r="M96" i="50"/>
  <c r="J96" i="50"/>
  <c r="I96" i="50"/>
  <c r="H96" i="50"/>
  <c r="D96" i="50" s="1"/>
  <c r="G96" i="50"/>
  <c r="E96" i="50" s="1"/>
  <c r="F96" i="50"/>
  <c r="CX95" i="50"/>
  <c r="CW95" i="50"/>
  <c r="CP95" i="50"/>
  <c r="CO95" i="50"/>
  <c r="CH95" i="50"/>
  <c r="CG95" i="50"/>
  <c r="BZ95" i="50"/>
  <c r="BY95" i="50"/>
  <c r="BR95" i="50"/>
  <c r="BQ95" i="50"/>
  <c r="BJ95" i="50"/>
  <c r="BI95" i="50"/>
  <c r="BB95" i="50"/>
  <c r="BA95" i="50"/>
  <c r="AT95" i="50"/>
  <c r="AS95" i="50"/>
  <c r="AL95" i="50"/>
  <c r="AK95" i="50"/>
  <c r="AD95" i="50"/>
  <c r="AC95" i="50"/>
  <c r="V95" i="50"/>
  <c r="U95" i="50"/>
  <c r="N95" i="50"/>
  <c r="M95" i="50"/>
  <c r="J95" i="50"/>
  <c r="I95" i="50"/>
  <c r="H95" i="50"/>
  <c r="G95" i="50"/>
  <c r="F95" i="50"/>
  <c r="DC94" i="50"/>
  <c r="DB94" i="50"/>
  <c r="DA94" i="50"/>
  <c r="CZ94" i="50"/>
  <c r="CY94" i="50"/>
  <c r="CX94" i="50" s="1"/>
  <c r="CU94" i="50"/>
  <c r="CT94" i="50"/>
  <c r="CS94" i="50"/>
  <c r="CR94" i="50"/>
  <c r="CQ94" i="50"/>
  <c r="CP94" i="50" s="1"/>
  <c r="CM94" i="50"/>
  <c r="CL94" i="50"/>
  <c r="CK94" i="50"/>
  <c r="CJ94" i="50"/>
  <c r="CI94" i="50"/>
  <c r="CH94" i="50" s="1"/>
  <c r="CE94" i="50"/>
  <c r="CD94" i="50"/>
  <c r="CC94" i="50"/>
  <c r="CB94" i="50"/>
  <c r="CA94" i="50"/>
  <c r="BZ94" i="50" s="1"/>
  <c r="BW94" i="50"/>
  <c r="BV94" i="50"/>
  <c r="BU94" i="50"/>
  <c r="BT94" i="50"/>
  <c r="BS94" i="50"/>
  <c r="BR94" i="50" s="1"/>
  <c r="BO94" i="50"/>
  <c r="BN94" i="50"/>
  <c r="BM94" i="50"/>
  <c r="BL94" i="50"/>
  <c r="BK94" i="50"/>
  <c r="BJ94" i="50"/>
  <c r="BG94" i="50"/>
  <c r="BF94" i="50"/>
  <c r="BE94" i="50"/>
  <c r="BD94" i="50"/>
  <c r="BC94" i="50"/>
  <c r="BB94" i="50" s="1"/>
  <c r="H94" i="50"/>
  <c r="E94" i="50"/>
  <c r="DC93" i="50"/>
  <c r="DB93" i="50"/>
  <c r="DA93" i="50"/>
  <c r="CZ93" i="50"/>
  <c r="CY93" i="50"/>
  <c r="CX93" i="50" s="1"/>
  <c r="CU93" i="50"/>
  <c r="CT93" i="50"/>
  <c r="CS93" i="50"/>
  <c r="CR93" i="50"/>
  <c r="CQ93" i="50"/>
  <c r="CP93" i="50" s="1"/>
  <c r="CM93" i="50"/>
  <c r="CL93" i="50"/>
  <c r="CK93" i="50"/>
  <c r="CJ93" i="50"/>
  <c r="CI93" i="50"/>
  <c r="CH93" i="50" s="1"/>
  <c r="CE93" i="50"/>
  <c r="CD93" i="50"/>
  <c r="CC93" i="50"/>
  <c r="CB93" i="50"/>
  <c r="CA93" i="50"/>
  <c r="BZ93" i="50" s="1"/>
  <c r="BW93" i="50"/>
  <c r="BV93" i="50"/>
  <c r="BU93" i="50"/>
  <c r="BT93" i="50"/>
  <c r="BS93" i="50"/>
  <c r="BR93" i="50" s="1"/>
  <c r="BO93" i="50"/>
  <c r="BN93" i="50"/>
  <c r="BM93" i="50"/>
  <c r="BL93" i="50"/>
  <c r="BK93" i="50"/>
  <c r="BJ93" i="50" s="1"/>
  <c r="BG93" i="50"/>
  <c r="BF93" i="50"/>
  <c r="BE93" i="50"/>
  <c r="BD93" i="50"/>
  <c r="BC93" i="50"/>
  <c r="BB93" i="50" s="1"/>
  <c r="AS93" i="50"/>
  <c r="AK93" i="50"/>
  <c r="H93" i="50"/>
  <c r="E93" i="50"/>
  <c r="DC92" i="50"/>
  <c r="DB92" i="50"/>
  <c r="DA92" i="50"/>
  <c r="CZ92" i="50"/>
  <c r="CY92" i="50"/>
  <c r="CX92" i="50" s="1"/>
  <c r="CU92" i="50"/>
  <c r="CT92" i="50"/>
  <c r="CS92" i="50"/>
  <c r="CR92" i="50"/>
  <c r="CQ92" i="50"/>
  <c r="CP92" i="50" s="1"/>
  <c r="CM92" i="50"/>
  <c r="CL92" i="50"/>
  <c r="CK92" i="50"/>
  <c r="CJ92" i="50"/>
  <c r="CI92" i="50"/>
  <c r="CH92" i="50" s="1"/>
  <c r="CE92" i="50"/>
  <c r="CD92" i="50"/>
  <c r="CC92" i="50"/>
  <c r="CB92" i="50"/>
  <c r="CA92" i="50"/>
  <c r="BZ92" i="50" s="1"/>
  <c r="BW92" i="50"/>
  <c r="BV92" i="50"/>
  <c r="BU92" i="50"/>
  <c r="BT92" i="50"/>
  <c r="BS92" i="50"/>
  <c r="BR92" i="50" s="1"/>
  <c r="BO92" i="50"/>
  <c r="BN92" i="50"/>
  <c r="BM92" i="50"/>
  <c r="BL92" i="50"/>
  <c r="BK92" i="50"/>
  <c r="BJ92" i="50" s="1"/>
  <c r="BG92" i="50"/>
  <c r="BF92" i="50"/>
  <c r="BE92" i="50"/>
  <c r="BD92" i="50"/>
  <c r="BC92" i="50"/>
  <c r="BB92" i="50" s="1"/>
  <c r="AS92" i="50"/>
  <c r="H92" i="50"/>
  <c r="E92" i="50"/>
  <c r="DC91" i="50"/>
  <c r="DB91" i="50"/>
  <c r="DA91" i="50"/>
  <c r="CZ91" i="50"/>
  <c r="CX91" i="50" s="1"/>
  <c r="CY91" i="50"/>
  <c r="CU91" i="50"/>
  <c r="CT91" i="50"/>
  <c r="CS91" i="50"/>
  <c r="CR91" i="50"/>
  <c r="CQ91" i="50"/>
  <c r="CP91" i="50"/>
  <c r="CM91" i="50"/>
  <c r="CL91" i="50"/>
  <c r="CK91" i="50"/>
  <c r="CJ91" i="50"/>
  <c r="CH91" i="50" s="1"/>
  <c r="CI91" i="50"/>
  <c r="CE91" i="50"/>
  <c r="CD91" i="50"/>
  <c r="CC91" i="50"/>
  <c r="CB91" i="50"/>
  <c r="CA91" i="50"/>
  <c r="BZ91" i="50"/>
  <c r="BW91" i="50"/>
  <c r="BV91" i="50"/>
  <c r="BU91" i="50"/>
  <c r="BT91" i="50"/>
  <c r="BR91" i="50" s="1"/>
  <c r="BS91" i="50"/>
  <c r="BO91" i="50"/>
  <c r="BN91" i="50"/>
  <c r="BM91" i="50"/>
  <c r="BL91" i="50"/>
  <c r="BK91" i="50"/>
  <c r="BJ91" i="50"/>
  <c r="BG91" i="50"/>
  <c r="BF91" i="50"/>
  <c r="BE91" i="50"/>
  <c r="BD91" i="50"/>
  <c r="BB91" i="50" s="1"/>
  <c r="BC91" i="50"/>
  <c r="AS91" i="50"/>
  <c r="AK91" i="50"/>
  <c r="AC91" i="50"/>
  <c r="U91" i="50"/>
  <c r="M91" i="50"/>
  <c r="H91" i="50"/>
  <c r="E91" i="50"/>
  <c r="DC90" i="50"/>
  <c r="DB90" i="50"/>
  <c r="DA90" i="50"/>
  <c r="CZ90" i="50"/>
  <c r="CY90" i="50"/>
  <c r="CX90" i="50" s="1"/>
  <c r="CU90" i="50"/>
  <c r="CT90" i="50"/>
  <c r="CS90" i="50"/>
  <c r="CR90" i="50"/>
  <c r="CQ90" i="50"/>
  <c r="CP90" i="50" s="1"/>
  <c r="CM90" i="50"/>
  <c r="CL90" i="50"/>
  <c r="CK90" i="50"/>
  <c r="CJ90" i="50"/>
  <c r="CI90" i="50"/>
  <c r="CH90" i="50" s="1"/>
  <c r="CE90" i="50"/>
  <c r="CD90" i="50"/>
  <c r="CC90" i="50"/>
  <c r="CB90" i="50"/>
  <c r="CA90" i="50"/>
  <c r="BZ90" i="50" s="1"/>
  <c r="BW90" i="50"/>
  <c r="BV90" i="50"/>
  <c r="BU90" i="50"/>
  <c r="BT90" i="50"/>
  <c r="BS90" i="50"/>
  <c r="BR90" i="50" s="1"/>
  <c r="BO90" i="50"/>
  <c r="BN90" i="50"/>
  <c r="BM90" i="50"/>
  <c r="BL90" i="50"/>
  <c r="BK90" i="50"/>
  <c r="BJ90" i="50" s="1"/>
  <c r="BG90" i="50"/>
  <c r="BF90" i="50"/>
  <c r="BE90" i="50"/>
  <c r="BD90" i="50"/>
  <c r="BC90" i="50"/>
  <c r="BB90" i="50" s="1"/>
  <c r="AS90" i="50"/>
  <c r="H90" i="50"/>
  <c r="E90" i="50"/>
  <c r="DC89" i="50"/>
  <c r="DB89" i="50"/>
  <c r="DA89" i="50"/>
  <c r="CZ89" i="50"/>
  <c r="CY89" i="50"/>
  <c r="CX89" i="50"/>
  <c r="CU89" i="50"/>
  <c r="CT89" i="50"/>
  <c r="CS89" i="50"/>
  <c r="CR89" i="50"/>
  <c r="CQ89" i="50"/>
  <c r="CP89" i="50" s="1"/>
  <c r="CM89" i="50"/>
  <c r="CL89" i="50"/>
  <c r="CK89" i="50"/>
  <c r="CJ89" i="50"/>
  <c r="CI89" i="50"/>
  <c r="CH89" i="50"/>
  <c r="CE89" i="50"/>
  <c r="CD89" i="50"/>
  <c r="CC89" i="50"/>
  <c r="CB89" i="50"/>
  <c r="CA89" i="50"/>
  <c r="BW89" i="50"/>
  <c r="BV89" i="50"/>
  <c r="BU89" i="50"/>
  <c r="BT89" i="50"/>
  <c r="BS89" i="50"/>
  <c r="BR89" i="50"/>
  <c r="BO89" i="50"/>
  <c r="BN89" i="50"/>
  <c r="BM89" i="50"/>
  <c r="BL89" i="50"/>
  <c r="BK89" i="50"/>
  <c r="BJ89" i="50" s="1"/>
  <c r="BG89" i="50"/>
  <c r="BF89" i="50"/>
  <c r="BE89" i="50"/>
  <c r="BD89" i="50"/>
  <c r="BC89" i="50"/>
  <c r="BB89" i="50"/>
  <c r="AS89" i="50"/>
  <c r="H89" i="50"/>
  <c r="E89" i="50"/>
  <c r="DA88" i="50"/>
  <c r="CX88" i="50"/>
  <c r="CS88" i="50"/>
  <c r="CP88" i="50"/>
  <c r="CK88" i="50"/>
  <c r="CH88" i="50"/>
  <c r="CC88" i="50"/>
  <c r="BZ88" i="50"/>
  <c r="BU88" i="50"/>
  <c r="BR88" i="50"/>
  <c r="BM88" i="50"/>
  <c r="BJ88" i="50"/>
  <c r="BE88" i="50"/>
  <c r="BB88" i="50"/>
  <c r="AW88" i="50"/>
  <c r="AT88" i="50"/>
  <c r="AS88" i="50"/>
  <c r="AO88" i="50"/>
  <c r="AL88" i="50"/>
  <c r="AD88" i="50"/>
  <c r="AC88" i="50"/>
  <c r="AG88" i="50" s="1"/>
  <c r="Y88" i="50"/>
  <c r="V88" i="50"/>
  <c r="U88" i="50"/>
  <c r="Q88" i="50"/>
  <c r="N88" i="50"/>
  <c r="H88" i="50"/>
  <c r="E88" i="50"/>
  <c r="DC87" i="50"/>
  <c r="DB87" i="50"/>
  <c r="DA87" i="50"/>
  <c r="CZ87" i="50"/>
  <c r="CY87" i="50"/>
  <c r="CX87" i="50"/>
  <c r="CU87" i="50"/>
  <c r="CT87" i="50"/>
  <c r="CS87" i="50"/>
  <c r="CR87" i="50"/>
  <c r="CQ87" i="50"/>
  <c r="CP87" i="50" s="1"/>
  <c r="CM87" i="50"/>
  <c r="CL87" i="50"/>
  <c r="CK87" i="50"/>
  <c r="CJ87" i="50"/>
  <c r="CI87" i="50"/>
  <c r="CH87" i="50"/>
  <c r="CE87" i="50"/>
  <c r="CD87" i="50"/>
  <c r="CC87" i="50"/>
  <c r="CB87" i="50"/>
  <c r="CA87" i="50"/>
  <c r="BZ87" i="50" s="1"/>
  <c r="BW87" i="50"/>
  <c r="BV87" i="50"/>
  <c r="BU87" i="50"/>
  <c r="BT87" i="50"/>
  <c r="BS87" i="50"/>
  <c r="BR87" i="50"/>
  <c r="BO87" i="50"/>
  <c r="BN87" i="50"/>
  <c r="BM87" i="50"/>
  <c r="BL87" i="50"/>
  <c r="BK87" i="50"/>
  <c r="BG87" i="50"/>
  <c r="BF87" i="50"/>
  <c r="BE87" i="50"/>
  <c r="BD87" i="50"/>
  <c r="BC87" i="50"/>
  <c r="BB87" i="50"/>
  <c r="AS87" i="50"/>
  <c r="AC87" i="50"/>
  <c r="H87" i="50"/>
  <c r="E87" i="50"/>
  <c r="DC86" i="50"/>
  <c r="DB86" i="50"/>
  <c r="DA86" i="50"/>
  <c r="CZ86" i="50"/>
  <c r="CY86" i="50"/>
  <c r="CX86" i="50"/>
  <c r="CU86" i="50"/>
  <c r="CT86" i="50"/>
  <c r="CS86" i="50"/>
  <c r="CR86" i="50"/>
  <c r="CQ86" i="50"/>
  <c r="CM86" i="50"/>
  <c r="CL86" i="50"/>
  <c r="CK86" i="50"/>
  <c r="CJ86" i="50"/>
  <c r="CI86" i="50"/>
  <c r="CH86" i="50"/>
  <c r="CE86" i="50"/>
  <c r="CD86" i="50"/>
  <c r="CC86" i="50"/>
  <c r="CB86" i="50"/>
  <c r="CA86" i="50"/>
  <c r="BZ86" i="50" s="1"/>
  <c r="BW86" i="50"/>
  <c r="BV86" i="50"/>
  <c r="BU86" i="50"/>
  <c r="BT86" i="50"/>
  <c r="BS86" i="50"/>
  <c r="BR86" i="50"/>
  <c r="BO86" i="50"/>
  <c r="BN86" i="50"/>
  <c r="BM86" i="50"/>
  <c r="BL86" i="50"/>
  <c r="BK86" i="50"/>
  <c r="BJ86" i="50" s="1"/>
  <c r="BG86" i="50"/>
  <c r="BF86" i="50"/>
  <c r="BE86" i="50"/>
  <c r="BD86" i="50"/>
  <c r="BC86" i="50"/>
  <c r="BB86" i="50"/>
  <c r="H86" i="50"/>
  <c r="E86" i="50"/>
  <c r="DJ85" i="50"/>
  <c r="CU85" i="50" s="1"/>
  <c r="DI85" i="50"/>
  <c r="CT85" i="50" s="1"/>
  <c r="DG85" i="50"/>
  <c r="DF85" i="50"/>
  <c r="CQ85" i="50" s="1"/>
  <c r="CP85" i="50" s="1"/>
  <c r="DC85" i="50"/>
  <c r="DB85" i="50"/>
  <c r="CZ85" i="50"/>
  <c r="CY85" i="50"/>
  <c r="CX85" i="50"/>
  <c r="CR85" i="50"/>
  <c r="CM85" i="50"/>
  <c r="CL85" i="50"/>
  <c r="CJ85" i="50"/>
  <c r="CI85" i="50"/>
  <c r="CH85" i="50"/>
  <c r="CB85" i="50"/>
  <c r="BW85" i="50"/>
  <c r="BV85" i="50"/>
  <c r="BT85" i="50"/>
  <c r="BS85" i="50"/>
  <c r="BR85" i="50"/>
  <c r="BL85" i="50"/>
  <c r="BG85" i="50"/>
  <c r="BF85" i="50"/>
  <c r="BD85" i="50"/>
  <c r="BC85" i="50"/>
  <c r="BB85" i="50"/>
  <c r="U85" i="50"/>
  <c r="H85" i="50"/>
  <c r="DH85" i="50" s="1"/>
  <c r="E85" i="50"/>
  <c r="DC84" i="50"/>
  <c r="DB84" i="50"/>
  <c r="DA84" i="50"/>
  <c r="CZ84" i="50"/>
  <c r="CY84" i="50"/>
  <c r="CX84" i="50"/>
  <c r="CU84" i="50"/>
  <c r="CT84" i="50"/>
  <c r="CS84" i="50"/>
  <c r="CR84" i="50"/>
  <c r="CQ84" i="50"/>
  <c r="CM84" i="50"/>
  <c r="CL84" i="50"/>
  <c r="CK84" i="50"/>
  <c r="CJ84" i="50"/>
  <c r="CI84" i="50"/>
  <c r="CH84" i="50"/>
  <c r="CE84" i="50"/>
  <c r="CD84" i="50"/>
  <c r="CC84" i="50"/>
  <c r="CB84" i="50"/>
  <c r="CA84" i="50"/>
  <c r="BZ84" i="50" s="1"/>
  <c r="BW84" i="50"/>
  <c r="BV84" i="50"/>
  <c r="BU84" i="50"/>
  <c r="BT84" i="50"/>
  <c r="BS84" i="50"/>
  <c r="BR84" i="50"/>
  <c r="BO84" i="50"/>
  <c r="BN84" i="50"/>
  <c r="BM84" i="50"/>
  <c r="BL84" i="50"/>
  <c r="BK84" i="50"/>
  <c r="BG84" i="50"/>
  <c r="BF84" i="50"/>
  <c r="BE84" i="50"/>
  <c r="BD84" i="50"/>
  <c r="BC84" i="50"/>
  <c r="BB84" i="50"/>
  <c r="AS84" i="50"/>
  <c r="AK84" i="50"/>
  <c r="U84" i="50"/>
  <c r="H84" i="50"/>
  <c r="E84" i="50"/>
  <c r="DC83" i="50"/>
  <c r="DB83" i="50"/>
  <c r="DA83" i="50"/>
  <c r="CZ83" i="50"/>
  <c r="CY83" i="50"/>
  <c r="CX83" i="50"/>
  <c r="CU83" i="50"/>
  <c r="CT83" i="50"/>
  <c r="CS83" i="50"/>
  <c r="CR83" i="50"/>
  <c r="CP83" i="50" s="1"/>
  <c r="CQ83" i="50"/>
  <c r="CM83" i="50"/>
  <c r="CL83" i="50"/>
  <c r="CK83" i="50"/>
  <c r="CJ83" i="50"/>
  <c r="CI83" i="50"/>
  <c r="CH83" i="50"/>
  <c r="CE83" i="50"/>
  <c r="CD83" i="50"/>
  <c r="CC83" i="50"/>
  <c r="CB83" i="50"/>
  <c r="CA83" i="50"/>
  <c r="BW83" i="50"/>
  <c r="BV83" i="50"/>
  <c r="BU83" i="50"/>
  <c r="BT83" i="50"/>
  <c r="BS83" i="50"/>
  <c r="BO83" i="50"/>
  <c r="BN83" i="50"/>
  <c r="BM83" i="50"/>
  <c r="BL83" i="50"/>
  <c r="BK83" i="50"/>
  <c r="BG83" i="50"/>
  <c r="BF83" i="50"/>
  <c r="BE83" i="50"/>
  <c r="BD83" i="50"/>
  <c r="BC83" i="50"/>
  <c r="H83" i="50"/>
  <c r="DC82" i="50"/>
  <c r="DB82" i="50"/>
  <c r="DB79" i="50" s="1"/>
  <c r="DA82" i="50"/>
  <c r="CZ82" i="50"/>
  <c r="CY82" i="50"/>
  <c r="CX82" i="50"/>
  <c r="CU82" i="50"/>
  <c r="CT82" i="50"/>
  <c r="CS82" i="50"/>
  <c r="CR82" i="50"/>
  <c r="CQ82" i="50"/>
  <c r="CM82" i="50"/>
  <c r="CL82" i="50"/>
  <c r="CK82" i="50"/>
  <c r="CJ82" i="50"/>
  <c r="CI82" i="50"/>
  <c r="CH82" i="50"/>
  <c r="CE82" i="50"/>
  <c r="CD82" i="50"/>
  <c r="CC82" i="50"/>
  <c r="CB82" i="50"/>
  <c r="CA82" i="50"/>
  <c r="BW82" i="50"/>
  <c r="BV82" i="50"/>
  <c r="BU82" i="50"/>
  <c r="BT82" i="50"/>
  <c r="BS82" i="50"/>
  <c r="BR82" i="50"/>
  <c r="BO82" i="50"/>
  <c r="BN82" i="50"/>
  <c r="BM82" i="50"/>
  <c r="BL82" i="50"/>
  <c r="BK82" i="50"/>
  <c r="BG82" i="50"/>
  <c r="BF82" i="50"/>
  <c r="BE82" i="50"/>
  <c r="BD82" i="50"/>
  <c r="BC82" i="50"/>
  <c r="BB82" i="50"/>
  <c r="H82" i="50"/>
  <c r="E82" i="50"/>
  <c r="DC81" i="50"/>
  <c r="DB81" i="50"/>
  <c r="DA81" i="50"/>
  <c r="CZ81" i="50"/>
  <c r="CY81" i="50"/>
  <c r="CU81" i="50"/>
  <c r="CT81" i="50"/>
  <c r="CT79" i="50" s="1"/>
  <c r="CS81" i="50"/>
  <c r="CR81" i="50"/>
  <c r="CQ81" i="50"/>
  <c r="CP81" i="50"/>
  <c r="CM81" i="50"/>
  <c r="CL81" i="50"/>
  <c r="CK81" i="50"/>
  <c r="CJ81" i="50"/>
  <c r="CH81" i="50" s="1"/>
  <c r="CI81" i="50"/>
  <c r="CE81" i="50"/>
  <c r="CD81" i="50"/>
  <c r="CC81" i="50"/>
  <c r="CB81" i="50"/>
  <c r="CA81" i="50"/>
  <c r="BZ81" i="50"/>
  <c r="BW81" i="50"/>
  <c r="BV81" i="50"/>
  <c r="BU81" i="50"/>
  <c r="BT81" i="50"/>
  <c r="BS81" i="50"/>
  <c r="BO81" i="50"/>
  <c r="BN81" i="50"/>
  <c r="BM81" i="50"/>
  <c r="BL81" i="50"/>
  <c r="BK81" i="50"/>
  <c r="BJ81" i="50"/>
  <c r="BG81" i="50"/>
  <c r="BF81" i="50"/>
  <c r="BE81" i="50"/>
  <c r="BD81" i="50"/>
  <c r="BB81" i="50" s="1"/>
  <c r="BC81" i="50"/>
  <c r="AK81" i="50"/>
  <c r="H81" i="50"/>
  <c r="E81" i="50"/>
  <c r="DC80" i="50"/>
  <c r="DC79" i="50" s="1"/>
  <c r="DB80" i="50"/>
  <c r="DA80" i="50"/>
  <c r="CZ80" i="50"/>
  <c r="CY80" i="50"/>
  <c r="CU80" i="50"/>
  <c r="CT80" i="50"/>
  <c r="CS80" i="50"/>
  <c r="CR80" i="50"/>
  <c r="CQ80" i="50"/>
  <c r="CP80" i="50"/>
  <c r="CM80" i="50"/>
  <c r="CM79" i="50" s="1"/>
  <c r="CL80" i="50"/>
  <c r="CK80" i="50"/>
  <c r="CJ80" i="50"/>
  <c r="CI80" i="50"/>
  <c r="CE80" i="50"/>
  <c r="CD80" i="50"/>
  <c r="CC80" i="50"/>
  <c r="CB80" i="50"/>
  <c r="CA80" i="50"/>
  <c r="BZ80" i="50"/>
  <c r="BW80" i="50"/>
  <c r="BW79" i="50" s="1"/>
  <c r="BV80" i="50"/>
  <c r="BU80" i="50"/>
  <c r="BT80" i="50"/>
  <c r="BS80" i="50"/>
  <c r="BO80" i="50"/>
  <c r="BN80" i="50"/>
  <c r="BM80" i="50"/>
  <c r="BL80" i="50"/>
  <c r="BK80" i="50"/>
  <c r="BJ80" i="50"/>
  <c r="BG80" i="50"/>
  <c r="BF80" i="50"/>
  <c r="BE80" i="50"/>
  <c r="BD80" i="50"/>
  <c r="BC80" i="50"/>
  <c r="AS80" i="50"/>
  <c r="H80" i="50"/>
  <c r="E80" i="50"/>
  <c r="CJ79" i="50"/>
  <c r="BV79" i="50"/>
  <c r="BD79" i="50"/>
  <c r="J79" i="50"/>
  <c r="I79" i="50"/>
  <c r="G79" i="50"/>
  <c r="F79" i="50"/>
  <c r="H79" i="50" s="1"/>
  <c r="E79" i="50"/>
  <c r="DC78" i="50"/>
  <c r="DB78" i="50"/>
  <c r="DA78" i="50"/>
  <c r="CZ78" i="50"/>
  <c r="CX78" i="50" s="1"/>
  <c r="CY78" i="50"/>
  <c r="CU78" i="50"/>
  <c r="CT78" i="50"/>
  <c r="CT74" i="50" s="1"/>
  <c r="CS78" i="50"/>
  <c r="CR78" i="50"/>
  <c r="CQ78" i="50"/>
  <c r="CP78" i="50"/>
  <c r="CM78" i="50"/>
  <c r="CL78" i="50"/>
  <c r="CK78" i="50"/>
  <c r="CJ78" i="50"/>
  <c r="CI78" i="50"/>
  <c r="CE78" i="50"/>
  <c r="CD78" i="50"/>
  <c r="CC78" i="50"/>
  <c r="CB78" i="50"/>
  <c r="CA78" i="50"/>
  <c r="BZ78" i="50"/>
  <c r="BW78" i="50"/>
  <c r="BV78" i="50"/>
  <c r="BU78" i="50"/>
  <c r="BT78" i="50"/>
  <c r="BR78" i="50" s="1"/>
  <c r="BS78" i="50"/>
  <c r="BO78" i="50"/>
  <c r="BN78" i="50"/>
  <c r="BM78" i="50"/>
  <c r="BL78" i="50"/>
  <c r="BK78" i="50"/>
  <c r="BJ78" i="50"/>
  <c r="BG78" i="50"/>
  <c r="BF78" i="50"/>
  <c r="BE78" i="50"/>
  <c r="BD78" i="50"/>
  <c r="BC78" i="50"/>
  <c r="AS78" i="50"/>
  <c r="AK78" i="50"/>
  <c r="H78" i="50"/>
  <c r="E78" i="50"/>
  <c r="DC77" i="50"/>
  <c r="DB77" i="50"/>
  <c r="DA77" i="50"/>
  <c r="CZ77" i="50"/>
  <c r="CY77" i="50"/>
  <c r="CU77" i="50"/>
  <c r="CT77" i="50"/>
  <c r="CS77" i="50"/>
  <c r="CR77" i="50"/>
  <c r="CQ77" i="50"/>
  <c r="CP77" i="50"/>
  <c r="CM77" i="50"/>
  <c r="CL77" i="50"/>
  <c r="CK77" i="50"/>
  <c r="CJ77" i="50"/>
  <c r="CI77" i="50"/>
  <c r="CH77" i="50" s="1"/>
  <c r="CE77" i="50"/>
  <c r="CD77" i="50"/>
  <c r="CD74" i="50" s="1"/>
  <c r="CC77" i="50"/>
  <c r="CB77" i="50"/>
  <c r="CA77" i="50"/>
  <c r="BZ77" i="50"/>
  <c r="BW77" i="50"/>
  <c r="BV77" i="50"/>
  <c r="BU77" i="50"/>
  <c r="BT77" i="50"/>
  <c r="BR77" i="50" s="1"/>
  <c r="BS77" i="50"/>
  <c r="BO77" i="50"/>
  <c r="BN77" i="50"/>
  <c r="BN74" i="50" s="1"/>
  <c r="BM77" i="50"/>
  <c r="BL77" i="50"/>
  <c r="BK77" i="50"/>
  <c r="BJ77" i="50"/>
  <c r="BG77" i="50"/>
  <c r="BF77" i="50"/>
  <c r="BE77" i="50"/>
  <c r="BD77" i="50"/>
  <c r="BC77" i="50"/>
  <c r="BB77" i="50" s="1"/>
  <c r="AS77" i="50"/>
  <c r="AK77" i="50"/>
  <c r="H77" i="50"/>
  <c r="E77" i="50"/>
  <c r="DJ76" i="50"/>
  <c r="DI76" i="50"/>
  <c r="DG76" i="50"/>
  <c r="DF76" i="50"/>
  <c r="DC76" i="50"/>
  <c r="DB76" i="50"/>
  <c r="CY76" i="50"/>
  <c r="CU76" i="50"/>
  <c r="CT76" i="50"/>
  <c r="CQ76" i="50"/>
  <c r="CM76" i="50"/>
  <c r="CL76" i="50"/>
  <c r="CI76" i="50"/>
  <c r="CE76" i="50"/>
  <c r="CD76" i="50"/>
  <c r="CA76" i="50"/>
  <c r="BW76" i="50"/>
  <c r="BV76" i="50"/>
  <c r="BU76" i="50"/>
  <c r="BS76" i="50"/>
  <c r="BO76" i="50"/>
  <c r="BN76" i="50"/>
  <c r="BK76" i="50"/>
  <c r="BG76" i="50"/>
  <c r="BF76" i="50"/>
  <c r="BC76" i="50"/>
  <c r="AS76" i="50"/>
  <c r="H76" i="50"/>
  <c r="DH76" i="50" s="1"/>
  <c r="BE76" i="50" s="1"/>
  <c r="E76" i="50"/>
  <c r="DJ75" i="50"/>
  <c r="DI75" i="50"/>
  <c r="DG75" i="50"/>
  <c r="DF75" i="50"/>
  <c r="DC75" i="50"/>
  <c r="DB75" i="50"/>
  <c r="DA75" i="50"/>
  <c r="CY75" i="50"/>
  <c r="CU75" i="50"/>
  <c r="CU74" i="50" s="1"/>
  <c r="CT75" i="50"/>
  <c r="CQ75" i="50"/>
  <c r="CM75" i="50"/>
  <c r="CL75" i="50"/>
  <c r="CI75" i="50"/>
  <c r="CE75" i="50"/>
  <c r="CE74" i="50" s="1"/>
  <c r="CD75" i="50"/>
  <c r="CA75" i="50"/>
  <c r="BW75" i="50"/>
  <c r="BV75" i="50"/>
  <c r="BU75" i="50"/>
  <c r="BU74" i="50" s="1"/>
  <c r="BS75" i="50"/>
  <c r="BO75" i="50"/>
  <c r="BO74" i="50" s="1"/>
  <c r="BN75" i="50"/>
  <c r="BK75" i="50"/>
  <c r="BG75" i="50"/>
  <c r="BF75" i="50"/>
  <c r="BE75" i="50"/>
  <c r="BE74" i="50" s="1"/>
  <c r="BC75" i="50"/>
  <c r="AS75" i="50"/>
  <c r="AK75" i="50"/>
  <c r="AC75" i="50"/>
  <c r="U75" i="50"/>
  <c r="H75" i="50"/>
  <c r="DH75" i="50" s="1"/>
  <c r="E75" i="50"/>
  <c r="DC74" i="50"/>
  <c r="DB74" i="50"/>
  <c r="CY74" i="50"/>
  <c r="CM74" i="50"/>
  <c r="CL74" i="50"/>
  <c r="CI74" i="50"/>
  <c r="BW74" i="50"/>
  <c r="BV74" i="50"/>
  <c r="BS74" i="50"/>
  <c r="BG74" i="50"/>
  <c r="BF74" i="50"/>
  <c r="BC74" i="50"/>
  <c r="J74" i="50"/>
  <c r="J39" i="50" s="1"/>
  <c r="I74" i="50"/>
  <c r="H74" i="50"/>
  <c r="G74" i="50"/>
  <c r="F74" i="50"/>
  <c r="DC73" i="50"/>
  <c r="DB73" i="50"/>
  <c r="DB72" i="50" s="1"/>
  <c r="DA73" i="50"/>
  <c r="CZ73" i="50"/>
  <c r="CY73" i="50"/>
  <c r="CX73" i="50"/>
  <c r="CU73" i="50"/>
  <c r="CT73" i="50"/>
  <c r="CS73" i="50"/>
  <c r="CR73" i="50"/>
  <c r="CQ73" i="50"/>
  <c r="CM73" i="50"/>
  <c r="CL73" i="50"/>
  <c r="CL72" i="50" s="1"/>
  <c r="CK73" i="50"/>
  <c r="CJ73" i="50"/>
  <c r="CI73" i="50"/>
  <c r="CH73" i="50"/>
  <c r="CE73" i="50"/>
  <c r="CD73" i="50"/>
  <c r="CC73" i="50"/>
  <c r="CB73" i="50"/>
  <c r="CB72" i="50" s="1"/>
  <c r="CA73" i="50"/>
  <c r="BZ73" i="50" s="1"/>
  <c r="BW73" i="50"/>
  <c r="BV73" i="50"/>
  <c r="BV72" i="50" s="1"/>
  <c r="BQ72" i="50" s="1"/>
  <c r="BU73" i="50"/>
  <c r="BT73" i="50"/>
  <c r="BS73" i="50"/>
  <c r="BR73" i="50"/>
  <c r="BO73" i="50"/>
  <c r="BN73" i="50"/>
  <c r="BM73" i="50"/>
  <c r="BL73" i="50"/>
  <c r="BL72" i="50" s="1"/>
  <c r="BK73" i="50"/>
  <c r="BG73" i="50"/>
  <c r="BF73" i="50"/>
  <c r="BF72" i="50" s="1"/>
  <c r="BE73" i="50"/>
  <c r="BD73" i="50"/>
  <c r="BC73" i="50"/>
  <c r="BB73" i="50"/>
  <c r="AS73" i="50"/>
  <c r="AK73" i="50"/>
  <c r="AC73" i="50"/>
  <c r="U73" i="50"/>
  <c r="M73" i="50"/>
  <c r="H73" i="50"/>
  <c r="H72" i="50" s="1"/>
  <c r="D72" i="50" s="1"/>
  <c r="E73" i="50"/>
  <c r="DC72" i="50"/>
  <c r="DA72" i="50"/>
  <c r="CZ72" i="50"/>
  <c r="CY72" i="50"/>
  <c r="CX72" i="50" s="1"/>
  <c r="CW72" i="50"/>
  <c r="CU72" i="50"/>
  <c r="CT72" i="50"/>
  <c r="CS72" i="50"/>
  <c r="CR72" i="50"/>
  <c r="CQ72" i="50"/>
  <c r="CM72" i="50"/>
  <c r="CK72" i="50"/>
  <c r="CJ72" i="50"/>
  <c r="CI72" i="50"/>
  <c r="CE72" i="50"/>
  <c r="CD72" i="50"/>
  <c r="CC72" i="50"/>
  <c r="CA72" i="50"/>
  <c r="BY72" i="50" s="1"/>
  <c r="BZ72" i="50"/>
  <c r="BW72" i="50"/>
  <c r="BU72" i="50"/>
  <c r="BT72" i="50"/>
  <c r="BS72" i="50"/>
  <c r="BR72" i="50"/>
  <c r="BO72" i="50"/>
  <c r="BN72" i="50"/>
  <c r="BM72" i="50"/>
  <c r="BK72" i="50"/>
  <c r="BG72" i="50"/>
  <c r="BE72" i="50"/>
  <c r="BD72" i="50"/>
  <c r="BC72" i="50"/>
  <c r="J72" i="50"/>
  <c r="I72" i="50"/>
  <c r="G72" i="50"/>
  <c r="F72" i="50"/>
  <c r="E72" i="50"/>
  <c r="DJ71" i="50"/>
  <c r="DI71" i="50"/>
  <c r="DG71" i="50"/>
  <c r="DF71" i="50"/>
  <c r="DA71" i="50"/>
  <c r="CX71" i="50"/>
  <c r="CS71" i="50"/>
  <c r="CP71" i="50"/>
  <c r="CK71" i="50"/>
  <c r="CH71" i="50"/>
  <c r="CC71" i="50"/>
  <c r="BZ71" i="50"/>
  <c r="BU71" i="50"/>
  <c r="BR71" i="50"/>
  <c r="BM71" i="50"/>
  <c r="BJ71" i="50"/>
  <c r="BE71" i="50"/>
  <c r="BB71" i="50"/>
  <c r="AW71" i="50"/>
  <c r="AT71" i="50"/>
  <c r="AS71" i="50"/>
  <c r="AL71" i="50"/>
  <c r="AK71" i="50"/>
  <c r="AO71" i="50" s="1"/>
  <c r="AD71" i="50"/>
  <c r="AC71" i="50"/>
  <c r="AG71" i="50" s="1"/>
  <c r="V71" i="50"/>
  <c r="U71" i="50"/>
  <c r="Y71" i="50" s="1"/>
  <c r="Q71" i="50"/>
  <c r="N71" i="50"/>
  <c r="M71" i="50"/>
  <c r="H71" i="50"/>
  <c r="DH71" i="50" s="1"/>
  <c r="E71" i="50"/>
  <c r="DJ70" i="50"/>
  <c r="DI70" i="50"/>
  <c r="DG70" i="50"/>
  <c r="DF70" i="50"/>
  <c r="DA70" i="50"/>
  <c r="CX70" i="50"/>
  <c r="CS70" i="50"/>
  <c r="CP70" i="50"/>
  <c r="CK70" i="50"/>
  <c r="CH70" i="50"/>
  <c r="CC70" i="50"/>
  <c r="BZ70" i="50"/>
  <c r="BU70" i="50"/>
  <c r="BR70" i="50"/>
  <c r="BM70" i="50"/>
  <c r="BJ70" i="50"/>
  <c r="BE70" i="50"/>
  <c r="BB70" i="50"/>
  <c r="AW70" i="50"/>
  <c r="AT70" i="50"/>
  <c r="AS70" i="50"/>
  <c r="AL70" i="50"/>
  <c r="AK70" i="50"/>
  <c r="AO70" i="50" s="1"/>
  <c r="AD70" i="50"/>
  <c r="AC70" i="50"/>
  <c r="AG70" i="50" s="1"/>
  <c r="Y70" i="50"/>
  <c r="V70" i="50"/>
  <c r="U70" i="50"/>
  <c r="Q70" i="50"/>
  <c r="N70" i="50"/>
  <c r="M70" i="50"/>
  <c r="H70" i="50"/>
  <c r="DH70" i="50" s="1"/>
  <c r="E70" i="50"/>
  <c r="DC69" i="50"/>
  <c r="DB69" i="50"/>
  <c r="DA69" i="50"/>
  <c r="CZ69" i="50"/>
  <c r="CY69" i="50"/>
  <c r="CU69" i="50"/>
  <c r="CT69" i="50"/>
  <c r="CS69" i="50"/>
  <c r="CR69" i="50"/>
  <c r="CQ69" i="50"/>
  <c r="CP69" i="50"/>
  <c r="CM69" i="50"/>
  <c r="CL69" i="50"/>
  <c r="CK69" i="50"/>
  <c r="CJ69" i="50"/>
  <c r="CI69" i="50"/>
  <c r="CH69" i="50" s="1"/>
  <c r="CE69" i="50"/>
  <c r="CD69" i="50"/>
  <c r="CC69" i="50"/>
  <c r="CB69" i="50"/>
  <c r="CA69" i="50"/>
  <c r="BZ69" i="50"/>
  <c r="BW69" i="50"/>
  <c r="BV69" i="50"/>
  <c r="BU69" i="50"/>
  <c r="BT69" i="50"/>
  <c r="BS69" i="50"/>
  <c r="BO69" i="50"/>
  <c r="BN69" i="50"/>
  <c r="BM69" i="50"/>
  <c r="BL69" i="50"/>
  <c r="BK69" i="50"/>
  <c r="BJ69" i="50"/>
  <c r="BG69" i="50"/>
  <c r="BF69" i="50"/>
  <c r="BE69" i="50"/>
  <c r="BD69" i="50"/>
  <c r="BC69" i="50"/>
  <c r="BB69" i="50" s="1"/>
  <c r="AS69" i="50"/>
  <c r="AK69" i="50"/>
  <c r="AC69" i="50"/>
  <c r="H69" i="50"/>
  <c r="E69" i="50"/>
  <c r="DC68" i="50"/>
  <c r="DB68" i="50"/>
  <c r="DA68" i="50"/>
  <c r="CZ68" i="50"/>
  <c r="CY68" i="50"/>
  <c r="CX68" i="50" s="1"/>
  <c r="CU68" i="50"/>
  <c r="CT68" i="50"/>
  <c r="CS68" i="50"/>
  <c r="CR68" i="50"/>
  <c r="CQ68" i="50"/>
  <c r="CP68" i="50" s="1"/>
  <c r="CM68" i="50"/>
  <c r="CL68" i="50"/>
  <c r="CK68" i="50"/>
  <c r="CJ68" i="50"/>
  <c r="CI68" i="50"/>
  <c r="CH68" i="50" s="1"/>
  <c r="CE68" i="50"/>
  <c r="CD68" i="50"/>
  <c r="CC68" i="50"/>
  <c r="CB68" i="50"/>
  <c r="CA68" i="50"/>
  <c r="BW68" i="50"/>
  <c r="BV68" i="50"/>
  <c r="BU68" i="50"/>
  <c r="BT68" i="50"/>
  <c r="BS68" i="50"/>
  <c r="BO68" i="50"/>
  <c r="BN68" i="50"/>
  <c r="BM68" i="50"/>
  <c r="BL68" i="50"/>
  <c r="BK68" i="50"/>
  <c r="BG68" i="50"/>
  <c r="BF68" i="50"/>
  <c r="BE68" i="50"/>
  <c r="BD68" i="50"/>
  <c r="BC68" i="50"/>
  <c r="DC67" i="50"/>
  <c r="DB67" i="50"/>
  <c r="DA67" i="50"/>
  <c r="CZ67" i="50"/>
  <c r="CY67" i="50"/>
  <c r="CU67" i="50"/>
  <c r="CT67" i="50"/>
  <c r="CS67" i="50"/>
  <c r="CR67" i="50"/>
  <c r="CQ67" i="50"/>
  <c r="CP67" i="50"/>
  <c r="CM67" i="50"/>
  <c r="CL67" i="50"/>
  <c r="CK67" i="50"/>
  <c r="CJ67" i="50"/>
  <c r="CI67" i="50"/>
  <c r="CH67" i="50" s="1"/>
  <c r="CE67" i="50"/>
  <c r="CD67" i="50"/>
  <c r="CC67" i="50"/>
  <c r="CB67" i="50"/>
  <c r="CA67" i="50"/>
  <c r="BZ67" i="50"/>
  <c r="BW67" i="50"/>
  <c r="BV67" i="50"/>
  <c r="BU67" i="50"/>
  <c r="BT67" i="50"/>
  <c r="BS67" i="50"/>
  <c r="BO67" i="50"/>
  <c r="BN67" i="50"/>
  <c r="BM67" i="50"/>
  <c r="BL67" i="50"/>
  <c r="BK67" i="50"/>
  <c r="BJ67" i="50"/>
  <c r="BG67" i="50"/>
  <c r="BF67" i="50"/>
  <c r="BE67" i="50"/>
  <c r="BD67" i="50"/>
  <c r="BC67" i="50"/>
  <c r="BB67" i="50" s="1"/>
  <c r="H67" i="50"/>
  <c r="E67" i="50"/>
  <c r="DC66" i="50"/>
  <c r="DB66" i="50"/>
  <c r="DA66" i="50"/>
  <c r="CZ66" i="50"/>
  <c r="CY66" i="50"/>
  <c r="CX66" i="50"/>
  <c r="CU66" i="50"/>
  <c r="CT66" i="50"/>
  <c r="CS66" i="50"/>
  <c r="CR66" i="50"/>
  <c r="CQ66" i="50"/>
  <c r="CM66" i="50"/>
  <c r="CL66" i="50"/>
  <c r="CK66" i="50"/>
  <c r="CJ66" i="50"/>
  <c r="CI66" i="50"/>
  <c r="CH66" i="50"/>
  <c r="CE66" i="50"/>
  <c r="CD66" i="50"/>
  <c r="CC66" i="50"/>
  <c r="CB66" i="50"/>
  <c r="CA66" i="50"/>
  <c r="BZ66" i="50" s="1"/>
  <c r="BW66" i="50"/>
  <c r="BV66" i="50"/>
  <c r="BU66" i="50"/>
  <c r="BT66" i="50"/>
  <c r="BS66" i="50"/>
  <c r="BR66" i="50"/>
  <c r="BO66" i="50"/>
  <c r="BN66" i="50"/>
  <c r="BM66" i="50"/>
  <c r="BL66" i="50"/>
  <c r="BK66" i="50"/>
  <c r="BG66" i="50"/>
  <c r="BF66" i="50"/>
  <c r="BE66" i="50"/>
  <c r="BD66" i="50"/>
  <c r="BC66" i="50"/>
  <c r="BB66" i="50"/>
  <c r="AS66" i="50"/>
  <c r="AK66" i="50"/>
  <c r="AC66" i="50"/>
  <c r="U66" i="50"/>
  <c r="M66" i="50"/>
  <c r="H66" i="50"/>
  <c r="E66" i="50"/>
  <c r="DC65" i="50"/>
  <c r="DB65" i="50"/>
  <c r="DA65" i="50"/>
  <c r="CZ65" i="50"/>
  <c r="CY65" i="50"/>
  <c r="CX65" i="50" s="1"/>
  <c r="CU65" i="50"/>
  <c r="CT65" i="50"/>
  <c r="CS65" i="50"/>
  <c r="CR65" i="50"/>
  <c r="CQ65" i="50"/>
  <c r="CP65" i="50" s="1"/>
  <c r="CM65" i="50"/>
  <c r="CL65" i="50"/>
  <c r="CK65" i="50"/>
  <c r="CJ65" i="50"/>
  <c r="CI65" i="50"/>
  <c r="CH65" i="50" s="1"/>
  <c r="CE65" i="50"/>
  <c r="CD65" i="50"/>
  <c r="CC65" i="50"/>
  <c r="CB65" i="50"/>
  <c r="CA65" i="50"/>
  <c r="BZ65" i="50" s="1"/>
  <c r="BW65" i="50"/>
  <c r="BV65" i="50"/>
  <c r="BU65" i="50"/>
  <c r="BT65" i="50"/>
  <c r="BS65" i="50"/>
  <c r="BR65" i="50" s="1"/>
  <c r="BO65" i="50"/>
  <c r="BN65" i="50"/>
  <c r="BM65" i="50"/>
  <c r="BL65" i="50"/>
  <c r="BK65" i="50"/>
  <c r="BJ65" i="50" s="1"/>
  <c r="BG65" i="50"/>
  <c r="BF65" i="50"/>
  <c r="BE65" i="50"/>
  <c r="BD65" i="50"/>
  <c r="BC65" i="50"/>
  <c r="BB65" i="50" s="1"/>
  <c r="H65" i="50"/>
  <c r="E65" i="50"/>
  <c r="DC64" i="50"/>
  <c r="DB64" i="50"/>
  <c r="DA64" i="50"/>
  <c r="CZ64" i="50"/>
  <c r="CY64" i="50"/>
  <c r="CX64" i="50" s="1"/>
  <c r="CU64" i="50"/>
  <c r="CT64" i="50"/>
  <c r="CS64" i="50"/>
  <c r="CR64" i="50"/>
  <c r="CQ64" i="50"/>
  <c r="CP64" i="50" s="1"/>
  <c r="CM64" i="50"/>
  <c r="CL64" i="50"/>
  <c r="CK64" i="50"/>
  <c r="CJ64" i="50"/>
  <c r="CI64" i="50"/>
  <c r="CH64" i="50" s="1"/>
  <c r="CE64" i="50"/>
  <c r="CD64" i="50"/>
  <c r="CC64" i="50"/>
  <c r="CB64" i="50"/>
  <c r="CA64" i="50"/>
  <c r="BZ64" i="50" s="1"/>
  <c r="BW64" i="50"/>
  <c r="BV64" i="50"/>
  <c r="BU64" i="50"/>
  <c r="BT64" i="50"/>
  <c r="BS64" i="50"/>
  <c r="BR64" i="50" s="1"/>
  <c r="BO64" i="50"/>
  <c r="BN64" i="50"/>
  <c r="BM64" i="50"/>
  <c r="BL64" i="50"/>
  <c r="BK64" i="50"/>
  <c r="BJ64" i="50" s="1"/>
  <c r="BG64" i="50"/>
  <c r="BF64" i="50"/>
  <c r="BE64" i="50"/>
  <c r="BD64" i="50"/>
  <c r="BC64" i="50"/>
  <c r="BB64" i="50" s="1"/>
  <c r="H64" i="50"/>
  <c r="E64" i="50"/>
  <c r="DC63" i="50"/>
  <c r="DB63" i="50"/>
  <c r="DA63" i="50"/>
  <c r="CZ63" i="50"/>
  <c r="CY63" i="50"/>
  <c r="CX63" i="50" s="1"/>
  <c r="CU63" i="50"/>
  <c r="CT63" i="50"/>
  <c r="CS63" i="50"/>
  <c r="CR63" i="50"/>
  <c r="CQ63" i="50"/>
  <c r="CP63" i="50" s="1"/>
  <c r="CM63" i="50"/>
  <c r="CL63" i="50"/>
  <c r="CK63" i="50"/>
  <c r="CJ63" i="50"/>
  <c r="CI63" i="50"/>
  <c r="CH63" i="50" s="1"/>
  <c r="CE63" i="50"/>
  <c r="CD63" i="50"/>
  <c r="CC63" i="50"/>
  <c r="CB63" i="50"/>
  <c r="CA63" i="50"/>
  <c r="BZ63" i="50" s="1"/>
  <c r="BW63" i="50"/>
  <c r="BV63" i="50"/>
  <c r="BU63" i="50"/>
  <c r="BT63" i="50"/>
  <c r="BS63" i="50"/>
  <c r="BR63" i="50" s="1"/>
  <c r="BO63" i="50"/>
  <c r="BN63" i="50"/>
  <c r="BM63" i="50"/>
  <c r="BL63" i="50"/>
  <c r="BK63" i="50"/>
  <c r="BJ63" i="50" s="1"/>
  <c r="BG63" i="50"/>
  <c r="BF63" i="50"/>
  <c r="BE63" i="50"/>
  <c r="BD63" i="50"/>
  <c r="BC63" i="50"/>
  <c r="BB63" i="50"/>
  <c r="AS63" i="50"/>
  <c r="AK63" i="50"/>
  <c r="AC63" i="50"/>
  <c r="U63" i="50"/>
  <c r="M63" i="50"/>
  <c r="H63" i="50"/>
  <c r="E63" i="50"/>
  <c r="DC62" i="50"/>
  <c r="CU62" i="50"/>
  <c r="CM62" i="50"/>
  <c r="CE62" i="50"/>
  <c r="BW62" i="50"/>
  <c r="BO62" i="50"/>
  <c r="BG62" i="50"/>
  <c r="AS62" i="50"/>
  <c r="H62" i="50"/>
  <c r="E62" i="50"/>
  <c r="DC61" i="50"/>
  <c r="DB61" i="50"/>
  <c r="DA61" i="50"/>
  <c r="CZ61" i="50"/>
  <c r="CY61" i="50"/>
  <c r="CX61" i="50" s="1"/>
  <c r="CU61" i="50"/>
  <c r="CT61" i="50"/>
  <c r="CS61" i="50"/>
  <c r="CR61" i="50"/>
  <c r="CQ61" i="50"/>
  <c r="CP61" i="50" s="1"/>
  <c r="CM61" i="50"/>
  <c r="CL61" i="50"/>
  <c r="CK61" i="50"/>
  <c r="CJ61" i="50"/>
  <c r="CI61" i="50"/>
  <c r="CH61" i="50" s="1"/>
  <c r="CE61" i="50"/>
  <c r="CD61" i="50"/>
  <c r="CC61" i="50"/>
  <c r="CB61" i="50"/>
  <c r="CA61" i="50"/>
  <c r="BZ61" i="50" s="1"/>
  <c r="BW61" i="50"/>
  <c r="BV61" i="50"/>
  <c r="BU61" i="50"/>
  <c r="BT61" i="50"/>
  <c r="BS61" i="50"/>
  <c r="BR61" i="50" s="1"/>
  <c r="BO61" i="50"/>
  <c r="BN61" i="50"/>
  <c r="BM61" i="50"/>
  <c r="BL61" i="50"/>
  <c r="BK61" i="50"/>
  <c r="BJ61" i="50" s="1"/>
  <c r="BG61" i="50"/>
  <c r="BF61" i="50"/>
  <c r="BE61" i="50"/>
  <c r="BD61" i="50"/>
  <c r="BC61" i="50"/>
  <c r="BB61" i="50" s="1"/>
  <c r="AS61" i="50"/>
  <c r="AK61" i="50"/>
  <c r="AC61" i="50"/>
  <c r="U61" i="50"/>
  <c r="M61" i="50"/>
  <c r="H61" i="50"/>
  <c r="E61" i="50"/>
  <c r="DJ60" i="50"/>
  <c r="DI60" i="50"/>
  <c r="DG60" i="50"/>
  <c r="DF60" i="50"/>
  <c r="DC60" i="50"/>
  <c r="CZ60" i="50"/>
  <c r="CY60" i="50"/>
  <c r="CX60" i="50" s="1"/>
  <c r="CU60" i="50"/>
  <c r="CR60" i="50"/>
  <c r="CQ60" i="50"/>
  <c r="CP60" i="50" s="1"/>
  <c r="CM60" i="50"/>
  <c r="CJ60" i="50"/>
  <c r="CI60" i="50"/>
  <c r="CH60" i="50" s="1"/>
  <c r="CE60" i="50"/>
  <c r="CB60" i="50"/>
  <c r="CA60" i="50"/>
  <c r="BZ60" i="50" s="1"/>
  <c r="BW60" i="50"/>
  <c r="BT60" i="50"/>
  <c r="BS60" i="50"/>
  <c r="BR60" i="50" s="1"/>
  <c r="BO60" i="50"/>
  <c r="BL60" i="50"/>
  <c r="BK60" i="50"/>
  <c r="BJ60" i="50" s="1"/>
  <c r="BG60" i="50"/>
  <c r="BD60" i="50"/>
  <c r="BC60" i="50"/>
  <c r="BB60" i="50" s="1"/>
  <c r="H60" i="50"/>
  <c r="DH60" i="50" s="1"/>
  <c r="CS60" i="50" s="1"/>
  <c r="E60" i="50"/>
  <c r="DC59" i="50"/>
  <c r="DB59" i="50"/>
  <c r="DA59" i="50"/>
  <c r="CZ59" i="50"/>
  <c r="CY59" i="50"/>
  <c r="CX59" i="50" s="1"/>
  <c r="CU59" i="50"/>
  <c r="CT59" i="50"/>
  <c r="CS59" i="50"/>
  <c r="CR59" i="50"/>
  <c r="CQ59" i="50"/>
  <c r="CP59" i="50" s="1"/>
  <c r="CM59" i="50"/>
  <c r="CL59" i="50"/>
  <c r="CK59" i="50"/>
  <c r="CJ59" i="50"/>
  <c r="CI59" i="50"/>
  <c r="CH59" i="50" s="1"/>
  <c r="CE59" i="50"/>
  <c r="CD59" i="50"/>
  <c r="CC59" i="50"/>
  <c r="CB59" i="50"/>
  <c r="CA59" i="50"/>
  <c r="BZ59" i="50" s="1"/>
  <c r="BW59" i="50"/>
  <c r="BV59" i="50"/>
  <c r="BU59" i="50"/>
  <c r="BT59" i="50"/>
  <c r="BS59" i="50"/>
  <c r="BR59" i="50"/>
  <c r="BO59" i="50"/>
  <c r="BN59" i="50"/>
  <c r="BM59" i="50"/>
  <c r="BL59" i="50"/>
  <c r="BK59" i="50"/>
  <c r="BJ59" i="50" s="1"/>
  <c r="BG59" i="50"/>
  <c r="BF59" i="50"/>
  <c r="BE59" i="50"/>
  <c r="BD59" i="50"/>
  <c r="BC59" i="50"/>
  <c r="BB59" i="50"/>
  <c r="U59" i="50"/>
  <c r="M59" i="50"/>
  <c r="H59" i="50"/>
  <c r="E59" i="50"/>
  <c r="DC58" i="50"/>
  <c r="DB58" i="50"/>
  <c r="DA58" i="50"/>
  <c r="CZ58" i="50"/>
  <c r="CY58" i="50"/>
  <c r="CX58" i="50"/>
  <c r="CU58" i="50"/>
  <c r="CT58" i="50"/>
  <c r="CS58" i="50"/>
  <c r="CR58" i="50"/>
  <c r="CQ58" i="50"/>
  <c r="CP58" i="50" s="1"/>
  <c r="CM58" i="50"/>
  <c r="CL58" i="50"/>
  <c r="CK58" i="50"/>
  <c r="CJ58" i="50"/>
  <c r="CI58" i="50"/>
  <c r="CH58" i="50"/>
  <c r="CE58" i="50"/>
  <c r="CD58" i="50"/>
  <c r="CC58" i="50"/>
  <c r="CB58" i="50"/>
  <c r="CA58" i="50"/>
  <c r="BZ58" i="50" s="1"/>
  <c r="BW58" i="50"/>
  <c r="BV58" i="50"/>
  <c r="BU58" i="50"/>
  <c r="BT58" i="50"/>
  <c r="BS58" i="50"/>
  <c r="BR58" i="50"/>
  <c r="BO58" i="50"/>
  <c r="BN58" i="50"/>
  <c r="BM58" i="50"/>
  <c r="BL58" i="50"/>
  <c r="BK58" i="50"/>
  <c r="BJ58" i="50" s="1"/>
  <c r="BG58" i="50"/>
  <c r="BF58" i="50"/>
  <c r="BE58" i="50"/>
  <c r="BD58" i="50"/>
  <c r="BC58" i="50"/>
  <c r="BB58" i="50" s="1"/>
  <c r="AS58" i="50"/>
  <c r="AK58" i="50"/>
  <c r="AC58" i="50"/>
  <c r="U58" i="50"/>
  <c r="M58" i="50"/>
  <c r="H58" i="50"/>
  <c r="E58" i="50"/>
  <c r="DJ57" i="50"/>
  <c r="DI57" i="50"/>
  <c r="DH57" i="50"/>
  <c r="DG57" i="50"/>
  <c r="DF57" i="50"/>
  <c r="DA57" i="50"/>
  <c r="CX57" i="50"/>
  <c r="CS57" i="50"/>
  <c r="CP57" i="50"/>
  <c r="CK57" i="50"/>
  <c r="CH57" i="50"/>
  <c r="CC57" i="50"/>
  <c r="BZ57" i="50"/>
  <c r="BU57" i="50"/>
  <c r="BR57" i="50"/>
  <c r="BM57" i="50"/>
  <c r="BJ57" i="50"/>
  <c r="BE57" i="50"/>
  <c r="BB57" i="50"/>
  <c r="AT57" i="50"/>
  <c r="AS57" i="50"/>
  <c r="AX57" i="50" s="1"/>
  <c r="AP57" i="50"/>
  <c r="AL57" i="50"/>
  <c r="AK57" i="50"/>
  <c r="AG57" i="50"/>
  <c r="AD57" i="50"/>
  <c r="Y57" i="50"/>
  <c r="V57" i="50"/>
  <c r="Q57" i="50"/>
  <c r="N57" i="50"/>
  <c r="H57" i="50"/>
  <c r="E57" i="50"/>
  <c r="DJ56" i="50"/>
  <c r="DI56" i="50"/>
  <c r="DG56" i="50"/>
  <c r="DF56" i="50"/>
  <c r="DA56" i="50"/>
  <c r="CX56" i="50"/>
  <c r="CS56" i="50"/>
  <c r="CP56" i="50"/>
  <c r="CK56" i="50"/>
  <c r="CH56" i="50"/>
  <c r="CC56" i="50"/>
  <c r="BZ56" i="50"/>
  <c r="BU56" i="50"/>
  <c r="BR56" i="50"/>
  <c r="BM56" i="50"/>
  <c r="BJ56" i="50"/>
  <c r="BE56" i="50"/>
  <c r="BB56" i="50"/>
  <c r="AW56" i="50"/>
  <c r="AT56" i="50"/>
  <c r="AO56" i="50"/>
  <c r="AL56" i="50"/>
  <c r="AG56" i="50"/>
  <c r="AD56" i="50"/>
  <c r="Y56" i="50"/>
  <c r="V56" i="50"/>
  <c r="Q56" i="50"/>
  <c r="N56" i="50"/>
  <c r="H56" i="50"/>
  <c r="DH56" i="50" s="1"/>
  <c r="E56" i="50"/>
  <c r="DJ55" i="50"/>
  <c r="DI55" i="50"/>
  <c r="DH55" i="50"/>
  <c r="DG55" i="50"/>
  <c r="DF55" i="50"/>
  <c r="DA55" i="50"/>
  <c r="CX55" i="50"/>
  <c r="CS55" i="50"/>
  <c r="CP55" i="50"/>
  <c r="CK55" i="50"/>
  <c r="CH55" i="50"/>
  <c r="CC55" i="50"/>
  <c r="BZ55" i="50"/>
  <c r="BU55" i="50"/>
  <c r="BR55" i="50"/>
  <c r="BM55" i="50"/>
  <c r="BJ55" i="50"/>
  <c r="BE55" i="50"/>
  <c r="BB55" i="50"/>
  <c r="AW55" i="50"/>
  <c r="AT55" i="50"/>
  <c r="AO55" i="50"/>
  <c r="AL55" i="50"/>
  <c r="AG55" i="50"/>
  <c r="AD55" i="50"/>
  <c r="Y55" i="50"/>
  <c r="V55" i="50"/>
  <c r="Q55" i="50"/>
  <c r="N55" i="50"/>
  <c r="H55" i="50"/>
  <c r="E55" i="50"/>
  <c r="DJ54" i="50"/>
  <c r="DI54" i="50"/>
  <c r="DG54" i="50"/>
  <c r="DF54" i="50"/>
  <c r="DA54" i="50"/>
  <c r="CX54" i="50"/>
  <c r="CS54" i="50"/>
  <c r="CP54" i="50"/>
  <c r="CK54" i="50"/>
  <c r="CH54" i="50"/>
  <c r="CC54" i="50"/>
  <c r="BZ54" i="50"/>
  <c r="BU54" i="50"/>
  <c r="BR54" i="50"/>
  <c r="BM54" i="50"/>
  <c r="BJ54" i="50"/>
  <c r="BE54" i="50"/>
  <c r="BB54" i="50"/>
  <c r="AW54" i="50"/>
  <c r="AT54" i="50"/>
  <c r="AO54" i="50"/>
  <c r="AL54" i="50"/>
  <c r="AG54" i="50"/>
  <c r="AD54" i="50"/>
  <c r="Y54" i="50"/>
  <c r="V54" i="50"/>
  <c r="Q54" i="50"/>
  <c r="N54" i="50"/>
  <c r="H54" i="50"/>
  <c r="DH54" i="50" s="1"/>
  <c r="E54" i="50"/>
  <c r="DJ53" i="50"/>
  <c r="DI53" i="50"/>
  <c r="DG53" i="50"/>
  <c r="DF53" i="50"/>
  <c r="DB53" i="50"/>
  <c r="CZ53" i="50"/>
  <c r="CT53" i="50"/>
  <c r="CR53" i="50"/>
  <c r="CL53" i="50"/>
  <c r="CJ53" i="50"/>
  <c r="CD53" i="50"/>
  <c r="CB53" i="50"/>
  <c r="BV53" i="50"/>
  <c r="BT53" i="50"/>
  <c r="BN53" i="50"/>
  <c r="BL53" i="50"/>
  <c r="BF53" i="50"/>
  <c r="BD53" i="50"/>
  <c r="AX53" i="50"/>
  <c r="AV53" i="50"/>
  <c r="AP53" i="50"/>
  <c r="AN53" i="50"/>
  <c r="AC53" i="50"/>
  <c r="U53" i="50"/>
  <c r="R53" i="50"/>
  <c r="P53" i="50"/>
  <c r="H53" i="50"/>
  <c r="DH53" i="50" s="1"/>
  <c r="E53" i="50"/>
  <c r="DN51" i="50"/>
  <c r="DC51" i="50"/>
  <c r="DB51" i="50"/>
  <c r="DA51" i="50"/>
  <c r="CZ51" i="50"/>
  <c r="CY51" i="50"/>
  <c r="CU51" i="50"/>
  <c r="CT51" i="50"/>
  <c r="CS51" i="50"/>
  <c r="CR51" i="50"/>
  <c r="CQ51" i="50"/>
  <c r="CP51" i="50" s="1"/>
  <c r="CM51" i="50"/>
  <c r="CL51" i="50"/>
  <c r="CK51" i="50"/>
  <c r="CJ51" i="50"/>
  <c r="CI51" i="50"/>
  <c r="CE51" i="50"/>
  <c r="CD51" i="50"/>
  <c r="CC51" i="50"/>
  <c r="CB51" i="50"/>
  <c r="BZ51" i="50" s="1"/>
  <c r="CA51" i="50"/>
  <c r="BW51" i="50"/>
  <c r="BV51" i="50"/>
  <c r="BU51" i="50"/>
  <c r="BT51" i="50"/>
  <c r="BS51" i="50"/>
  <c r="BO51" i="50"/>
  <c r="BN51" i="50"/>
  <c r="BM51" i="50"/>
  <c r="BL51" i="50"/>
  <c r="BK51" i="50"/>
  <c r="BJ51" i="50"/>
  <c r="BG51" i="50"/>
  <c r="BF51" i="50"/>
  <c r="BE51" i="50"/>
  <c r="BD51" i="50"/>
  <c r="BC51" i="50"/>
  <c r="AS51" i="50"/>
  <c r="AC51" i="50"/>
  <c r="U51" i="50"/>
  <c r="H51" i="50"/>
  <c r="E51" i="50"/>
  <c r="J50" i="50"/>
  <c r="I50" i="50"/>
  <c r="G50" i="50"/>
  <c r="F50" i="50"/>
  <c r="H50" i="50" s="1"/>
  <c r="DC49" i="50"/>
  <c r="DB49" i="50"/>
  <c r="DA49" i="50"/>
  <c r="CZ49" i="50"/>
  <c r="CY49" i="50"/>
  <c r="CX49" i="50"/>
  <c r="CU49" i="50"/>
  <c r="CT49" i="50"/>
  <c r="CS49" i="50"/>
  <c r="CR49" i="50"/>
  <c r="CQ49" i="50"/>
  <c r="CM49" i="50"/>
  <c r="CL49" i="50"/>
  <c r="CK49" i="50"/>
  <c r="CJ49" i="50"/>
  <c r="CI49" i="50"/>
  <c r="CH49" i="50"/>
  <c r="CE49" i="50"/>
  <c r="CD49" i="50"/>
  <c r="CC49" i="50"/>
  <c r="CB49" i="50"/>
  <c r="CA49" i="50"/>
  <c r="BZ49" i="50" s="1"/>
  <c r="BW49" i="50"/>
  <c r="BV49" i="50"/>
  <c r="BU49" i="50"/>
  <c r="BT49" i="50"/>
  <c r="BS49" i="50"/>
  <c r="BR49" i="50"/>
  <c r="BO49" i="50"/>
  <c r="BN49" i="50"/>
  <c r="BM49" i="50"/>
  <c r="BL49" i="50"/>
  <c r="BK49" i="50"/>
  <c r="BJ49" i="50" s="1"/>
  <c r="BG49" i="50"/>
  <c r="BF49" i="50"/>
  <c r="BE49" i="50"/>
  <c r="BD49" i="50"/>
  <c r="BC49" i="50"/>
  <c r="BB49" i="50"/>
  <c r="H49" i="50"/>
  <c r="E49" i="50"/>
  <c r="DJ48" i="50"/>
  <c r="DI48" i="50"/>
  <c r="DG48" i="50"/>
  <c r="DF48" i="50"/>
  <c r="DC48" i="50"/>
  <c r="DB48" i="50"/>
  <c r="CY48" i="50"/>
  <c r="CU48" i="50"/>
  <c r="CT48" i="50"/>
  <c r="CQ48" i="50"/>
  <c r="CM48" i="50"/>
  <c r="CL48" i="50"/>
  <c r="CK48" i="50"/>
  <c r="CI48" i="50"/>
  <c r="CE48" i="50"/>
  <c r="CD48" i="50"/>
  <c r="CA48" i="50"/>
  <c r="BW48" i="50"/>
  <c r="BV48" i="50"/>
  <c r="BS48" i="50"/>
  <c r="BO48" i="50"/>
  <c r="BN48" i="50"/>
  <c r="BK48" i="50"/>
  <c r="BG48" i="50"/>
  <c r="BF48" i="50"/>
  <c r="BC48" i="50"/>
  <c r="AS48" i="50"/>
  <c r="U48" i="50"/>
  <c r="M48" i="50"/>
  <c r="H48" i="50"/>
  <c r="DH48" i="50" s="1"/>
  <c r="E48" i="50"/>
  <c r="DJ47" i="50"/>
  <c r="DI47" i="50"/>
  <c r="DG47" i="50"/>
  <c r="DF47" i="50"/>
  <c r="DC47" i="50"/>
  <c r="DC44" i="50" s="1"/>
  <c r="CZ47" i="50"/>
  <c r="CY47" i="50"/>
  <c r="CU47" i="50"/>
  <c r="CR47" i="50"/>
  <c r="CQ47" i="50"/>
  <c r="CP47" i="50" s="1"/>
  <c r="CM47" i="50"/>
  <c r="CM44" i="50" s="1"/>
  <c r="CJ47" i="50"/>
  <c r="CI47" i="50"/>
  <c r="CH47" i="50" s="1"/>
  <c r="CE47" i="50"/>
  <c r="CC47" i="50"/>
  <c r="CB47" i="50"/>
  <c r="CA47" i="50"/>
  <c r="BZ47" i="50" s="1"/>
  <c r="BW47" i="50"/>
  <c r="BW44" i="50" s="1"/>
  <c r="BT47" i="50"/>
  <c r="BS47" i="50"/>
  <c r="BO47" i="50"/>
  <c r="BM47" i="50"/>
  <c r="BL47" i="50"/>
  <c r="BJ47" i="50" s="1"/>
  <c r="BK47" i="50"/>
  <c r="BG47" i="50"/>
  <c r="BD47" i="50"/>
  <c r="BC47" i="50"/>
  <c r="AS47" i="50"/>
  <c r="H47" i="50"/>
  <c r="DH47" i="50" s="1"/>
  <c r="E47" i="50"/>
  <c r="DC46" i="50"/>
  <c r="DB46" i="50"/>
  <c r="DA46" i="50"/>
  <c r="CZ46" i="50"/>
  <c r="CY46" i="50"/>
  <c r="CX46" i="50"/>
  <c r="CU46" i="50"/>
  <c r="CT46" i="50"/>
  <c r="CS46" i="50"/>
  <c r="CR46" i="50"/>
  <c r="CQ46" i="50"/>
  <c r="CM46" i="50"/>
  <c r="CL46" i="50"/>
  <c r="CK46" i="50"/>
  <c r="CJ46" i="50"/>
  <c r="CI46" i="50"/>
  <c r="CH46" i="50"/>
  <c r="CE46" i="50"/>
  <c r="CD46" i="50"/>
  <c r="CC46" i="50"/>
  <c r="CB46" i="50"/>
  <c r="CA46" i="50"/>
  <c r="BZ46" i="50" s="1"/>
  <c r="BW46" i="50"/>
  <c r="BV46" i="50"/>
  <c r="BU46" i="50"/>
  <c r="BT46" i="50"/>
  <c r="BS46" i="50"/>
  <c r="BR46" i="50"/>
  <c r="BO46" i="50"/>
  <c r="BN46" i="50"/>
  <c r="BM46" i="50"/>
  <c r="BL46" i="50"/>
  <c r="BK46" i="50"/>
  <c r="BJ46" i="50" s="1"/>
  <c r="BG46" i="50"/>
  <c r="BF46" i="50"/>
  <c r="BE46" i="50"/>
  <c r="BD46" i="50"/>
  <c r="BC46" i="50"/>
  <c r="BB46" i="50"/>
  <c r="AS46" i="50"/>
  <c r="AK46" i="50"/>
  <c r="AC46" i="50"/>
  <c r="U46" i="50"/>
  <c r="M46" i="50"/>
  <c r="H46" i="50"/>
  <c r="E46" i="50"/>
  <c r="DC45" i="50"/>
  <c r="DB45" i="50"/>
  <c r="DA45" i="50"/>
  <c r="CZ45" i="50"/>
  <c r="CX45" i="50" s="1"/>
  <c r="CY45" i="50"/>
  <c r="CU45" i="50"/>
  <c r="CT45" i="50"/>
  <c r="CS45" i="50"/>
  <c r="CR45" i="50"/>
  <c r="CQ45" i="50"/>
  <c r="CM45" i="50"/>
  <c r="CL45" i="50"/>
  <c r="CK45" i="50"/>
  <c r="CJ45" i="50"/>
  <c r="CH45" i="50" s="1"/>
  <c r="CI45" i="50"/>
  <c r="CE45" i="50"/>
  <c r="CE44" i="50" s="1"/>
  <c r="CD45" i="50"/>
  <c r="CC45" i="50"/>
  <c r="CB45" i="50"/>
  <c r="CA45" i="50"/>
  <c r="BW45" i="50"/>
  <c r="BV45" i="50"/>
  <c r="BU45" i="50"/>
  <c r="BT45" i="50"/>
  <c r="BR45" i="50" s="1"/>
  <c r="BS45" i="50"/>
  <c r="BO45" i="50"/>
  <c r="BO44" i="50" s="1"/>
  <c r="BN45" i="50"/>
  <c r="BM45" i="50"/>
  <c r="BL45" i="50"/>
  <c r="BK45" i="50"/>
  <c r="BG45" i="50"/>
  <c r="BF45" i="50"/>
  <c r="BE45" i="50"/>
  <c r="BD45" i="50"/>
  <c r="BB45" i="50" s="1"/>
  <c r="BC45" i="50"/>
  <c r="AK45" i="50"/>
  <c r="M45" i="50"/>
  <c r="H45" i="50"/>
  <c r="H44" i="50" s="1"/>
  <c r="E45" i="50"/>
  <c r="CI44" i="50"/>
  <c r="BG44" i="50"/>
  <c r="J44" i="50"/>
  <c r="I44" i="50"/>
  <c r="G44" i="50"/>
  <c r="F44" i="50"/>
  <c r="E44" i="50" s="1"/>
  <c r="D44" i="50"/>
  <c r="DC43" i="50"/>
  <c r="DB43" i="50"/>
  <c r="DA43" i="50"/>
  <c r="CZ43" i="50"/>
  <c r="CY43" i="50"/>
  <c r="CU43" i="50"/>
  <c r="CT43" i="50"/>
  <c r="CS43" i="50"/>
  <c r="CR43" i="50"/>
  <c r="CQ43" i="50"/>
  <c r="CP43" i="50"/>
  <c r="CM43" i="50"/>
  <c r="CL43" i="50"/>
  <c r="CK43" i="50"/>
  <c r="CJ43" i="50"/>
  <c r="CI43" i="50"/>
  <c r="CH43" i="50" s="1"/>
  <c r="CE43" i="50"/>
  <c r="CD43" i="50"/>
  <c r="CC43" i="50"/>
  <c r="CB43" i="50"/>
  <c r="CA43" i="50"/>
  <c r="BZ43" i="50"/>
  <c r="BW43" i="50"/>
  <c r="BV43" i="50"/>
  <c r="BU43" i="50"/>
  <c r="BT43" i="50"/>
  <c r="BS43" i="50"/>
  <c r="BR43" i="50" s="1"/>
  <c r="BO43" i="50"/>
  <c r="BN43" i="50"/>
  <c r="BM43" i="50"/>
  <c r="BL43" i="50"/>
  <c r="BK43" i="50"/>
  <c r="BJ43" i="50"/>
  <c r="BG43" i="50"/>
  <c r="BF43" i="50"/>
  <c r="BE43" i="50"/>
  <c r="BD43" i="50"/>
  <c r="BC43" i="50"/>
  <c r="BB43" i="50" s="1"/>
  <c r="AS43" i="50"/>
  <c r="AK43" i="50"/>
  <c r="H43" i="50"/>
  <c r="E43" i="50"/>
  <c r="DC42" i="50"/>
  <c r="DB42" i="50"/>
  <c r="DA42" i="50"/>
  <c r="CZ42" i="50"/>
  <c r="CY42" i="50"/>
  <c r="CX42" i="50" s="1"/>
  <c r="CU42" i="50"/>
  <c r="CT42" i="50"/>
  <c r="CS42" i="50"/>
  <c r="CR42" i="50"/>
  <c r="CQ42" i="50"/>
  <c r="CP42" i="50"/>
  <c r="CM42" i="50"/>
  <c r="CL42" i="50"/>
  <c r="CK42" i="50"/>
  <c r="CJ42" i="50"/>
  <c r="CI42" i="50"/>
  <c r="CE42" i="50"/>
  <c r="CD42" i="50"/>
  <c r="CC42" i="50"/>
  <c r="CB42" i="50"/>
  <c r="CA42" i="50"/>
  <c r="BZ42" i="50"/>
  <c r="BW42" i="50"/>
  <c r="BV42" i="50"/>
  <c r="BU42" i="50"/>
  <c r="BT42" i="50"/>
  <c r="BS42" i="50"/>
  <c r="BR42" i="50" s="1"/>
  <c r="BO42" i="50"/>
  <c r="BN42" i="50"/>
  <c r="BM42" i="50"/>
  <c r="BL42" i="50"/>
  <c r="BK42" i="50"/>
  <c r="BJ42" i="50"/>
  <c r="BG42" i="50"/>
  <c r="BF42" i="50"/>
  <c r="BE42" i="50"/>
  <c r="BD42" i="50"/>
  <c r="BC42" i="50"/>
  <c r="BB42" i="50" s="1"/>
  <c r="H42" i="50"/>
  <c r="E42" i="50"/>
  <c r="DC41" i="50"/>
  <c r="DB41" i="50"/>
  <c r="DA41" i="50"/>
  <c r="CZ41" i="50"/>
  <c r="CY41" i="50"/>
  <c r="CX41" i="50"/>
  <c r="CU41" i="50"/>
  <c r="CT41" i="50"/>
  <c r="CS41" i="50"/>
  <c r="CR41" i="50"/>
  <c r="CQ41" i="50"/>
  <c r="CP41" i="50" s="1"/>
  <c r="CM41" i="50"/>
  <c r="CL41" i="50"/>
  <c r="CK41" i="50"/>
  <c r="CJ41" i="50"/>
  <c r="CI41" i="50"/>
  <c r="CH41" i="50"/>
  <c r="CE41" i="50"/>
  <c r="CD41" i="50"/>
  <c r="CC41" i="50"/>
  <c r="CB41" i="50"/>
  <c r="CA41" i="50"/>
  <c r="BZ41" i="50" s="1"/>
  <c r="BW41" i="50"/>
  <c r="BV41" i="50"/>
  <c r="BU41" i="50"/>
  <c r="BT41" i="50"/>
  <c r="BS41" i="50"/>
  <c r="BR41" i="50"/>
  <c r="BO41" i="50"/>
  <c r="BN41" i="50"/>
  <c r="BM41" i="50"/>
  <c r="BL41" i="50"/>
  <c r="BK41" i="50"/>
  <c r="BJ41" i="50" s="1"/>
  <c r="BG41" i="50"/>
  <c r="BF41" i="50"/>
  <c r="BE41" i="50"/>
  <c r="BD41" i="50"/>
  <c r="BC41" i="50"/>
  <c r="BB41" i="50"/>
  <c r="AS41" i="50"/>
  <c r="AK41" i="50"/>
  <c r="AC41" i="50"/>
  <c r="U41" i="50"/>
  <c r="M41" i="50"/>
  <c r="H41" i="50"/>
  <c r="E41" i="50"/>
  <c r="I39" i="50"/>
  <c r="CX38" i="50"/>
  <c r="CP38" i="50"/>
  <c r="CH38" i="50"/>
  <c r="BZ38" i="50"/>
  <c r="BR38" i="50"/>
  <c r="BJ38" i="50"/>
  <c r="BB38" i="50"/>
  <c r="AT38" i="50"/>
  <c r="AL38" i="50"/>
  <c r="AD38" i="50"/>
  <c r="V38" i="50"/>
  <c r="N38" i="50"/>
  <c r="E38" i="50"/>
  <c r="DC37" i="50"/>
  <c r="DB37" i="50"/>
  <c r="DA37" i="50"/>
  <c r="CZ37" i="50"/>
  <c r="CY37" i="50"/>
  <c r="CX37" i="50" s="1"/>
  <c r="CU37" i="50"/>
  <c r="CT37" i="50"/>
  <c r="CS37" i="50"/>
  <c r="CR37" i="50"/>
  <c r="CQ37" i="50"/>
  <c r="CP37" i="50"/>
  <c r="CM37" i="50"/>
  <c r="CL37" i="50"/>
  <c r="CK37" i="50"/>
  <c r="CJ37" i="50"/>
  <c r="CI37" i="50"/>
  <c r="CH37" i="50" s="1"/>
  <c r="CE37" i="50"/>
  <c r="CD37" i="50"/>
  <c r="CC37" i="50"/>
  <c r="CB37" i="50"/>
  <c r="CA37" i="50"/>
  <c r="BZ37" i="50"/>
  <c r="BW37" i="50"/>
  <c r="BV37" i="50"/>
  <c r="BU37" i="50"/>
  <c r="BT37" i="50"/>
  <c r="BS37" i="50"/>
  <c r="BO37" i="50"/>
  <c r="BN37" i="50"/>
  <c r="BM37" i="50"/>
  <c r="BL37" i="50"/>
  <c r="BK37" i="50"/>
  <c r="BJ37" i="50"/>
  <c r="BG37" i="50"/>
  <c r="BF37" i="50"/>
  <c r="BE37" i="50"/>
  <c r="BD37" i="50"/>
  <c r="BC37" i="50"/>
  <c r="BB37" i="50" s="1"/>
  <c r="AS37" i="50"/>
  <c r="AK37" i="50"/>
  <c r="AC37" i="50"/>
  <c r="U37" i="50"/>
  <c r="M37" i="50"/>
  <c r="H37" i="50"/>
  <c r="E37" i="50"/>
  <c r="DC36" i="50"/>
  <c r="DC31" i="50" s="1"/>
  <c r="DB36" i="50"/>
  <c r="DA36" i="50"/>
  <c r="CZ36" i="50"/>
  <c r="CY36" i="50"/>
  <c r="CX36" i="50" s="1"/>
  <c r="CU36" i="50"/>
  <c r="CT36" i="50"/>
  <c r="CS36" i="50"/>
  <c r="CR36" i="50"/>
  <c r="CQ36" i="50"/>
  <c r="CP36" i="50" s="1"/>
  <c r="CM36" i="50"/>
  <c r="CL36" i="50"/>
  <c r="CK36" i="50"/>
  <c r="CJ36" i="50"/>
  <c r="CI36" i="50"/>
  <c r="CH36" i="50" s="1"/>
  <c r="CE36" i="50"/>
  <c r="CD36" i="50"/>
  <c r="CC36" i="50"/>
  <c r="CB36" i="50"/>
  <c r="CA36" i="50"/>
  <c r="BZ36" i="50" s="1"/>
  <c r="BW36" i="50"/>
  <c r="BW31" i="50" s="1"/>
  <c r="BV36" i="50"/>
  <c r="BU36" i="50"/>
  <c r="BT36" i="50"/>
  <c r="BS36" i="50"/>
  <c r="BR36" i="50" s="1"/>
  <c r="BO36" i="50"/>
  <c r="BN36" i="50"/>
  <c r="BM36" i="50"/>
  <c r="BL36" i="50"/>
  <c r="BK36" i="50"/>
  <c r="BJ36" i="50" s="1"/>
  <c r="BG36" i="50"/>
  <c r="BF36" i="50"/>
  <c r="BE36" i="50"/>
  <c r="BD36" i="50"/>
  <c r="BC36" i="50"/>
  <c r="BB36" i="50" s="1"/>
  <c r="AS36" i="50"/>
  <c r="AK36" i="50"/>
  <c r="AC36" i="50"/>
  <c r="U36" i="50"/>
  <c r="M36" i="50"/>
  <c r="H36" i="50"/>
  <c r="E36" i="50"/>
  <c r="DJ35" i="50"/>
  <c r="DI35" i="50"/>
  <c r="DG35" i="50"/>
  <c r="CZ35" i="50" s="1"/>
  <c r="DF35" i="50"/>
  <c r="DC35" i="50"/>
  <c r="CY35" i="50"/>
  <c r="CU35" i="50"/>
  <c r="CS35" i="50"/>
  <c r="CS31" i="50" s="1"/>
  <c r="CR35" i="50"/>
  <c r="CQ35" i="50"/>
  <c r="CP35" i="50" s="1"/>
  <c r="CM35" i="50"/>
  <c r="CM31" i="50" s="1"/>
  <c r="CJ35" i="50"/>
  <c r="CI35" i="50"/>
  <c r="CE35" i="50"/>
  <c r="CC35" i="50"/>
  <c r="CC31" i="50" s="1"/>
  <c r="CB35" i="50"/>
  <c r="CA35" i="50"/>
  <c r="BZ35" i="50" s="1"/>
  <c r="BW35" i="50"/>
  <c r="BT35" i="50"/>
  <c r="BS35" i="50"/>
  <c r="BO35" i="50"/>
  <c r="BL35" i="50"/>
  <c r="BK35" i="50"/>
  <c r="BJ35" i="50" s="1"/>
  <c r="BG35" i="50"/>
  <c r="BD35" i="50"/>
  <c r="BC35" i="50"/>
  <c r="AW35" i="50"/>
  <c r="AT35" i="50"/>
  <c r="AO35" i="50"/>
  <c r="AL35" i="50"/>
  <c r="AG35" i="50"/>
  <c r="AD35" i="50"/>
  <c r="Y35" i="50"/>
  <c r="V35" i="50"/>
  <c r="Q35" i="50"/>
  <c r="N35" i="50"/>
  <c r="H35" i="50"/>
  <c r="DH35" i="50" s="1"/>
  <c r="E35" i="50"/>
  <c r="DC34" i="50"/>
  <c r="DB34" i="50"/>
  <c r="DA34" i="50"/>
  <c r="CZ34" i="50"/>
  <c r="CY34" i="50"/>
  <c r="CX34" i="50" s="1"/>
  <c r="CU34" i="50"/>
  <c r="CU31" i="50" s="1"/>
  <c r="CT34" i="50"/>
  <c r="CS34" i="50"/>
  <c r="CR34" i="50"/>
  <c r="CQ34" i="50"/>
  <c r="CM34" i="50"/>
  <c r="CL34" i="50"/>
  <c r="CK34" i="50"/>
  <c r="CJ34" i="50"/>
  <c r="CI34" i="50"/>
  <c r="CH34" i="50" s="1"/>
  <c r="CE34" i="50"/>
  <c r="CE31" i="50" s="1"/>
  <c r="CD34" i="50"/>
  <c r="CC34" i="50"/>
  <c r="CB34" i="50"/>
  <c r="CA34" i="50"/>
  <c r="BW34" i="50"/>
  <c r="BV34" i="50"/>
  <c r="BU34" i="50"/>
  <c r="BT34" i="50"/>
  <c r="BS34" i="50"/>
  <c r="BR34" i="50" s="1"/>
  <c r="BO34" i="50"/>
  <c r="BO31" i="50" s="1"/>
  <c r="BN34" i="50"/>
  <c r="BM34" i="50"/>
  <c r="BL34" i="50"/>
  <c r="BK34" i="50"/>
  <c r="BG34" i="50"/>
  <c r="BF34" i="50"/>
  <c r="BE34" i="50"/>
  <c r="BD34" i="50"/>
  <c r="BC34" i="50"/>
  <c r="BB34" i="50" s="1"/>
  <c r="AS34" i="50"/>
  <c r="AK34" i="50"/>
  <c r="AC34" i="50"/>
  <c r="U34" i="50"/>
  <c r="M34" i="50"/>
  <c r="H34" i="50"/>
  <c r="E34" i="50"/>
  <c r="DC33" i="50"/>
  <c r="DB33" i="50"/>
  <c r="DA33" i="50"/>
  <c r="CZ33" i="50"/>
  <c r="CY33" i="50"/>
  <c r="CX33" i="50" s="1"/>
  <c r="CU33" i="50"/>
  <c r="CT33" i="50"/>
  <c r="CS33" i="50"/>
  <c r="CR33" i="50"/>
  <c r="CQ33" i="50"/>
  <c r="CP33" i="50"/>
  <c r="CM33" i="50"/>
  <c r="CL33" i="50"/>
  <c r="CK33" i="50"/>
  <c r="CJ33" i="50"/>
  <c r="CJ31" i="50" s="1"/>
  <c r="CI33" i="50"/>
  <c r="CE33" i="50"/>
  <c r="CD33" i="50"/>
  <c r="CC33" i="50"/>
  <c r="CB33" i="50"/>
  <c r="CA33" i="50"/>
  <c r="BZ33" i="50"/>
  <c r="BW33" i="50"/>
  <c r="BV33" i="50"/>
  <c r="BU33" i="50"/>
  <c r="BT33" i="50"/>
  <c r="BT31" i="50" s="1"/>
  <c r="BS33" i="50"/>
  <c r="BR33" i="50" s="1"/>
  <c r="BO33" i="50"/>
  <c r="BN33" i="50"/>
  <c r="BM33" i="50"/>
  <c r="BL33" i="50"/>
  <c r="BK33" i="50"/>
  <c r="BJ33" i="50"/>
  <c r="BG33" i="50"/>
  <c r="BF33" i="50"/>
  <c r="BE33" i="50"/>
  <c r="BD33" i="50"/>
  <c r="BD31" i="50" s="1"/>
  <c r="BC33" i="50"/>
  <c r="BB33" i="50" s="1"/>
  <c r="AS33" i="50"/>
  <c r="AK33" i="50"/>
  <c r="AC33" i="50"/>
  <c r="U33" i="50"/>
  <c r="M33" i="50"/>
  <c r="H33" i="50"/>
  <c r="E33" i="50"/>
  <c r="CW31" i="50"/>
  <c r="CR31" i="50"/>
  <c r="CO31" i="50"/>
  <c r="CG31" i="50"/>
  <c r="CB31" i="50"/>
  <c r="BY31" i="50"/>
  <c r="BQ31" i="50"/>
  <c r="BL31" i="50"/>
  <c r="BI31" i="50"/>
  <c r="BA31" i="50"/>
  <c r="U31" i="50"/>
  <c r="J31" i="50"/>
  <c r="I31" i="50"/>
  <c r="G31" i="50"/>
  <c r="F31" i="50"/>
  <c r="E31" i="50" s="1"/>
  <c r="D31" i="50"/>
  <c r="H31" i="50" s="1"/>
  <c r="DJ30" i="50"/>
  <c r="DI30" i="50"/>
  <c r="DG30" i="50"/>
  <c r="DF30" i="50"/>
  <c r="DC30" i="50"/>
  <c r="CZ30" i="50"/>
  <c r="CY30" i="50"/>
  <c r="CX30" i="50"/>
  <c r="CU30" i="50"/>
  <c r="CR30" i="50"/>
  <c r="CP30" i="50" s="1"/>
  <c r="CQ30" i="50"/>
  <c r="CM30" i="50"/>
  <c r="CL30" i="50"/>
  <c r="CJ30" i="50"/>
  <c r="CI30" i="50"/>
  <c r="CH30" i="50"/>
  <c r="CE30" i="50"/>
  <c r="CC30" i="50"/>
  <c r="CB30" i="50"/>
  <c r="CA30" i="50"/>
  <c r="BZ30" i="50" s="1"/>
  <c r="BW30" i="50"/>
  <c r="BV30" i="50"/>
  <c r="BT30" i="50"/>
  <c r="BS30" i="50"/>
  <c r="BR30" i="50" s="1"/>
  <c r="BO30" i="50"/>
  <c r="BM30" i="50"/>
  <c r="BL30" i="50"/>
  <c r="BJ30" i="50" s="1"/>
  <c r="BK30" i="50"/>
  <c r="BG30" i="50"/>
  <c r="BF30" i="50"/>
  <c r="BD30" i="50"/>
  <c r="BC30" i="50"/>
  <c r="BB30" i="50"/>
  <c r="AS30" i="50"/>
  <c r="AK30" i="50"/>
  <c r="AC30" i="50"/>
  <c r="U30" i="50"/>
  <c r="Q30" i="50"/>
  <c r="M30" i="50"/>
  <c r="H30" i="50"/>
  <c r="DH30" i="50" s="1"/>
  <c r="E30" i="50"/>
  <c r="DJ29" i="50"/>
  <c r="CU29" i="50" s="1"/>
  <c r="CU27" i="50" s="1"/>
  <c r="DI29" i="50"/>
  <c r="DG29" i="50"/>
  <c r="CR29" i="50" s="1"/>
  <c r="DF29" i="50"/>
  <c r="CQ29" i="50" s="1"/>
  <c r="CP29" i="50" s="1"/>
  <c r="DC29" i="50"/>
  <c r="CZ29" i="50"/>
  <c r="CY29" i="50"/>
  <c r="CX29" i="50" s="1"/>
  <c r="CM29" i="50"/>
  <c r="CM27" i="50" s="1"/>
  <c r="CJ29" i="50"/>
  <c r="CI29" i="50"/>
  <c r="BW29" i="50"/>
  <c r="BT29" i="50"/>
  <c r="BS29" i="50"/>
  <c r="BR29" i="50" s="1"/>
  <c r="BG29" i="50"/>
  <c r="BG27" i="50" s="1"/>
  <c r="BD29" i="50"/>
  <c r="BC29" i="50"/>
  <c r="AX29" i="50"/>
  <c r="AW29" i="50"/>
  <c r="AV29" i="50"/>
  <c r="AU29" i="50"/>
  <c r="AL29" i="50"/>
  <c r="AK29" i="50"/>
  <c r="AD29" i="50"/>
  <c r="AC29" i="50"/>
  <c r="V29" i="50"/>
  <c r="U29" i="50"/>
  <c r="N29" i="50"/>
  <c r="M29" i="50"/>
  <c r="H29" i="50"/>
  <c r="DH29" i="50" s="1"/>
  <c r="E29" i="50"/>
  <c r="DJ28" i="50"/>
  <c r="CU28" i="50" s="1"/>
  <c r="DI28" i="50"/>
  <c r="CT28" i="50" s="1"/>
  <c r="DH28" i="50"/>
  <c r="DG28" i="50"/>
  <c r="DF28" i="50"/>
  <c r="CQ28" i="50" s="1"/>
  <c r="DC28" i="50"/>
  <c r="DB28" i="50"/>
  <c r="CZ28" i="50"/>
  <c r="CY28" i="50"/>
  <c r="CY27" i="50" s="1"/>
  <c r="CX28" i="50"/>
  <c r="CR28" i="50"/>
  <c r="CR27" i="50" s="1"/>
  <c r="CM28" i="50"/>
  <c r="CL28" i="50"/>
  <c r="CJ28" i="50"/>
  <c r="CI28" i="50"/>
  <c r="CH28" i="50"/>
  <c r="CE28" i="50"/>
  <c r="CB28" i="50"/>
  <c r="CA28" i="50"/>
  <c r="BW28" i="50"/>
  <c r="BW27" i="50" s="1"/>
  <c r="BV28" i="50"/>
  <c r="BT28" i="50"/>
  <c r="BS28" i="50"/>
  <c r="BS27" i="50" s="1"/>
  <c r="BR28" i="50"/>
  <c r="BO28" i="50"/>
  <c r="BL28" i="50"/>
  <c r="BK28" i="50"/>
  <c r="BG28" i="50"/>
  <c r="BF28" i="50"/>
  <c r="BD28" i="50"/>
  <c r="BC28" i="50"/>
  <c r="BB28" i="50"/>
  <c r="AX28" i="50"/>
  <c r="AW28" i="50"/>
  <c r="AV28" i="50"/>
  <c r="AV27" i="50" s="1"/>
  <c r="AU28" i="50"/>
  <c r="AP28" i="50"/>
  <c r="AP27" i="50" s="1"/>
  <c r="AO28" i="50"/>
  <c r="AO27" i="50" s="1"/>
  <c r="AN28" i="50"/>
  <c r="AM28" i="50"/>
  <c r="AL28" i="50"/>
  <c r="AK28" i="50"/>
  <c r="AK27" i="50" s="1"/>
  <c r="AH28" i="50"/>
  <c r="AG28" i="50"/>
  <c r="AF28" i="50"/>
  <c r="AE28" i="50"/>
  <c r="Z28" i="50"/>
  <c r="Y28" i="50"/>
  <c r="Y27" i="50" s="1"/>
  <c r="X28" i="50"/>
  <c r="W28" i="50"/>
  <c r="V28" i="50"/>
  <c r="U28" i="50"/>
  <c r="U27" i="50" s="1"/>
  <c r="R28" i="50"/>
  <c r="Q28" i="50"/>
  <c r="P28" i="50"/>
  <c r="P27" i="50" s="1"/>
  <c r="O28" i="50"/>
  <c r="H28" i="50"/>
  <c r="E28" i="50"/>
  <c r="CZ27" i="50"/>
  <c r="CW27" i="50"/>
  <c r="CQ27" i="50"/>
  <c r="CP27" i="50" s="1"/>
  <c r="CO27" i="50"/>
  <c r="CJ27" i="50"/>
  <c r="CG27" i="50"/>
  <c r="BY27" i="50"/>
  <c r="BT27" i="50"/>
  <c r="BQ27" i="50"/>
  <c r="BI27" i="50"/>
  <c r="BD27" i="50"/>
  <c r="BA27" i="50"/>
  <c r="AY27" i="50"/>
  <c r="AX27" i="50"/>
  <c r="AW27" i="50"/>
  <c r="AQ27" i="50"/>
  <c r="AN27" i="50"/>
  <c r="AM27" i="50"/>
  <c r="AI27" i="50"/>
  <c r="AH27" i="50"/>
  <c r="AG27" i="50"/>
  <c r="AF27" i="50"/>
  <c r="AE27" i="50"/>
  <c r="AD27" i="50" s="1"/>
  <c r="AA27" i="50"/>
  <c r="Z27" i="50"/>
  <c r="X27" i="50"/>
  <c r="W27" i="50"/>
  <c r="V27" i="50"/>
  <c r="S27" i="50"/>
  <c r="R27" i="50"/>
  <c r="Q27" i="50"/>
  <c r="J27" i="50"/>
  <c r="I27" i="50"/>
  <c r="G27" i="50"/>
  <c r="E27" i="50" s="1"/>
  <c r="F27" i="50"/>
  <c r="D27" i="50"/>
  <c r="H27" i="50" s="1"/>
  <c r="DJ26" i="50"/>
  <c r="DI26" i="50"/>
  <c r="DG26" i="50"/>
  <c r="CR26" i="50" s="1"/>
  <c r="DF26" i="50"/>
  <c r="DB26" i="50"/>
  <c r="CZ26" i="50"/>
  <c r="CT26" i="50"/>
  <c r="CL26" i="50"/>
  <c r="CJ26" i="50"/>
  <c r="CD26" i="50"/>
  <c r="BV26" i="50"/>
  <c r="BT26" i="50"/>
  <c r="BN26" i="50"/>
  <c r="BF26" i="50"/>
  <c r="BD26" i="50"/>
  <c r="AK26" i="50"/>
  <c r="AC26" i="50"/>
  <c r="H26" i="50"/>
  <c r="DH26" i="50" s="1"/>
  <c r="E26" i="50"/>
  <c r="DJ25" i="50"/>
  <c r="DI25" i="50"/>
  <c r="DG25" i="50"/>
  <c r="DF25" i="50"/>
  <c r="DC25" i="50"/>
  <c r="DB25" i="50"/>
  <c r="CY25" i="50"/>
  <c r="CU25" i="50"/>
  <c r="CT25" i="50"/>
  <c r="CQ25" i="50"/>
  <c r="CM25" i="50"/>
  <c r="CL25" i="50"/>
  <c r="CK25" i="50"/>
  <c r="CI25" i="50"/>
  <c r="CE25" i="50"/>
  <c r="CD25" i="50"/>
  <c r="CA25" i="50"/>
  <c r="BW25" i="50"/>
  <c r="BV25" i="50"/>
  <c r="BS25" i="50"/>
  <c r="BO25" i="50"/>
  <c r="BN25" i="50"/>
  <c r="BK25" i="50"/>
  <c r="BG25" i="50"/>
  <c r="BF25" i="50"/>
  <c r="BC25" i="50"/>
  <c r="AU25" i="50"/>
  <c r="AT25" i="50" s="1"/>
  <c r="AM25" i="50"/>
  <c r="AL25" i="50"/>
  <c r="AE25" i="50"/>
  <c r="AD25" i="50" s="1"/>
  <c r="W25" i="50"/>
  <c r="V25" i="50"/>
  <c r="O25" i="50"/>
  <c r="N25" i="50" s="1"/>
  <c r="H25" i="50"/>
  <c r="DH25" i="50" s="1"/>
  <c r="E25" i="50"/>
  <c r="DC24" i="50"/>
  <c r="DB24" i="50"/>
  <c r="DA24" i="50"/>
  <c r="CZ24" i="50"/>
  <c r="CY24" i="50"/>
  <c r="CX24" i="50" s="1"/>
  <c r="CU24" i="50"/>
  <c r="CT24" i="50"/>
  <c r="CS24" i="50"/>
  <c r="CR24" i="50"/>
  <c r="CQ24" i="50"/>
  <c r="CP24" i="50"/>
  <c r="CM24" i="50"/>
  <c r="CL24" i="50"/>
  <c r="CK24" i="50"/>
  <c r="CJ24" i="50"/>
  <c r="CI24" i="50"/>
  <c r="CH24" i="50" s="1"/>
  <c r="CE24" i="50"/>
  <c r="CD24" i="50"/>
  <c r="CC24" i="50"/>
  <c r="CB24" i="50"/>
  <c r="CA24" i="50"/>
  <c r="BZ24" i="50"/>
  <c r="BW24" i="50"/>
  <c r="BV24" i="50"/>
  <c r="BU24" i="50"/>
  <c r="BT24" i="50"/>
  <c r="BS24" i="50"/>
  <c r="BR24" i="50" s="1"/>
  <c r="BO24" i="50"/>
  <c r="BN24" i="50"/>
  <c r="BM24" i="50"/>
  <c r="BL24" i="50"/>
  <c r="BK24" i="50"/>
  <c r="BJ24" i="50"/>
  <c r="BG24" i="50"/>
  <c r="BF24" i="50"/>
  <c r="BE24" i="50"/>
  <c r="BD24" i="50"/>
  <c r="BC24" i="50"/>
  <c r="BB24" i="50" s="1"/>
  <c r="AS24" i="50"/>
  <c r="AK24" i="50"/>
  <c r="AC24" i="50"/>
  <c r="M24" i="50"/>
  <c r="H24" i="50"/>
  <c r="E24" i="50"/>
  <c r="DC23" i="50"/>
  <c r="DB23" i="50"/>
  <c r="DA23" i="50"/>
  <c r="CZ23" i="50"/>
  <c r="CY23" i="50"/>
  <c r="CX23" i="50"/>
  <c r="CU23" i="50"/>
  <c r="CT23" i="50"/>
  <c r="CS23" i="50"/>
  <c r="CR23" i="50"/>
  <c r="CQ23" i="50"/>
  <c r="CP23" i="50" s="1"/>
  <c r="CM23" i="50"/>
  <c r="CL23" i="50"/>
  <c r="CK23" i="50"/>
  <c r="CJ23" i="50"/>
  <c r="CI23" i="50"/>
  <c r="CH23" i="50"/>
  <c r="CE23" i="50"/>
  <c r="CD23" i="50"/>
  <c r="CC23" i="50"/>
  <c r="CB23" i="50"/>
  <c r="CA23" i="50"/>
  <c r="BZ23" i="50" s="1"/>
  <c r="BW23" i="50"/>
  <c r="BV23" i="50"/>
  <c r="BU23" i="50"/>
  <c r="BT23" i="50"/>
  <c r="BS23" i="50"/>
  <c r="BR23" i="50"/>
  <c r="BO23" i="50"/>
  <c r="BN23" i="50"/>
  <c r="BM23" i="50"/>
  <c r="BL23" i="50"/>
  <c r="BK23" i="50"/>
  <c r="BJ23" i="50" s="1"/>
  <c r="BG23" i="50"/>
  <c r="BF23" i="50"/>
  <c r="BE23" i="50"/>
  <c r="BD23" i="50"/>
  <c r="BC23" i="50"/>
  <c r="BB23" i="50" s="1"/>
  <c r="AC23" i="50"/>
  <c r="H23" i="50"/>
  <c r="E23" i="50"/>
  <c r="DI22" i="50"/>
  <c r="DG22" i="50"/>
  <c r="CR22" i="50" s="1"/>
  <c r="DF22" i="50"/>
  <c r="DC22" i="50"/>
  <c r="DB22" i="50"/>
  <c r="CZ22" i="50"/>
  <c r="CU22" i="50"/>
  <c r="CT22" i="50"/>
  <c r="CM22" i="50"/>
  <c r="CL22" i="50"/>
  <c r="CJ22" i="50"/>
  <c r="CE22" i="50"/>
  <c r="CD22" i="50"/>
  <c r="BW22" i="50"/>
  <c r="BV22" i="50"/>
  <c r="BT22" i="50"/>
  <c r="BO22" i="50"/>
  <c r="BN22" i="50"/>
  <c r="BL22" i="50"/>
  <c r="BG22" i="50"/>
  <c r="BF22" i="50"/>
  <c r="BD22" i="50"/>
  <c r="AS22" i="50"/>
  <c r="AK22" i="50"/>
  <c r="U22" i="50"/>
  <c r="H22" i="50"/>
  <c r="DH22" i="50" s="1"/>
  <c r="E22" i="50"/>
  <c r="DC21" i="50"/>
  <c r="DB21" i="50"/>
  <c r="DA21" i="50"/>
  <c r="CZ21" i="50"/>
  <c r="CY21" i="50"/>
  <c r="CX21" i="50"/>
  <c r="CU21" i="50"/>
  <c r="CT21" i="50"/>
  <c r="CS21" i="50"/>
  <c r="CR21" i="50"/>
  <c r="CQ21" i="50"/>
  <c r="CP21" i="50" s="1"/>
  <c r="CM21" i="50"/>
  <c r="CL21" i="50"/>
  <c r="CK21" i="50"/>
  <c r="CJ21" i="50"/>
  <c r="CI21" i="50"/>
  <c r="CH21" i="50"/>
  <c r="CE21" i="50"/>
  <c r="CD21" i="50"/>
  <c r="CC21" i="50"/>
  <c r="CB21" i="50"/>
  <c r="CA21" i="50"/>
  <c r="BZ21" i="50" s="1"/>
  <c r="BW21" i="50"/>
  <c r="BV21" i="50"/>
  <c r="BU21" i="50"/>
  <c r="BT21" i="50"/>
  <c r="BS21" i="50"/>
  <c r="BR21" i="50"/>
  <c r="BO21" i="50"/>
  <c r="BN21" i="50"/>
  <c r="BM21" i="50"/>
  <c r="BL21" i="50"/>
  <c r="BK21" i="50"/>
  <c r="BJ21" i="50" s="1"/>
  <c r="BG21" i="50"/>
  <c r="BF21" i="50"/>
  <c r="BE21" i="50"/>
  <c r="BD21" i="50"/>
  <c r="BC21" i="50"/>
  <c r="BB21" i="50"/>
  <c r="G21" i="50"/>
  <c r="F21" i="50"/>
  <c r="DJ20" i="50"/>
  <c r="DI20" i="50"/>
  <c r="DG20" i="50"/>
  <c r="DF20" i="50"/>
  <c r="DC20" i="50"/>
  <c r="DB20" i="50"/>
  <c r="CZ20" i="50"/>
  <c r="CY20" i="50"/>
  <c r="CX20" i="50"/>
  <c r="CU20" i="50"/>
  <c r="CT20" i="50"/>
  <c r="CR20" i="50"/>
  <c r="CQ20" i="50"/>
  <c r="CP20" i="50" s="1"/>
  <c r="CM20" i="50"/>
  <c r="CL20" i="50"/>
  <c r="CJ20" i="50"/>
  <c r="CI20" i="50"/>
  <c r="CH20" i="50"/>
  <c r="CE20" i="50"/>
  <c r="CD20" i="50"/>
  <c r="CB20" i="50"/>
  <c r="CA20" i="50"/>
  <c r="BW20" i="50"/>
  <c r="BV20" i="50"/>
  <c r="BT20" i="50"/>
  <c r="BS20" i="50"/>
  <c r="BR20" i="50"/>
  <c r="BO20" i="50"/>
  <c r="BN20" i="50"/>
  <c r="BL20" i="50"/>
  <c r="BK20" i="50"/>
  <c r="BJ20" i="50" s="1"/>
  <c r="BG20" i="50"/>
  <c r="BF20" i="50"/>
  <c r="BD20" i="50"/>
  <c r="BC20" i="50"/>
  <c r="BB20" i="50"/>
  <c r="AT20" i="50"/>
  <c r="AS20" i="50"/>
  <c r="AW20" i="50" s="1"/>
  <c r="AO20" i="50"/>
  <c r="AL20" i="50"/>
  <c r="AK20" i="50"/>
  <c r="AG20" i="50"/>
  <c r="AD20" i="50"/>
  <c r="AC20" i="50"/>
  <c r="V20" i="50"/>
  <c r="U20" i="50"/>
  <c r="N20" i="50"/>
  <c r="M20" i="50"/>
  <c r="Q20" i="50" s="1"/>
  <c r="H20" i="50"/>
  <c r="DH20" i="50" s="1"/>
  <c r="E20" i="50"/>
  <c r="DJ19" i="50"/>
  <c r="DI19" i="50"/>
  <c r="CT19" i="50" s="1"/>
  <c r="DH19" i="50"/>
  <c r="DG19" i="50"/>
  <c r="DF19" i="50"/>
  <c r="DC19" i="50"/>
  <c r="DB19" i="50"/>
  <c r="CZ19" i="50"/>
  <c r="CY19" i="50"/>
  <c r="CX19" i="50"/>
  <c r="CU19" i="50"/>
  <c r="CR19" i="50"/>
  <c r="CQ19" i="50"/>
  <c r="CP19" i="50" s="1"/>
  <c r="CM19" i="50"/>
  <c r="CL19" i="50"/>
  <c r="CJ19" i="50"/>
  <c r="CI19" i="50"/>
  <c r="CH19" i="50"/>
  <c r="CE19" i="50"/>
  <c r="CD19" i="50"/>
  <c r="CB19" i="50"/>
  <c r="CA19" i="50"/>
  <c r="BW19" i="50"/>
  <c r="BV19" i="50"/>
  <c r="BT19" i="50"/>
  <c r="BS19" i="50"/>
  <c r="BR19" i="50"/>
  <c r="BO19" i="50"/>
  <c r="BN19" i="50"/>
  <c r="BL19" i="50"/>
  <c r="BK19" i="50"/>
  <c r="BJ19" i="50" s="1"/>
  <c r="BG19" i="50"/>
  <c r="BF19" i="50"/>
  <c r="BD19" i="50"/>
  <c r="BC19" i="50"/>
  <c r="BB19" i="50"/>
  <c r="AX19" i="50"/>
  <c r="AW19" i="50"/>
  <c r="AT19" i="50"/>
  <c r="AS19" i="50"/>
  <c r="AO19" i="50"/>
  <c r="AL19" i="50"/>
  <c r="AG19" i="50"/>
  <c r="AD19" i="50"/>
  <c r="Y19" i="50"/>
  <c r="V19" i="50"/>
  <c r="Q19" i="50"/>
  <c r="N19" i="50"/>
  <c r="H19" i="50"/>
  <c r="E19" i="50"/>
  <c r="DC18" i="50"/>
  <c r="CU18" i="50"/>
  <c r="CM18" i="50"/>
  <c r="CE18" i="50"/>
  <c r="BW18" i="50"/>
  <c r="BO18" i="50"/>
  <c r="BG18" i="50"/>
  <c r="AS18" i="50"/>
  <c r="AK18" i="50"/>
  <c r="AC18" i="50"/>
  <c r="H18" i="50"/>
  <c r="E18" i="50"/>
  <c r="DJ17" i="50"/>
  <c r="DI17" i="50"/>
  <c r="DG17" i="50"/>
  <c r="DF17" i="50"/>
  <c r="DB17" i="50"/>
  <c r="CZ17" i="50"/>
  <c r="CT17" i="50"/>
  <c r="CR17" i="50"/>
  <c r="CL17" i="50"/>
  <c r="CJ17" i="50"/>
  <c r="CD17" i="50"/>
  <c r="CB17" i="50"/>
  <c r="BV17" i="50"/>
  <c r="BT17" i="50"/>
  <c r="BN17" i="50"/>
  <c r="BL17" i="50"/>
  <c r="BF17" i="50"/>
  <c r="BD17" i="50"/>
  <c r="H17" i="50"/>
  <c r="DH17" i="50" s="1"/>
  <c r="E17" i="50"/>
  <c r="DC16" i="50"/>
  <c r="DB16" i="50"/>
  <c r="DA16" i="50"/>
  <c r="CZ16" i="50"/>
  <c r="CY16" i="50"/>
  <c r="CX16" i="50"/>
  <c r="CU16" i="50"/>
  <c r="CT16" i="50"/>
  <c r="CS16" i="50"/>
  <c r="CR16" i="50"/>
  <c r="CP16" i="50" s="1"/>
  <c r="CQ16" i="50"/>
  <c r="CM16" i="50"/>
  <c r="CL16" i="50"/>
  <c r="CK16" i="50"/>
  <c r="CJ16" i="50"/>
  <c r="CI16" i="50"/>
  <c r="CH16" i="50"/>
  <c r="CE16" i="50"/>
  <c r="CD16" i="50"/>
  <c r="CC16" i="50"/>
  <c r="CB16" i="50"/>
  <c r="CA16" i="50"/>
  <c r="BW16" i="50"/>
  <c r="BV16" i="50"/>
  <c r="BU16" i="50"/>
  <c r="BT16" i="50"/>
  <c r="BS16" i="50"/>
  <c r="BR16" i="50"/>
  <c r="BO16" i="50"/>
  <c r="BN16" i="50"/>
  <c r="BM16" i="50"/>
  <c r="BL16" i="50"/>
  <c r="BK16" i="50"/>
  <c r="BJ16" i="50" s="1"/>
  <c r="BG16" i="50"/>
  <c r="BF16" i="50"/>
  <c r="BE16" i="50"/>
  <c r="BD16" i="50"/>
  <c r="BC16" i="50"/>
  <c r="BB16" i="50"/>
  <c r="AC16" i="50"/>
  <c r="H16" i="50"/>
  <c r="E16" i="50"/>
  <c r="CW15" i="50"/>
  <c r="CW13" i="50" s="1"/>
  <c r="CO15" i="50"/>
  <c r="CG15" i="50"/>
  <c r="BY15" i="50"/>
  <c r="BQ15" i="50"/>
  <c r="BQ13" i="50" s="1"/>
  <c r="BI15" i="50"/>
  <c r="BA15" i="50"/>
  <c r="AK15" i="50"/>
  <c r="AK13" i="50" s="1"/>
  <c r="AC15" i="50"/>
  <c r="M15" i="50"/>
  <c r="J15" i="50"/>
  <c r="I15" i="50"/>
  <c r="G15" i="50"/>
  <c r="D15" i="50"/>
  <c r="D13" i="50" s="1"/>
  <c r="D11" i="50" s="1"/>
  <c r="CO13" i="50"/>
  <c r="CG13" i="50"/>
  <c r="BY13" i="50"/>
  <c r="BI13" i="50"/>
  <c r="BA13" i="50"/>
  <c r="J13" i="50"/>
  <c r="I13" i="50"/>
  <c r="G13" i="50"/>
  <c r="J11" i="50"/>
  <c r="J141" i="50" s="1"/>
  <c r="J145" i="50" s="1"/>
  <c r="I11" i="50"/>
  <c r="CX6" i="50"/>
  <c r="CW6" i="50"/>
  <c r="CP6" i="50"/>
  <c r="CO6" i="50"/>
  <c r="CH6" i="50"/>
  <c r="CG6" i="50"/>
  <c r="BZ6" i="50"/>
  <c r="BY6" i="50"/>
  <c r="BR6" i="50"/>
  <c r="BQ6" i="50"/>
  <c r="BJ6" i="50"/>
  <c r="BI6" i="50"/>
  <c r="BB6" i="50"/>
  <c r="BA6" i="50"/>
  <c r="P6" i="50"/>
  <c r="J6" i="50"/>
  <c r="S6" i="50" s="1"/>
  <c r="S18" i="50" s="1"/>
  <c r="I6" i="50"/>
  <c r="R6" i="50" s="1"/>
  <c r="H6" i="50"/>
  <c r="Q6" i="50" s="1"/>
  <c r="G6" i="50"/>
  <c r="F6" i="50"/>
  <c r="CX5" i="50"/>
  <c r="CW5" i="50"/>
  <c r="CP5" i="50"/>
  <c r="CO5" i="50"/>
  <c r="CH5" i="50"/>
  <c r="CG5" i="50"/>
  <c r="BZ5" i="50"/>
  <c r="BY5" i="50"/>
  <c r="BR5" i="50"/>
  <c r="BQ5" i="50"/>
  <c r="BJ5" i="50"/>
  <c r="BI5" i="50"/>
  <c r="BB5" i="50"/>
  <c r="BA5" i="50"/>
  <c r="P5" i="50"/>
  <c r="J5" i="50"/>
  <c r="S5" i="50" s="1"/>
  <c r="I5" i="50"/>
  <c r="R5" i="50" s="1"/>
  <c r="H5" i="50"/>
  <c r="Q5" i="50" s="1"/>
  <c r="G5" i="50"/>
  <c r="F5" i="50"/>
  <c r="O4" i="50"/>
  <c r="J4" i="50"/>
  <c r="S4" i="50" s="1"/>
  <c r="I4" i="50"/>
  <c r="R4" i="50" s="1"/>
  <c r="H4" i="50"/>
  <c r="Q4" i="50" s="1"/>
  <c r="G4" i="50"/>
  <c r="P4" i="50" s="1"/>
  <c r="F4" i="50"/>
  <c r="E4" i="50" s="1"/>
  <c r="CX3" i="50"/>
  <c r="CW3" i="50"/>
  <c r="CP3" i="50"/>
  <c r="CO3" i="50"/>
  <c r="CH3" i="50"/>
  <c r="CG3" i="50"/>
  <c r="BZ3" i="50"/>
  <c r="BY3" i="50"/>
  <c r="BR3" i="50"/>
  <c r="BQ3" i="50"/>
  <c r="BJ3" i="50"/>
  <c r="BI3" i="50"/>
  <c r="BB3" i="50"/>
  <c r="BA3" i="50"/>
  <c r="Z3" i="50"/>
  <c r="R3" i="50"/>
  <c r="Q3" i="50"/>
  <c r="Q16" i="50" s="1"/>
  <c r="J3" i="50"/>
  <c r="S3" i="50" s="1"/>
  <c r="I3" i="50"/>
  <c r="H3" i="50"/>
  <c r="G3" i="50"/>
  <c r="P3" i="50" s="1"/>
  <c r="F3" i="50"/>
  <c r="O3" i="50" s="1"/>
  <c r="CQ2" i="50"/>
  <c r="BK2" i="50"/>
  <c r="AU1" i="50"/>
  <c r="AS1" i="50"/>
  <c r="AM1" i="50"/>
  <c r="AK1" i="50"/>
  <c r="AE1" i="50"/>
  <c r="AC1" i="50"/>
  <c r="W1" i="50"/>
  <c r="U1" i="50"/>
  <c r="O1" i="50"/>
  <c r="M1" i="50"/>
  <c r="X159" i="49"/>
  <c r="P159" i="49"/>
  <c r="O159" i="49"/>
  <c r="N159" i="49"/>
  <c r="L159" i="49" s="1"/>
  <c r="T157" i="49"/>
  <c r="L157" i="49"/>
  <c r="L158" i="49" s="1"/>
  <c r="D157" i="49"/>
  <c r="D150" i="49"/>
  <c r="H143" i="49"/>
  <c r="M140" i="49"/>
  <c r="W139" i="49"/>
  <c r="V139" i="49"/>
  <c r="M139" i="49"/>
  <c r="I139" i="49"/>
  <c r="H139" i="49"/>
  <c r="G139" i="49"/>
  <c r="F139" i="49"/>
  <c r="E139" i="49" s="1"/>
  <c r="V138" i="49"/>
  <c r="U138" i="49"/>
  <c r="M138" i="49"/>
  <c r="I138" i="49"/>
  <c r="H138" i="49"/>
  <c r="G138" i="49"/>
  <c r="U137" i="49"/>
  <c r="M137" i="49"/>
  <c r="E137" i="49"/>
  <c r="D137" i="49"/>
  <c r="D139" i="49" s="1"/>
  <c r="D138" i="49" s="1"/>
  <c r="M136" i="49"/>
  <c r="X135" i="49"/>
  <c r="U135" i="49"/>
  <c r="L135" i="49"/>
  <c r="Q135" i="49" s="1"/>
  <c r="E135" i="49"/>
  <c r="D135" i="49"/>
  <c r="D134" i="49"/>
  <c r="D133" i="49"/>
  <c r="X132" i="49"/>
  <c r="U132" i="49"/>
  <c r="L132" i="49"/>
  <c r="E132" i="49"/>
  <c r="D132" i="49"/>
  <c r="X131" i="49"/>
  <c r="U131" i="49"/>
  <c r="L131" i="49"/>
  <c r="E131" i="49"/>
  <c r="D131" i="49"/>
  <c r="X130" i="49"/>
  <c r="U130" i="49"/>
  <c r="L130" i="49"/>
  <c r="Q130" i="49" s="1"/>
  <c r="E130" i="49"/>
  <c r="D130" i="49"/>
  <c r="X129" i="49"/>
  <c r="U129" i="49"/>
  <c r="L129" i="49"/>
  <c r="E129" i="49"/>
  <c r="D129" i="49"/>
  <c r="X128" i="49"/>
  <c r="U128" i="49"/>
  <c r="L128" i="49"/>
  <c r="Q128" i="49" s="1"/>
  <c r="E128" i="49"/>
  <c r="D128" i="49"/>
  <c r="X127" i="49"/>
  <c r="U127" i="49"/>
  <c r="L127" i="49"/>
  <c r="E127" i="49"/>
  <c r="D127" i="49"/>
  <c r="X126" i="49"/>
  <c r="U126" i="49"/>
  <c r="L126" i="49"/>
  <c r="Q126" i="49" s="1"/>
  <c r="E126" i="49"/>
  <c r="D126" i="49"/>
  <c r="X125" i="49"/>
  <c r="U125" i="49"/>
  <c r="L125" i="49"/>
  <c r="E125" i="49"/>
  <c r="D125" i="49"/>
  <c r="X124" i="49"/>
  <c r="U124" i="49"/>
  <c r="L124" i="49"/>
  <c r="Q124" i="49" s="1"/>
  <c r="E124" i="49"/>
  <c r="D124" i="49"/>
  <c r="X123" i="49"/>
  <c r="U123" i="49"/>
  <c r="L123" i="49"/>
  <c r="E123" i="49"/>
  <c r="D123" i="49"/>
  <c r="X122" i="49"/>
  <c r="U122" i="49"/>
  <c r="L122" i="49"/>
  <c r="E122" i="49"/>
  <c r="D122" i="49"/>
  <c r="X121" i="49"/>
  <c r="U121" i="49"/>
  <c r="L121" i="49"/>
  <c r="E121" i="49"/>
  <c r="D121" i="49"/>
  <c r="X120" i="49"/>
  <c r="U120" i="49"/>
  <c r="L120" i="49"/>
  <c r="Q120" i="49" s="1"/>
  <c r="E120" i="49"/>
  <c r="D120" i="49"/>
  <c r="X119" i="49"/>
  <c r="U119" i="49"/>
  <c r="L119" i="49"/>
  <c r="E119" i="49"/>
  <c r="D119" i="49"/>
  <c r="X118" i="49"/>
  <c r="U118" i="49"/>
  <c r="L118" i="49"/>
  <c r="Q118" i="49" s="1"/>
  <c r="E118" i="49"/>
  <c r="D118" i="49"/>
  <c r="Y117" i="49"/>
  <c r="X117" i="49"/>
  <c r="W117" i="49"/>
  <c r="V117" i="49"/>
  <c r="U117" i="49" s="1"/>
  <c r="T117" i="49"/>
  <c r="I117" i="49"/>
  <c r="H117" i="49"/>
  <c r="G117" i="49"/>
  <c r="F117" i="49"/>
  <c r="E117" i="49" s="1"/>
  <c r="X116" i="49"/>
  <c r="U116" i="49"/>
  <c r="N116" i="49"/>
  <c r="L116" i="49"/>
  <c r="Q116" i="49" s="1"/>
  <c r="E116" i="49"/>
  <c r="D116" i="49"/>
  <c r="X115" i="49"/>
  <c r="U115" i="49"/>
  <c r="P115" i="49"/>
  <c r="L115" i="49"/>
  <c r="E115" i="49"/>
  <c r="D115" i="49"/>
  <c r="Y114" i="49"/>
  <c r="X114" i="49"/>
  <c r="W114" i="49"/>
  <c r="V114" i="49"/>
  <c r="U114" i="49" s="1"/>
  <c r="T114" i="49"/>
  <c r="I114" i="49"/>
  <c r="H114" i="49"/>
  <c r="G114" i="49"/>
  <c r="F114" i="49"/>
  <c r="E114" i="49" s="1"/>
  <c r="D114" i="49"/>
  <c r="X113" i="49"/>
  <c r="U113" i="49"/>
  <c r="L113" i="49"/>
  <c r="E113" i="49"/>
  <c r="D113" i="49"/>
  <c r="L112" i="49"/>
  <c r="D112" i="49"/>
  <c r="X111" i="49"/>
  <c r="U111" i="49"/>
  <c r="L111" i="49"/>
  <c r="E111" i="49"/>
  <c r="D111" i="49"/>
  <c r="X110" i="49"/>
  <c r="U110" i="49"/>
  <c r="L110" i="49"/>
  <c r="Q110" i="49" s="1"/>
  <c r="E110" i="49"/>
  <c r="D110" i="49"/>
  <c r="Y109" i="49"/>
  <c r="X109" i="49"/>
  <c r="W109" i="49"/>
  <c r="V109" i="49"/>
  <c r="I109" i="49"/>
  <c r="H109" i="49"/>
  <c r="G109" i="49"/>
  <c r="F109" i="49"/>
  <c r="T108" i="49"/>
  <c r="L108" i="49"/>
  <c r="D108" i="49"/>
  <c r="X107" i="49"/>
  <c r="U107" i="49"/>
  <c r="Q107" i="49"/>
  <c r="L107" i="49"/>
  <c r="P107" i="49" s="1"/>
  <c r="E107" i="49"/>
  <c r="D107" i="49"/>
  <c r="X106" i="49"/>
  <c r="U106" i="49"/>
  <c r="O106" i="49"/>
  <c r="L106" i="49"/>
  <c r="P106" i="49" s="1"/>
  <c r="E106" i="49"/>
  <c r="D106" i="49"/>
  <c r="X105" i="49"/>
  <c r="U105" i="49"/>
  <c r="M105" i="49"/>
  <c r="E105" i="49"/>
  <c r="D105" i="49"/>
  <c r="X104" i="49"/>
  <c r="U104" i="49"/>
  <c r="L104" i="49"/>
  <c r="Q104" i="49" s="1"/>
  <c r="E104" i="49"/>
  <c r="D104" i="49"/>
  <c r="X103" i="49"/>
  <c r="U103" i="49"/>
  <c r="P103" i="49"/>
  <c r="L103" i="49"/>
  <c r="E103" i="49"/>
  <c r="D103" i="49"/>
  <c r="Y101" i="49"/>
  <c r="X101" i="49"/>
  <c r="X95" i="49" s="1"/>
  <c r="W101" i="49"/>
  <c r="V101" i="49"/>
  <c r="U101" i="49" s="1"/>
  <c r="T101" i="49"/>
  <c r="I101" i="49"/>
  <c r="H101" i="49"/>
  <c r="H95" i="49" s="1"/>
  <c r="G101" i="49"/>
  <c r="F101" i="49"/>
  <c r="E101" i="49" s="1"/>
  <c r="D101" i="49"/>
  <c r="X100" i="49"/>
  <c r="U100" i="49"/>
  <c r="L100" i="49"/>
  <c r="E100" i="49"/>
  <c r="D100" i="49"/>
  <c r="X99" i="49"/>
  <c r="U99" i="49"/>
  <c r="L99" i="49"/>
  <c r="Q99" i="49" s="1"/>
  <c r="E99" i="49"/>
  <c r="D99" i="49"/>
  <c r="X98" i="49"/>
  <c r="U98" i="49"/>
  <c r="O98" i="49"/>
  <c r="N98" i="49"/>
  <c r="E98" i="49"/>
  <c r="D98" i="49"/>
  <c r="X97" i="49"/>
  <c r="U97" i="49"/>
  <c r="O97" i="49"/>
  <c r="N97" i="49"/>
  <c r="E97" i="49"/>
  <c r="D97" i="49"/>
  <c r="Y95" i="49"/>
  <c r="W95" i="49"/>
  <c r="I95" i="49"/>
  <c r="G95" i="49"/>
  <c r="F95" i="49"/>
  <c r="Y94" i="49"/>
  <c r="X94" i="49"/>
  <c r="W94" i="49"/>
  <c r="I94" i="49"/>
  <c r="H94" i="49"/>
  <c r="G94" i="49"/>
  <c r="U93" i="49"/>
  <c r="T93" i="49"/>
  <c r="Q93" i="49"/>
  <c r="P93" i="49"/>
  <c r="O93" i="49"/>
  <c r="N93" i="49"/>
  <c r="M93" i="49"/>
  <c r="L93" i="49"/>
  <c r="E93" i="49"/>
  <c r="D93" i="49"/>
  <c r="U92" i="49"/>
  <c r="T92" i="49"/>
  <c r="Q92" i="49"/>
  <c r="P92" i="49"/>
  <c r="O92" i="49"/>
  <c r="N92" i="49"/>
  <c r="H92" i="49"/>
  <c r="Y90" i="49"/>
  <c r="W90" i="49"/>
  <c r="V90" i="49"/>
  <c r="U90" i="49"/>
  <c r="Q90" i="49"/>
  <c r="Q106" i="49" s="1"/>
  <c r="P90" i="49"/>
  <c r="O90" i="49"/>
  <c r="O107" i="49" s="1"/>
  <c r="N90" i="49"/>
  <c r="H90" i="49"/>
  <c r="X89" i="49"/>
  <c r="U89" i="49"/>
  <c r="P89" i="49"/>
  <c r="L89" i="49"/>
  <c r="E89" i="49"/>
  <c r="D89" i="49"/>
  <c r="X88" i="49"/>
  <c r="U88" i="49"/>
  <c r="N88" i="49"/>
  <c r="L88" i="49"/>
  <c r="Q88" i="49" s="1"/>
  <c r="E88" i="49"/>
  <c r="D88" i="49"/>
  <c r="X87" i="49"/>
  <c r="U87" i="49"/>
  <c r="P87" i="49"/>
  <c r="L87" i="49"/>
  <c r="E87" i="49"/>
  <c r="D87" i="49"/>
  <c r="X86" i="49"/>
  <c r="U86" i="49"/>
  <c r="Q86" i="49"/>
  <c r="O86" i="49"/>
  <c r="L86" i="49"/>
  <c r="N86" i="49" s="1"/>
  <c r="M86" i="49" s="1"/>
  <c r="E86" i="49"/>
  <c r="D86" i="49"/>
  <c r="X85" i="49"/>
  <c r="U85" i="49"/>
  <c r="Q85" i="49"/>
  <c r="O85" i="49"/>
  <c r="L85" i="49"/>
  <c r="P85" i="49" s="1"/>
  <c r="E85" i="49"/>
  <c r="D85" i="49"/>
  <c r="X84" i="49"/>
  <c r="U84" i="49"/>
  <c r="O84" i="49"/>
  <c r="L84" i="49"/>
  <c r="N84" i="49" s="1"/>
  <c r="E84" i="49"/>
  <c r="D84" i="49"/>
  <c r="X83" i="49"/>
  <c r="U83" i="49"/>
  <c r="M83" i="49"/>
  <c r="L83" i="49"/>
  <c r="E83" i="49"/>
  <c r="D83" i="49"/>
  <c r="X82" i="49"/>
  <c r="U82" i="49"/>
  <c r="O82" i="49"/>
  <c r="L82" i="49"/>
  <c r="N82" i="49" s="1"/>
  <c r="E82" i="49"/>
  <c r="D82" i="49"/>
  <c r="X81" i="49"/>
  <c r="U81" i="49"/>
  <c r="Q81" i="49"/>
  <c r="O81" i="49"/>
  <c r="N81" i="49"/>
  <c r="M81" i="49"/>
  <c r="L81" i="49"/>
  <c r="P81" i="49" s="1"/>
  <c r="E81" i="49"/>
  <c r="D81" i="49"/>
  <c r="X80" i="49"/>
  <c r="U80" i="49"/>
  <c r="Q80" i="49"/>
  <c r="P80" i="49"/>
  <c r="O80" i="49"/>
  <c r="L80" i="49" s="1"/>
  <c r="L74" i="49" s="1"/>
  <c r="N80" i="49"/>
  <c r="E80" i="49"/>
  <c r="D80" i="49"/>
  <c r="X79" i="49"/>
  <c r="U79" i="49"/>
  <c r="Q79" i="49"/>
  <c r="L79" i="49"/>
  <c r="P79" i="49" s="1"/>
  <c r="E79" i="49"/>
  <c r="D79" i="49"/>
  <c r="X78" i="49"/>
  <c r="N78" i="49"/>
  <c r="L78" i="49"/>
  <c r="Q78" i="49" s="1"/>
  <c r="D78" i="49"/>
  <c r="X77" i="49"/>
  <c r="U77" i="49"/>
  <c r="M77" i="49"/>
  <c r="E77" i="49"/>
  <c r="D77" i="49"/>
  <c r="X76" i="49"/>
  <c r="U76" i="49"/>
  <c r="O76" i="49"/>
  <c r="L76" i="49"/>
  <c r="N76" i="49" s="1"/>
  <c r="M76" i="49" s="1"/>
  <c r="E76" i="49"/>
  <c r="D76" i="49"/>
  <c r="X75" i="49"/>
  <c r="U75" i="49"/>
  <c r="Q75" i="49"/>
  <c r="L75" i="49"/>
  <c r="P75" i="49" s="1"/>
  <c r="E75" i="49"/>
  <c r="D75" i="49"/>
  <c r="Y74" i="49"/>
  <c r="W74" i="49"/>
  <c r="V74" i="49"/>
  <c r="X74" i="49" s="1"/>
  <c r="U74" i="49"/>
  <c r="I74" i="49"/>
  <c r="H74" i="49"/>
  <c r="G74" i="49"/>
  <c r="F74" i="49"/>
  <c r="E74" i="49" s="1"/>
  <c r="D74" i="49"/>
  <c r="X73" i="49"/>
  <c r="U73" i="49"/>
  <c r="L73" i="49"/>
  <c r="E73" i="49"/>
  <c r="D73" i="49"/>
  <c r="X72" i="49"/>
  <c r="U72" i="49"/>
  <c r="N72" i="49"/>
  <c r="L72" i="49"/>
  <c r="Q72" i="49" s="1"/>
  <c r="E72" i="49"/>
  <c r="D72" i="49"/>
  <c r="X71" i="49"/>
  <c r="U71" i="49"/>
  <c r="Q71" i="49"/>
  <c r="P71" i="49"/>
  <c r="O71" i="49"/>
  <c r="N71" i="49"/>
  <c r="M71" i="49" s="1"/>
  <c r="E71" i="49"/>
  <c r="D71" i="49"/>
  <c r="X70" i="49"/>
  <c r="U70" i="49"/>
  <c r="Q70" i="49"/>
  <c r="P70" i="49"/>
  <c r="O70" i="49"/>
  <c r="N70" i="49"/>
  <c r="E70" i="49"/>
  <c r="D70" i="49"/>
  <c r="Y69" i="49"/>
  <c r="X69" i="49"/>
  <c r="W69" i="49"/>
  <c r="V69" i="49"/>
  <c r="I69" i="49"/>
  <c r="H69" i="49"/>
  <c r="G69" i="49"/>
  <c r="F69" i="49"/>
  <c r="X68" i="49"/>
  <c r="U68" i="49"/>
  <c r="N68" i="49"/>
  <c r="L68" i="49"/>
  <c r="Q68" i="49" s="1"/>
  <c r="Q67" i="49" s="1"/>
  <c r="E68" i="49"/>
  <c r="D68" i="49"/>
  <c r="Y67" i="49"/>
  <c r="X67" i="49"/>
  <c r="W67" i="49"/>
  <c r="V67" i="49"/>
  <c r="I67" i="49"/>
  <c r="H67" i="49"/>
  <c r="G67" i="49"/>
  <c r="F67" i="49"/>
  <c r="X66" i="49"/>
  <c r="U66" i="49"/>
  <c r="P66" i="49"/>
  <c r="M66" i="49"/>
  <c r="L66" i="49"/>
  <c r="E66" i="49"/>
  <c r="D66" i="49"/>
  <c r="X65" i="49"/>
  <c r="U65" i="49"/>
  <c r="P65" i="49"/>
  <c r="L65" i="49" s="1"/>
  <c r="M65" i="49"/>
  <c r="E65" i="49"/>
  <c r="D65" i="49"/>
  <c r="X64" i="49"/>
  <c r="U64" i="49"/>
  <c r="L64" i="49"/>
  <c r="E64" i="49"/>
  <c r="D64" i="49"/>
  <c r="D63" i="49"/>
  <c r="X62" i="49"/>
  <c r="U62" i="49"/>
  <c r="O62" i="49"/>
  <c r="L62" i="49"/>
  <c r="N62" i="49" s="1"/>
  <c r="E62" i="49"/>
  <c r="D62" i="49"/>
  <c r="X61" i="49"/>
  <c r="U61" i="49"/>
  <c r="Q61" i="49"/>
  <c r="N61" i="49"/>
  <c r="L61" i="49"/>
  <c r="P61" i="49" s="1"/>
  <c r="E61" i="49"/>
  <c r="D61" i="49"/>
  <c r="X60" i="49"/>
  <c r="U60" i="49"/>
  <c r="O60" i="49"/>
  <c r="L60" i="49"/>
  <c r="N60" i="49" s="1"/>
  <c r="M60" i="49" s="1"/>
  <c r="E60" i="49"/>
  <c r="D60" i="49"/>
  <c r="X59" i="49"/>
  <c r="U59" i="49"/>
  <c r="Q59" i="49"/>
  <c r="L59" i="49"/>
  <c r="P59" i="49" s="1"/>
  <c r="E59" i="49"/>
  <c r="D59" i="49"/>
  <c r="X58" i="49"/>
  <c r="N58" i="49"/>
  <c r="L58" i="49"/>
  <c r="Q58" i="49" s="1"/>
  <c r="D58" i="49"/>
  <c r="X57" i="49"/>
  <c r="U57" i="49"/>
  <c r="O57" i="49"/>
  <c r="N57" i="49"/>
  <c r="M57" i="49" s="1"/>
  <c r="L57" i="49"/>
  <c r="Q57" i="49" s="1"/>
  <c r="E57" i="49"/>
  <c r="D57" i="49"/>
  <c r="X56" i="49"/>
  <c r="O56" i="49"/>
  <c r="L56" i="49"/>
  <c r="N56" i="49" s="1"/>
  <c r="D56" i="49"/>
  <c r="X55" i="49"/>
  <c r="U55" i="49"/>
  <c r="Q55" i="49"/>
  <c r="P55" i="49"/>
  <c r="O55" i="49"/>
  <c r="L55" i="49" s="1"/>
  <c r="N55" i="49"/>
  <c r="E55" i="49"/>
  <c r="D55" i="49"/>
  <c r="X54" i="49"/>
  <c r="U54" i="49"/>
  <c r="Q54" i="49"/>
  <c r="N54" i="49"/>
  <c r="L54" i="49"/>
  <c r="P54" i="49" s="1"/>
  <c r="E54" i="49"/>
  <c r="D54" i="49"/>
  <c r="X53" i="49"/>
  <c r="U53" i="49"/>
  <c r="O53" i="49"/>
  <c r="L53" i="49"/>
  <c r="N53" i="49" s="1"/>
  <c r="M53" i="49" s="1"/>
  <c r="E53" i="49"/>
  <c r="D53" i="49"/>
  <c r="X52" i="49"/>
  <c r="U52" i="49"/>
  <c r="P52" i="49"/>
  <c r="L52" i="49" s="1"/>
  <c r="M52" i="49"/>
  <c r="E52" i="49"/>
  <c r="D52" i="49"/>
  <c r="X51" i="49"/>
  <c r="U51" i="49"/>
  <c r="P51" i="49"/>
  <c r="M51" i="49"/>
  <c r="L51" i="49"/>
  <c r="E51" i="49"/>
  <c r="D51" i="49"/>
  <c r="X50" i="49"/>
  <c r="U50" i="49"/>
  <c r="P50" i="49"/>
  <c r="M50" i="49"/>
  <c r="L50" i="49"/>
  <c r="E50" i="49"/>
  <c r="D50" i="49"/>
  <c r="X49" i="49"/>
  <c r="U49" i="49"/>
  <c r="P49" i="49"/>
  <c r="M49" i="49"/>
  <c r="L49" i="49"/>
  <c r="E49" i="49"/>
  <c r="D49" i="49"/>
  <c r="X48" i="49"/>
  <c r="U48" i="49"/>
  <c r="Q48" i="49"/>
  <c r="P48" i="49"/>
  <c r="O48" i="49"/>
  <c r="N48" i="49"/>
  <c r="M48" i="49"/>
  <c r="E48" i="49"/>
  <c r="D48" i="49"/>
  <c r="L47" i="49"/>
  <c r="D47" i="49"/>
  <c r="X46" i="49"/>
  <c r="U46" i="49"/>
  <c r="Q46" i="49"/>
  <c r="O46" i="49"/>
  <c r="N46" i="49"/>
  <c r="M46" i="49"/>
  <c r="L46" i="49"/>
  <c r="P46" i="49" s="1"/>
  <c r="E46" i="49"/>
  <c r="D46" i="49"/>
  <c r="Y45" i="49"/>
  <c r="Y34" i="49" s="1"/>
  <c r="W45" i="49"/>
  <c r="V45" i="49"/>
  <c r="X45" i="49" s="1"/>
  <c r="U45" i="49"/>
  <c r="I45" i="49"/>
  <c r="H45" i="49"/>
  <c r="D45" i="49" s="1"/>
  <c r="G45" i="49"/>
  <c r="F45" i="49"/>
  <c r="E45" i="49"/>
  <c r="X44" i="49"/>
  <c r="U44" i="49"/>
  <c r="L44" i="49"/>
  <c r="E44" i="49"/>
  <c r="D44" i="49"/>
  <c r="X43" i="49"/>
  <c r="U43" i="49"/>
  <c r="Q43" i="49"/>
  <c r="P43" i="49"/>
  <c r="O43" i="49"/>
  <c r="N43" i="49"/>
  <c r="E43" i="49"/>
  <c r="D43" i="49"/>
  <c r="X42" i="49"/>
  <c r="U42" i="49"/>
  <c r="Q42" i="49"/>
  <c r="P42" i="49"/>
  <c r="O42" i="49"/>
  <c r="N42" i="49"/>
  <c r="M42" i="49"/>
  <c r="L42" i="49"/>
  <c r="E42" i="49"/>
  <c r="D42" i="49"/>
  <c r="X41" i="49"/>
  <c r="U41" i="49"/>
  <c r="O41" i="49"/>
  <c r="N41" i="49"/>
  <c r="M41" i="49" s="1"/>
  <c r="L41" i="49"/>
  <c r="Q41" i="49" s="1"/>
  <c r="E41" i="49"/>
  <c r="D41" i="49"/>
  <c r="X40" i="49"/>
  <c r="U40" i="49"/>
  <c r="L40" i="49"/>
  <c r="E40" i="49"/>
  <c r="D40" i="49"/>
  <c r="Y39" i="49"/>
  <c r="X39" i="49"/>
  <c r="W39" i="49"/>
  <c r="V39" i="49"/>
  <c r="U39" i="49"/>
  <c r="T39" i="49"/>
  <c r="I39" i="49"/>
  <c r="H39" i="49"/>
  <c r="G39" i="49"/>
  <c r="F39" i="49"/>
  <c r="E39" i="49"/>
  <c r="D39" i="49"/>
  <c r="X38" i="49"/>
  <c r="U38" i="49"/>
  <c r="P38" i="49"/>
  <c r="L38" i="49"/>
  <c r="E38" i="49"/>
  <c r="D38" i="49"/>
  <c r="X37" i="49"/>
  <c r="U37" i="49"/>
  <c r="O37" i="49"/>
  <c r="N37" i="49"/>
  <c r="M37" i="49" s="1"/>
  <c r="L37" i="49"/>
  <c r="Q37" i="49" s="1"/>
  <c r="E37" i="49"/>
  <c r="D37" i="49"/>
  <c r="X36" i="49"/>
  <c r="U36" i="49"/>
  <c r="L36" i="49"/>
  <c r="E36" i="49"/>
  <c r="D36" i="49"/>
  <c r="W34" i="49"/>
  <c r="I34" i="49"/>
  <c r="G34" i="49"/>
  <c r="U33" i="49"/>
  <c r="M33" i="49"/>
  <c r="L33" i="49"/>
  <c r="E33" i="49"/>
  <c r="D33" i="49"/>
  <c r="X32" i="49"/>
  <c r="U32" i="49"/>
  <c r="Q32" i="49"/>
  <c r="P32" i="49"/>
  <c r="L32" i="49" s="1"/>
  <c r="O32" i="49"/>
  <c r="N32" i="49"/>
  <c r="M32" i="49" s="1"/>
  <c r="E32" i="49"/>
  <c r="D32" i="49"/>
  <c r="X31" i="49"/>
  <c r="U31" i="49"/>
  <c r="N31" i="49"/>
  <c r="L31" i="49"/>
  <c r="Q31" i="49" s="1"/>
  <c r="Q26" i="49" s="1"/>
  <c r="E31" i="49"/>
  <c r="D31" i="49"/>
  <c r="X30" i="49"/>
  <c r="U30" i="49"/>
  <c r="Q30" i="49"/>
  <c r="P30" i="49"/>
  <c r="L30" i="49" s="1"/>
  <c r="M30" i="49"/>
  <c r="E30" i="49"/>
  <c r="D30" i="49"/>
  <c r="X29" i="49"/>
  <c r="U29" i="49"/>
  <c r="Q29" i="49"/>
  <c r="P29" i="49"/>
  <c r="O29" i="49"/>
  <c r="N29" i="49"/>
  <c r="M29" i="49" s="1"/>
  <c r="L29" i="49"/>
  <c r="E29" i="49"/>
  <c r="D29" i="49"/>
  <c r="X28" i="49"/>
  <c r="X90" i="49" s="1"/>
  <c r="T90" i="49" s="1"/>
  <c r="U28" i="49"/>
  <c r="Q28" i="49"/>
  <c r="P28" i="49"/>
  <c r="O28" i="49"/>
  <c r="N28" i="49"/>
  <c r="E28" i="49"/>
  <c r="D28" i="49"/>
  <c r="Y26" i="49"/>
  <c r="W26" i="49"/>
  <c r="V26" i="49"/>
  <c r="U26" i="49" s="1"/>
  <c r="T26" i="49"/>
  <c r="X26" i="49" s="1"/>
  <c r="I26" i="49"/>
  <c r="H26" i="49"/>
  <c r="G26" i="49"/>
  <c r="F26" i="49"/>
  <c r="E26" i="49" s="1"/>
  <c r="X25" i="49"/>
  <c r="U25" i="49"/>
  <c r="Q25" i="49"/>
  <c r="P25" i="49"/>
  <c r="O25" i="49"/>
  <c r="N25" i="49"/>
  <c r="E25" i="49"/>
  <c r="D25" i="49"/>
  <c r="X24" i="49"/>
  <c r="U24" i="49"/>
  <c r="Q24" i="49"/>
  <c r="P24" i="49"/>
  <c r="O24" i="49"/>
  <c r="N24" i="49"/>
  <c r="M24" i="49"/>
  <c r="L24" i="49"/>
  <c r="E24" i="49"/>
  <c r="D24" i="49"/>
  <c r="X23" i="49"/>
  <c r="U23" i="49"/>
  <c r="Q23" i="49"/>
  <c r="P23" i="49"/>
  <c r="O23" i="49"/>
  <c r="N23" i="49"/>
  <c r="E23" i="49"/>
  <c r="D23" i="49"/>
  <c r="Y22" i="49"/>
  <c r="W22" i="49"/>
  <c r="V22" i="49"/>
  <c r="U22" i="49" s="1"/>
  <c r="T22" i="49"/>
  <c r="X22" i="49" s="1"/>
  <c r="Q22" i="49"/>
  <c r="P22" i="49"/>
  <c r="O22" i="49"/>
  <c r="I22" i="49"/>
  <c r="H22" i="49"/>
  <c r="G22" i="49"/>
  <c r="F22" i="49"/>
  <c r="X21" i="49"/>
  <c r="U21" i="49"/>
  <c r="Q21" i="49"/>
  <c r="P21" i="49"/>
  <c r="O21" i="49"/>
  <c r="N21" i="49"/>
  <c r="E21" i="49"/>
  <c r="D21" i="49"/>
  <c r="X20" i="49"/>
  <c r="U20" i="49"/>
  <c r="N20" i="49"/>
  <c r="L20" i="49" s="1"/>
  <c r="M20" i="49"/>
  <c r="E20" i="49"/>
  <c r="D20" i="49"/>
  <c r="X19" i="49"/>
  <c r="U19" i="49"/>
  <c r="O19" i="49"/>
  <c r="L19" i="49"/>
  <c r="N19" i="49" s="1"/>
  <c r="E19" i="49"/>
  <c r="D19" i="49"/>
  <c r="X18" i="49"/>
  <c r="U18" i="49"/>
  <c r="Q18" i="49"/>
  <c r="N18" i="49"/>
  <c r="L18" i="49"/>
  <c r="P18" i="49" s="1"/>
  <c r="E18" i="49"/>
  <c r="D18" i="49"/>
  <c r="X17" i="49"/>
  <c r="U17" i="49"/>
  <c r="Q17" i="49"/>
  <c r="P17" i="49"/>
  <c r="O17" i="49"/>
  <c r="M17" i="49" s="1"/>
  <c r="N17" i="49"/>
  <c r="E17" i="49"/>
  <c r="D17" i="49"/>
  <c r="X16" i="49"/>
  <c r="W16" i="49"/>
  <c r="V16" i="49"/>
  <c r="U16" i="49"/>
  <c r="Q16" i="49"/>
  <c r="O16" i="49"/>
  <c r="N16" i="49"/>
  <c r="M16" i="49" s="1"/>
  <c r="L16" i="49"/>
  <c r="P16" i="49" s="1"/>
  <c r="E16" i="49"/>
  <c r="D16" i="49"/>
  <c r="X15" i="49"/>
  <c r="U15" i="49"/>
  <c r="P15" i="49"/>
  <c r="M15" i="49"/>
  <c r="L15" i="49"/>
  <c r="E15" i="49"/>
  <c r="D15" i="49"/>
  <c r="X14" i="49"/>
  <c r="U14" i="49"/>
  <c r="Q14" i="49"/>
  <c r="P14" i="49"/>
  <c r="M14" i="49"/>
  <c r="L14" i="49"/>
  <c r="E14" i="49"/>
  <c r="D14" i="49"/>
  <c r="X13" i="49"/>
  <c r="U13" i="49"/>
  <c r="O13" i="49"/>
  <c r="N13" i="49"/>
  <c r="M13" i="49" s="1"/>
  <c r="L13" i="49"/>
  <c r="Q13" i="49" s="1"/>
  <c r="E13" i="49"/>
  <c r="D13" i="49"/>
  <c r="X12" i="49"/>
  <c r="U12" i="49"/>
  <c r="P12" i="49"/>
  <c r="L12" i="49" s="1"/>
  <c r="O12" i="49"/>
  <c r="M12" i="49" s="1"/>
  <c r="N12" i="49"/>
  <c r="E12" i="49"/>
  <c r="D12" i="49"/>
  <c r="X11" i="49"/>
  <c r="U11" i="49"/>
  <c r="Q11" i="49"/>
  <c r="O11" i="49"/>
  <c r="N11" i="49"/>
  <c r="M11" i="49" s="1"/>
  <c r="L11" i="49"/>
  <c r="P11" i="49" s="1"/>
  <c r="E11" i="49"/>
  <c r="D11" i="49"/>
  <c r="D10" i="49" s="1"/>
  <c r="Y10" i="49"/>
  <c r="Y8" i="49" s="1"/>
  <c r="W10" i="49"/>
  <c r="V10" i="49"/>
  <c r="U10" i="49" s="1"/>
  <c r="T10" i="49"/>
  <c r="X10" i="49" s="1"/>
  <c r="X8" i="49" s="1"/>
  <c r="I10" i="49"/>
  <c r="I8" i="49" s="1"/>
  <c r="H10" i="49"/>
  <c r="G10" i="49"/>
  <c r="F10" i="49"/>
  <c r="E10" i="49" s="1"/>
  <c r="W8" i="49"/>
  <c r="W6" i="49" s="1"/>
  <c r="W136" i="49" s="1"/>
  <c r="W140" i="49" s="1"/>
  <c r="T8" i="49"/>
  <c r="T6" i="49" s="1"/>
  <c r="H8" i="49"/>
  <c r="G8" i="49"/>
  <c r="G6" i="49" s="1"/>
  <c r="G136" i="49" s="1"/>
  <c r="G140" i="49" s="1"/>
  <c r="G146" i="49" s="1"/>
  <c r="O138" i="50" l="1"/>
  <c r="O136" i="50"/>
  <c r="O132" i="50"/>
  <c r="O128" i="50"/>
  <c r="N128" i="50" s="1"/>
  <c r="O135" i="50"/>
  <c r="W118" i="50"/>
  <c r="O133" i="50"/>
  <c r="O131" i="50"/>
  <c r="N131" i="50" s="1"/>
  <c r="O124" i="50"/>
  <c r="O123" i="50"/>
  <c r="O121" i="50"/>
  <c r="O129" i="50"/>
  <c r="O126" i="50"/>
  <c r="O110" i="50"/>
  <c r="O125" i="50"/>
  <c r="O118" i="50"/>
  <c r="N118" i="50" s="1"/>
  <c r="O111" i="50"/>
  <c r="O103" i="50"/>
  <c r="O104" i="50"/>
  <c r="O102" i="50"/>
  <c r="O92" i="50"/>
  <c r="O112" i="50"/>
  <c r="O94" i="50"/>
  <c r="O93" i="50"/>
  <c r="N93" i="50" s="1"/>
  <c r="O89" i="50"/>
  <c r="O90" i="50"/>
  <c r="O87" i="50"/>
  <c r="O109" i="50"/>
  <c r="N109" i="50" s="1"/>
  <c r="O83" i="50"/>
  <c r="O82" i="50"/>
  <c r="O78" i="50"/>
  <c r="O77" i="50"/>
  <c r="N77" i="50" s="1"/>
  <c r="O76" i="50"/>
  <c r="O66" i="50"/>
  <c r="O86" i="50"/>
  <c r="O85" i="50"/>
  <c r="O69" i="50"/>
  <c r="O64" i="50"/>
  <c r="O60" i="50"/>
  <c r="O84" i="50"/>
  <c r="N84" i="50" s="1"/>
  <c r="O80" i="50"/>
  <c r="O67" i="50"/>
  <c r="O81" i="50"/>
  <c r="O51" i="50"/>
  <c r="O49" i="50"/>
  <c r="O43" i="50"/>
  <c r="O41" i="50"/>
  <c r="O63" i="50"/>
  <c r="N63" i="50" s="1"/>
  <c r="O42" i="50"/>
  <c r="O33" i="50"/>
  <c r="O65" i="50"/>
  <c r="O26" i="50"/>
  <c r="O23" i="50"/>
  <c r="O68" i="50"/>
  <c r="O34" i="50"/>
  <c r="O22" i="50"/>
  <c r="N22" i="50" s="1"/>
  <c r="O16" i="50"/>
  <c r="O17" i="50"/>
  <c r="O75" i="50"/>
  <c r="O21" i="50"/>
  <c r="W3" i="50"/>
  <c r="N3" i="50"/>
  <c r="M3" i="50"/>
  <c r="P138" i="50"/>
  <c r="P132" i="50"/>
  <c r="P131" i="50"/>
  <c r="P135" i="50"/>
  <c r="P133" i="50"/>
  <c r="P136" i="50"/>
  <c r="X118" i="50"/>
  <c r="P124" i="50"/>
  <c r="P121" i="50"/>
  <c r="P129" i="50"/>
  <c r="P126" i="50"/>
  <c r="P125" i="50"/>
  <c r="P118" i="50"/>
  <c r="P110" i="50"/>
  <c r="P128" i="50"/>
  <c r="P112" i="50"/>
  <c r="P109" i="50"/>
  <c r="P104" i="50"/>
  <c r="P94" i="50"/>
  <c r="P93" i="50"/>
  <c r="P89" i="50"/>
  <c r="P120" i="50"/>
  <c r="P119" i="50" s="1"/>
  <c r="P90" i="50"/>
  <c r="P87" i="50"/>
  <c r="P86" i="50"/>
  <c r="P85" i="50"/>
  <c r="P69" i="50"/>
  <c r="P64" i="50"/>
  <c r="P60" i="50"/>
  <c r="P102" i="50"/>
  <c r="P84" i="50"/>
  <c r="P80" i="50"/>
  <c r="P67" i="50"/>
  <c r="P92" i="50"/>
  <c r="P81" i="50"/>
  <c r="P75" i="50"/>
  <c r="P68" i="50"/>
  <c r="P65" i="50"/>
  <c r="P63" i="50"/>
  <c r="P83" i="50"/>
  <c r="P77" i="50"/>
  <c r="P76" i="50"/>
  <c r="P73" i="50"/>
  <c r="P72" i="50" s="1"/>
  <c r="P66" i="50"/>
  <c r="P42" i="50"/>
  <c r="P78" i="50"/>
  <c r="P22" i="50"/>
  <c r="P16" i="50"/>
  <c r="P17" i="50"/>
  <c r="P82" i="50"/>
  <c r="P51" i="50"/>
  <c r="P43" i="50"/>
  <c r="P41" i="50"/>
  <c r="P21" i="50"/>
  <c r="P59" i="50"/>
  <c r="P23" i="50"/>
  <c r="X3" i="50"/>
  <c r="P26" i="50"/>
  <c r="P24" i="50"/>
  <c r="P49" i="50"/>
  <c r="P58" i="50"/>
  <c r="DA20" i="50"/>
  <c r="CK20" i="50"/>
  <c r="BU20" i="50"/>
  <c r="BE20" i="50"/>
  <c r="CS20" i="50"/>
  <c r="CC20" i="50"/>
  <c r="BM20" i="50"/>
  <c r="S139" i="50"/>
  <c r="S138" i="50"/>
  <c r="S136" i="50"/>
  <c r="S130" i="50"/>
  <c r="S132" i="50"/>
  <c r="S135" i="50"/>
  <c r="S131" i="50"/>
  <c r="S120" i="50"/>
  <c r="S119" i="50" s="1"/>
  <c r="S133" i="50"/>
  <c r="S129" i="50"/>
  <c r="S128" i="50"/>
  <c r="S124" i="50"/>
  <c r="S123" i="50"/>
  <c r="S122" i="50" s="1"/>
  <c r="S121" i="50"/>
  <c r="S125" i="50"/>
  <c r="S118" i="50"/>
  <c r="S110" i="50"/>
  <c r="S111" i="50"/>
  <c r="S108" i="50"/>
  <c r="S103" i="50"/>
  <c r="S126" i="50"/>
  <c r="S112" i="50"/>
  <c r="S102" i="50"/>
  <c r="S92" i="50"/>
  <c r="S86" i="50"/>
  <c r="S94" i="50"/>
  <c r="S93" i="50"/>
  <c r="S89" i="50"/>
  <c r="S109" i="50"/>
  <c r="S91" i="50"/>
  <c r="S90" i="50"/>
  <c r="S87" i="50"/>
  <c r="S104" i="50"/>
  <c r="S83" i="50"/>
  <c r="S82" i="50"/>
  <c r="S78" i="50"/>
  <c r="S77" i="50"/>
  <c r="S76" i="50"/>
  <c r="S73" i="50"/>
  <c r="S72" i="50" s="1"/>
  <c r="S66" i="50"/>
  <c r="S59" i="50"/>
  <c r="S85" i="50"/>
  <c r="S69" i="50"/>
  <c r="S64" i="50"/>
  <c r="S61" i="50"/>
  <c r="S60" i="50"/>
  <c r="S84" i="50"/>
  <c r="S80" i="50"/>
  <c r="S67" i="50"/>
  <c r="S63" i="50"/>
  <c r="S58" i="50"/>
  <c r="S51" i="50"/>
  <c r="S49" i="50"/>
  <c r="S43" i="50"/>
  <c r="S41" i="50"/>
  <c r="S36" i="50"/>
  <c r="S75" i="50"/>
  <c r="S74" i="50" s="1"/>
  <c r="S68" i="50"/>
  <c r="S65" i="50"/>
  <c r="S42" i="50"/>
  <c r="S33" i="50"/>
  <c r="S31" i="50" s="1"/>
  <c r="S81" i="50"/>
  <c r="S34" i="50"/>
  <c r="S26" i="50"/>
  <c r="S24" i="50"/>
  <c r="S23" i="50"/>
  <c r="S22" i="50"/>
  <c r="S16" i="50"/>
  <c r="S17" i="50"/>
  <c r="S21" i="50"/>
  <c r="AA3" i="50"/>
  <c r="S137" i="50"/>
  <c r="S134" i="50"/>
  <c r="S127" i="50"/>
  <c r="AA4" i="50"/>
  <c r="P137" i="50"/>
  <c r="P127" i="50"/>
  <c r="X4" i="50"/>
  <c r="Z138" i="50"/>
  <c r="Z132" i="50"/>
  <c r="Z135" i="50"/>
  <c r="Z123" i="50"/>
  <c r="Z124" i="50"/>
  <c r="Z121" i="50"/>
  <c r="Z136" i="50"/>
  <c r="Z129" i="50"/>
  <c r="Z125" i="50"/>
  <c r="Z128" i="50"/>
  <c r="Z110" i="50"/>
  <c r="Z94" i="50"/>
  <c r="Z93" i="50"/>
  <c r="Z89" i="50"/>
  <c r="BF121" i="50"/>
  <c r="Z90" i="50"/>
  <c r="Z87" i="50"/>
  <c r="BF120" i="50"/>
  <c r="Z92" i="50"/>
  <c r="Z83" i="50"/>
  <c r="Z69" i="50"/>
  <c r="Z64" i="50"/>
  <c r="Z60" i="50"/>
  <c r="Z86" i="50"/>
  <c r="Z80" i="50"/>
  <c r="Z67" i="50"/>
  <c r="Z81" i="50"/>
  <c r="Z65" i="50"/>
  <c r="Z33" i="50"/>
  <c r="Z82" i="50"/>
  <c r="Z78" i="50"/>
  <c r="Z68" i="50"/>
  <c r="Z42" i="50"/>
  <c r="Z34" i="50"/>
  <c r="Z102" i="50"/>
  <c r="Z77" i="50"/>
  <c r="Z76" i="50"/>
  <c r="Z43" i="50"/>
  <c r="Z16" i="50"/>
  <c r="Z49" i="50"/>
  <c r="Z36" i="50"/>
  <c r="Z17" i="50"/>
  <c r="Z61" i="50"/>
  <c r="Z21" i="50"/>
  <c r="Q62" i="50"/>
  <c r="Q18" i="50"/>
  <c r="Z22" i="50"/>
  <c r="CY26" i="50"/>
  <c r="CX26" i="50" s="1"/>
  <c r="CI26" i="50"/>
  <c r="CH26" i="50" s="1"/>
  <c r="BS26" i="50"/>
  <c r="BR26" i="50" s="1"/>
  <c r="BC26" i="50"/>
  <c r="BB26" i="50" s="1"/>
  <c r="CQ26" i="50"/>
  <c r="CP26" i="50" s="1"/>
  <c r="CA26" i="50"/>
  <c r="BK26" i="50"/>
  <c r="BJ26" i="50" s="1"/>
  <c r="N28" i="50"/>
  <c r="M28" i="50"/>
  <c r="M27" i="50" s="1"/>
  <c r="M13" i="50" s="1"/>
  <c r="O27" i="50"/>
  <c r="N27" i="50" s="1"/>
  <c r="AK31" i="50"/>
  <c r="D3" i="50"/>
  <c r="R138" i="50"/>
  <c r="R135" i="50"/>
  <c r="R133" i="50"/>
  <c r="R129" i="50"/>
  <c r="R128" i="50"/>
  <c r="R136" i="50"/>
  <c r="R125" i="50"/>
  <c r="R118" i="50"/>
  <c r="R132" i="50"/>
  <c r="R131" i="50"/>
  <c r="Z118" i="50"/>
  <c r="R123" i="50"/>
  <c r="R124" i="50"/>
  <c r="R121" i="50"/>
  <c r="R110" i="50"/>
  <c r="R103" i="50"/>
  <c r="R111" i="50"/>
  <c r="R92" i="50"/>
  <c r="R86" i="50"/>
  <c r="R94" i="50"/>
  <c r="R93" i="50"/>
  <c r="R89" i="50"/>
  <c r="R81" i="50"/>
  <c r="R75" i="50"/>
  <c r="R68" i="50"/>
  <c r="R65" i="50"/>
  <c r="R91" i="50"/>
  <c r="R83" i="50"/>
  <c r="R82" i="50"/>
  <c r="R78" i="50"/>
  <c r="R77" i="50"/>
  <c r="R76" i="50"/>
  <c r="R108" i="50"/>
  <c r="R106" i="50" s="1"/>
  <c r="R87" i="50"/>
  <c r="R85" i="50"/>
  <c r="R69" i="50"/>
  <c r="R64" i="50"/>
  <c r="R60" i="50"/>
  <c r="R90" i="50"/>
  <c r="R67" i="50"/>
  <c r="R58" i="50"/>
  <c r="R51" i="50"/>
  <c r="R49" i="50"/>
  <c r="R43" i="50"/>
  <c r="R84" i="50"/>
  <c r="R21" i="50"/>
  <c r="R42" i="50"/>
  <c r="R33" i="50"/>
  <c r="R26" i="50"/>
  <c r="R23" i="50"/>
  <c r="R22" i="50"/>
  <c r="R16" i="50"/>
  <c r="D4" i="50"/>
  <c r="Q137" i="50"/>
  <c r="Q134" i="50"/>
  <c r="Q127" i="50"/>
  <c r="Y4" i="50"/>
  <c r="Q116" i="50"/>
  <c r="Q115" i="50"/>
  <c r="Q114" i="50" s="1"/>
  <c r="Q140" i="50"/>
  <c r="Q47" i="50"/>
  <c r="R62" i="50"/>
  <c r="R18" i="50"/>
  <c r="Z6" i="50"/>
  <c r="Y6" i="50"/>
  <c r="AO18" i="50" s="1"/>
  <c r="DC17" i="50"/>
  <c r="CM17" i="50"/>
  <c r="CM15" i="50" s="1"/>
  <c r="CM13" i="50" s="1"/>
  <c r="BW17" i="50"/>
  <c r="BG17" i="50"/>
  <c r="CU17" i="50"/>
  <c r="CE17" i="50"/>
  <c r="CE15" i="50" s="1"/>
  <c r="BO17" i="50"/>
  <c r="BZ19" i="50"/>
  <c r="Q22" i="50"/>
  <c r="Q15" i="50" s="1"/>
  <c r="Q13" i="50" s="1"/>
  <c r="CY22" i="50"/>
  <c r="CX22" i="50" s="1"/>
  <c r="CI22" i="50"/>
  <c r="CH22" i="50" s="1"/>
  <c r="BS22" i="50"/>
  <c r="BR22" i="50" s="1"/>
  <c r="BC22" i="50"/>
  <c r="BB22" i="50" s="1"/>
  <c r="CQ22" i="50"/>
  <c r="CP22" i="50" s="1"/>
  <c r="CA22" i="50"/>
  <c r="BK22" i="50"/>
  <c r="BJ22" i="50" s="1"/>
  <c r="CS25" i="50"/>
  <c r="CC25" i="50"/>
  <c r="BM25" i="50"/>
  <c r="BJ25" i="50"/>
  <c r="BU25" i="50"/>
  <c r="BR27" i="50"/>
  <c r="DA28" i="50"/>
  <c r="DA27" i="50" s="1"/>
  <c r="CK28" i="50"/>
  <c r="BU28" i="50"/>
  <c r="BE28" i="50"/>
  <c r="BE27" i="50" s="1"/>
  <c r="CS28" i="50"/>
  <c r="CS27" i="50" s="1"/>
  <c r="CC28" i="50"/>
  <c r="BM28" i="50"/>
  <c r="DA29" i="50"/>
  <c r="CK29" i="50"/>
  <c r="BU29" i="50"/>
  <c r="BE29" i="50"/>
  <c r="BM29" i="50"/>
  <c r="CC29" i="50"/>
  <c r="CS29" i="50"/>
  <c r="CY31" i="50"/>
  <c r="AS31" i="50"/>
  <c r="Y48" i="50"/>
  <c r="Z53" i="50"/>
  <c r="Z85" i="50"/>
  <c r="P116" i="50"/>
  <c r="P115" i="50"/>
  <c r="P114" i="50" s="1"/>
  <c r="P105" i="50"/>
  <c r="P47" i="50"/>
  <c r="X5" i="50"/>
  <c r="P45" i="50"/>
  <c r="CS17" i="50"/>
  <c r="CC17" i="50"/>
  <c r="BM17" i="50"/>
  <c r="DA17" i="50"/>
  <c r="CK17" i="50"/>
  <c r="BU17" i="50"/>
  <c r="BE17" i="50"/>
  <c r="Z23" i="50"/>
  <c r="AT28" i="50"/>
  <c r="AS28" i="50"/>
  <c r="AU27" i="50"/>
  <c r="AT27" i="50" s="1"/>
  <c r="BN31" i="50"/>
  <c r="AA34" i="50"/>
  <c r="U174" i="50"/>
  <c r="E3" i="50"/>
  <c r="R137" i="50"/>
  <c r="R127" i="50"/>
  <c r="Z4" i="50"/>
  <c r="R116" i="50"/>
  <c r="R115" i="50"/>
  <c r="R114" i="50" s="1"/>
  <c r="R47" i="50"/>
  <c r="R37" i="50"/>
  <c r="Z5" i="50"/>
  <c r="Y5" i="50"/>
  <c r="O6" i="50"/>
  <c r="E6" i="50"/>
  <c r="D6" i="50"/>
  <c r="S62" i="50"/>
  <c r="AA6" i="50"/>
  <c r="BZ16" i="50"/>
  <c r="R17" i="50"/>
  <c r="CY17" i="50"/>
  <c r="CI17" i="50"/>
  <c r="BS17" i="50"/>
  <c r="BC17" i="50"/>
  <c r="CQ17" i="50"/>
  <c r="CA17" i="50"/>
  <c r="BK17" i="50"/>
  <c r="AP18" i="50"/>
  <c r="E21" i="50"/>
  <c r="H21" i="50"/>
  <c r="F15" i="50"/>
  <c r="H15" i="50" s="1"/>
  <c r="H13" i="50" s="1"/>
  <c r="Z24" i="50"/>
  <c r="BE25" i="50"/>
  <c r="Z26" i="50"/>
  <c r="AD28" i="50"/>
  <c r="AC28" i="50"/>
  <c r="AC27" i="50" s="1"/>
  <c r="AC13" i="50" s="1"/>
  <c r="BJ28" i="50"/>
  <c r="BZ28" i="50"/>
  <c r="DC27" i="50"/>
  <c r="BB29" i="50"/>
  <c r="BC27" i="50"/>
  <c r="BB27" i="50" s="1"/>
  <c r="CH29" i="50"/>
  <c r="CI27" i="50"/>
  <c r="CH27" i="50" s="1"/>
  <c r="BR35" i="50"/>
  <c r="BS31" i="50"/>
  <c r="BR31" i="50" s="1"/>
  <c r="R41" i="50"/>
  <c r="CS53" i="50"/>
  <c r="CC53" i="50"/>
  <c r="BM53" i="50"/>
  <c r="AW53" i="50"/>
  <c r="Q53" i="50"/>
  <c r="DA53" i="50"/>
  <c r="CK53" i="50"/>
  <c r="BU53" i="50"/>
  <c r="BE53" i="50"/>
  <c r="AO53" i="50"/>
  <c r="CX80" i="50"/>
  <c r="CY79" i="50"/>
  <c r="Q132" i="50"/>
  <c r="Q131" i="50"/>
  <c r="Q138" i="50"/>
  <c r="Q135" i="50"/>
  <c r="Q133" i="50"/>
  <c r="Q129" i="50"/>
  <c r="Q128" i="50"/>
  <c r="Q136" i="50"/>
  <c r="Q124" i="50"/>
  <c r="Q121" i="50"/>
  <c r="Q125" i="50"/>
  <c r="Q118" i="50"/>
  <c r="Y118" i="50"/>
  <c r="Q90" i="50"/>
  <c r="Q87" i="50"/>
  <c r="Q110" i="50"/>
  <c r="Q92" i="50"/>
  <c r="Q93" i="50"/>
  <c r="Q84" i="50"/>
  <c r="Q80" i="50"/>
  <c r="Q67" i="50"/>
  <c r="Q94" i="50"/>
  <c r="Q89" i="50"/>
  <c r="Q81" i="50"/>
  <c r="Q75" i="50"/>
  <c r="Q68" i="50"/>
  <c r="Q65" i="50"/>
  <c r="Q83" i="50"/>
  <c r="Q82" i="50"/>
  <c r="Q78" i="50"/>
  <c r="Q77" i="50"/>
  <c r="Q76" i="50"/>
  <c r="Q86" i="50"/>
  <c r="Q60" i="50"/>
  <c r="Q42" i="50"/>
  <c r="Q85" i="50"/>
  <c r="Q51" i="50"/>
  <c r="Q49" i="50"/>
  <c r="Q43" i="50"/>
  <c r="Q17" i="50"/>
  <c r="Q21" i="50"/>
  <c r="Q69" i="50"/>
  <c r="Q26" i="50"/>
  <c r="Q23" i="50"/>
  <c r="O137" i="50"/>
  <c r="N137" i="50" s="1"/>
  <c r="O127" i="50"/>
  <c r="W4" i="50"/>
  <c r="N4" i="50"/>
  <c r="M4" i="50"/>
  <c r="DA19" i="50"/>
  <c r="CK19" i="50"/>
  <c r="BU19" i="50"/>
  <c r="BE19" i="50"/>
  <c r="CS19" i="50"/>
  <c r="CC19" i="50"/>
  <c r="BM19" i="50"/>
  <c r="CS22" i="50"/>
  <c r="CC22" i="50"/>
  <c r="BM22" i="50"/>
  <c r="DA22" i="50"/>
  <c r="CK22" i="50"/>
  <c r="BU22" i="50"/>
  <c r="BE22" i="50"/>
  <c r="Q33" i="50"/>
  <c r="Q31" i="50" s="1"/>
  <c r="P46" i="50"/>
  <c r="DB44" i="50"/>
  <c r="Y3" i="50"/>
  <c r="AH3" i="50"/>
  <c r="AH34" i="50" s="1"/>
  <c r="O5" i="50"/>
  <c r="E5" i="50"/>
  <c r="D5" i="50"/>
  <c r="S116" i="50"/>
  <c r="S105" i="50"/>
  <c r="S115" i="50"/>
  <c r="S45" i="50"/>
  <c r="S47" i="50"/>
  <c r="AA5" i="50"/>
  <c r="P62" i="50"/>
  <c r="X6" i="50"/>
  <c r="P18" i="50"/>
  <c r="J144" i="50"/>
  <c r="J155" i="50"/>
  <c r="AS15" i="50"/>
  <c r="Y20" i="50"/>
  <c r="U15" i="50"/>
  <c r="U13" i="50" s="1"/>
  <c r="BZ20" i="50"/>
  <c r="O24" i="50"/>
  <c r="N24" i="50" s="1"/>
  <c r="AH24" i="50"/>
  <c r="DA25" i="50"/>
  <c r="CZ25" i="50"/>
  <c r="CX25" i="50" s="1"/>
  <c r="CJ25" i="50"/>
  <c r="CH25" i="50" s="1"/>
  <c r="BT25" i="50"/>
  <c r="BR25" i="50" s="1"/>
  <c r="BD25" i="50"/>
  <c r="BB25" i="50" s="1"/>
  <c r="CR25" i="50"/>
  <c r="CP25" i="50" s="1"/>
  <c r="CB25" i="50"/>
  <c r="BZ25" i="50" s="1"/>
  <c r="BL25" i="50"/>
  <c r="CS26" i="50"/>
  <c r="CC26" i="50"/>
  <c r="BM26" i="50"/>
  <c r="DA26" i="50"/>
  <c r="CK26" i="50"/>
  <c r="BU26" i="50"/>
  <c r="BE26" i="50"/>
  <c r="DC26" i="50"/>
  <c r="CM26" i="50"/>
  <c r="BW26" i="50"/>
  <c r="BG26" i="50"/>
  <c r="CU26" i="50"/>
  <c r="CE26" i="50"/>
  <c r="BO26" i="50"/>
  <c r="AL27" i="50"/>
  <c r="BV27" i="50"/>
  <c r="CX27" i="50"/>
  <c r="CP28" i="50"/>
  <c r="AT29" i="50"/>
  <c r="AS29" i="50"/>
  <c r="DB29" i="50"/>
  <c r="DB27" i="50" s="1"/>
  <c r="CL29" i="50"/>
  <c r="CL27" i="50" s="1"/>
  <c r="BV29" i="50"/>
  <c r="BF29" i="50"/>
  <c r="BF27" i="50" s="1"/>
  <c r="CT29" i="50"/>
  <c r="CT27" i="50" s="1"/>
  <c r="CD29" i="50"/>
  <c r="BN29" i="50"/>
  <c r="S30" i="50"/>
  <c r="P30" i="50"/>
  <c r="O30" i="50"/>
  <c r="N30" i="50" s="1"/>
  <c r="R30" i="50"/>
  <c r="BB47" i="50"/>
  <c r="BC44" i="50"/>
  <c r="BR48" i="50"/>
  <c r="Q64" i="50"/>
  <c r="R80" i="50"/>
  <c r="CR79" i="50"/>
  <c r="CP82" i="50"/>
  <c r="Q24" i="50"/>
  <c r="CD31" i="50"/>
  <c r="R34" i="50"/>
  <c r="BZ34" i="50"/>
  <c r="CA31" i="50"/>
  <c r="BZ31" i="50" s="1"/>
  <c r="BB35" i="50"/>
  <c r="BC31" i="50"/>
  <c r="BB31" i="50" s="1"/>
  <c r="S46" i="50"/>
  <c r="BZ45" i="50"/>
  <c r="CA44" i="50"/>
  <c r="X46" i="50"/>
  <c r="AA46" i="50"/>
  <c r="Z46" i="50"/>
  <c r="CL44" i="50"/>
  <c r="BM44" i="50"/>
  <c r="CX47" i="50"/>
  <c r="CY44" i="50"/>
  <c r="CS48" i="50"/>
  <c r="CC48" i="50"/>
  <c r="CC44" i="50" s="1"/>
  <c r="BM48" i="50"/>
  <c r="BJ48" i="50"/>
  <c r="BU48" i="50"/>
  <c r="BR51" i="50"/>
  <c r="CX51" i="50"/>
  <c r="DC50" i="50"/>
  <c r="DC53" i="50"/>
  <c r="CM53" i="50"/>
  <c r="BW53" i="50"/>
  <c r="BW50" i="50" s="1"/>
  <c r="BW39" i="50" s="1"/>
  <c r="BG53" i="50"/>
  <c r="AQ53" i="50"/>
  <c r="CU53" i="50"/>
  <c r="CU50" i="50" s="1"/>
  <c r="CE53" i="50"/>
  <c r="CE50" i="50" s="1"/>
  <c r="CE39" i="50" s="1"/>
  <c r="BO53" i="50"/>
  <c r="BO50" i="50" s="1"/>
  <c r="AY53" i="50"/>
  <c r="S53" i="50"/>
  <c r="X58" i="50"/>
  <c r="AA58" i="50"/>
  <c r="W58" i="50"/>
  <c r="Z58" i="50"/>
  <c r="AA63" i="50"/>
  <c r="BR81" i="50"/>
  <c r="BT79" i="50"/>
  <c r="AH16" i="50"/>
  <c r="AF18" i="50"/>
  <c r="AX18" i="50"/>
  <c r="X22" i="50"/>
  <c r="CB22" i="50"/>
  <c r="R24" i="50"/>
  <c r="BL26" i="50"/>
  <c r="CB26" i="50"/>
  <c r="BN28" i="50"/>
  <c r="BN27" i="50" s="1"/>
  <c r="CD28" i="50"/>
  <c r="CD27" i="50" s="1"/>
  <c r="BK29" i="50"/>
  <c r="BO29" i="50"/>
  <c r="BO27" i="50" s="1"/>
  <c r="CA29" i="50"/>
  <c r="CE29" i="50"/>
  <c r="CE27" i="50" s="1"/>
  <c r="X30" i="50"/>
  <c r="AA30" i="50"/>
  <c r="AC31" i="50"/>
  <c r="DA35" i="50"/>
  <c r="DA31" i="50" s="1"/>
  <c r="CK35" i="50"/>
  <c r="CK31" i="50" s="1"/>
  <c r="BU35" i="50"/>
  <c r="BU31" i="50" s="1"/>
  <c r="BE35" i="50"/>
  <c r="BE31" i="50" s="1"/>
  <c r="BM35" i="50"/>
  <c r="BM31" i="50" s="1"/>
  <c r="CX35" i="50"/>
  <c r="DB35" i="50"/>
  <c r="DB31" i="50" s="1"/>
  <c r="CL35" i="50"/>
  <c r="CL31" i="50" s="1"/>
  <c r="BV35" i="50"/>
  <c r="BV31" i="50" s="1"/>
  <c r="BF35" i="50"/>
  <c r="BF31" i="50" s="1"/>
  <c r="CT35" i="50"/>
  <c r="CT31" i="50" s="1"/>
  <c r="CD35" i="50"/>
  <c r="BN35" i="50"/>
  <c r="P36" i="50"/>
  <c r="O36" i="50"/>
  <c r="N36" i="50" s="1"/>
  <c r="R36" i="50"/>
  <c r="M31" i="50"/>
  <c r="Y37" i="50"/>
  <c r="X41" i="50"/>
  <c r="AA41" i="50"/>
  <c r="W41" i="50"/>
  <c r="Z41" i="50"/>
  <c r="Y46" i="50"/>
  <c r="BV44" i="50"/>
  <c r="DB47" i="50"/>
  <c r="CL47" i="50"/>
  <c r="BV47" i="50"/>
  <c r="BF47" i="50"/>
  <c r="BF44" i="50" s="1"/>
  <c r="CT47" i="50"/>
  <c r="CT44" i="50" s="1"/>
  <c r="CD47" i="50"/>
  <c r="CD44" i="50" s="1"/>
  <c r="BN47" i="50"/>
  <c r="BN44" i="50" s="1"/>
  <c r="P48" i="50"/>
  <c r="S48" i="50"/>
  <c r="O48" i="50"/>
  <c r="R48" i="50"/>
  <c r="BE48" i="50"/>
  <c r="X51" i="50"/>
  <c r="AA51" i="50"/>
  <c r="W51" i="50"/>
  <c r="Z51" i="50"/>
  <c r="BB51" i="50"/>
  <c r="BG50" i="50"/>
  <c r="BG39" i="50" s="1"/>
  <c r="CY53" i="50"/>
  <c r="CX53" i="50" s="1"/>
  <c r="CI53" i="50"/>
  <c r="CH53" i="50" s="1"/>
  <c r="BS53" i="50"/>
  <c r="BR53" i="50" s="1"/>
  <c r="BC53" i="50"/>
  <c r="BB53" i="50" s="1"/>
  <c r="AM53" i="50"/>
  <c r="AL53" i="50" s="1"/>
  <c r="CQ53" i="50"/>
  <c r="CA53" i="50"/>
  <c r="BK53" i="50"/>
  <c r="AU53" i="50"/>
  <c r="AT53" i="50" s="1"/>
  <c r="O53" i="50"/>
  <c r="N53" i="50" s="1"/>
  <c r="Y58" i="50"/>
  <c r="BJ72" i="50"/>
  <c r="BI72" i="50"/>
  <c r="E74" i="50"/>
  <c r="D74" i="50"/>
  <c r="F39" i="50"/>
  <c r="BK74" i="50"/>
  <c r="CP84" i="50"/>
  <c r="CQ79" i="50"/>
  <c r="CU79" i="50"/>
  <c r="DA85" i="50"/>
  <c r="DA79" i="50" s="1"/>
  <c r="CK85" i="50"/>
  <c r="CK79" i="50" s="1"/>
  <c r="BU85" i="50"/>
  <c r="BE85" i="50"/>
  <c r="CS85" i="50"/>
  <c r="CS79" i="50" s="1"/>
  <c r="CC85" i="50"/>
  <c r="BM85" i="50"/>
  <c r="BM79" i="50" s="1"/>
  <c r="BL29" i="50"/>
  <c r="BL27" i="50" s="1"/>
  <c r="CB29" i="50"/>
  <c r="CB27" i="50" s="1"/>
  <c r="DA30" i="50"/>
  <c r="CK30" i="50"/>
  <c r="BU30" i="50"/>
  <c r="BE30" i="50"/>
  <c r="CS30" i="50"/>
  <c r="DB30" i="50"/>
  <c r="CT30" i="50"/>
  <c r="CD30" i="50"/>
  <c r="BN30" i="50"/>
  <c r="Y33" i="50"/>
  <c r="CH33" i="50"/>
  <c r="CZ31" i="50"/>
  <c r="BJ34" i="50"/>
  <c r="BK31" i="50"/>
  <c r="BJ31" i="50" s="1"/>
  <c r="CP34" i="50"/>
  <c r="CQ31" i="50"/>
  <c r="CP31" i="50" s="1"/>
  <c r="BG31" i="50"/>
  <c r="CH35" i="50"/>
  <c r="CI31" i="50"/>
  <c r="CH31" i="50" s="1"/>
  <c r="Q36" i="50"/>
  <c r="Q37" i="50"/>
  <c r="BR37" i="50"/>
  <c r="Y41" i="50"/>
  <c r="CH42" i="50"/>
  <c r="CX43" i="50"/>
  <c r="BJ45" i="50"/>
  <c r="BK44" i="50"/>
  <c r="CP45" i="50"/>
  <c r="CQ44" i="50"/>
  <c r="CU44" i="50"/>
  <c r="CU39" i="50" s="1"/>
  <c r="R46" i="50"/>
  <c r="CP46" i="50"/>
  <c r="DA47" i="50"/>
  <c r="CK47" i="50"/>
  <c r="CK44" i="50" s="1"/>
  <c r="BU47" i="50"/>
  <c r="BU44" i="50" s="1"/>
  <c r="BE47" i="50"/>
  <c r="BE44" i="50" s="1"/>
  <c r="BR47" i="50"/>
  <c r="BS44" i="50"/>
  <c r="CS47" i="50"/>
  <c r="DC39" i="50"/>
  <c r="Q48" i="50"/>
  <c r="CP48" i="50"/>
  <c r="DA48" i="50"/>
  <c r="CZ48" i="50"/>
  <c r="CZ44" i="50" s="1"/>
  <c r="CJ48" i="50"/>
  <c r="CH48" i="50" s="1"/>
  <c r="BT48" i="50"/>
  <c r="BT44" i="50" s="1"/>
  <c r="BD48" i="50"/>
  <c r="BD44" i="50" s="1"/>
  <c r="CR48" i="50"/>
  <c r="CR44" i="50" s="1"/>
  <c r="CB48" i="50"/>
  <c r="CB44" i="50" s="1"/>
  <c r="BL48" i="50"/>
  <c r="BL44" i="50" s="1"/>
  <c r="CP49" i="50"/>
  <c r="G39" i="50"/>
  <c r="G11" i="50" s="1"/>
  <c r="G141" i="50" s="1"/>
  <c r="G145" i="50" s="1"/>
  <c r="G152" i="50" s="1"/>
  <c r="G166" i="50" s="1"/>
  <c r="E50" i="50"/>
  <c r="Y51" i="50"/>
  <c r="CH51" i="50"/>
  <c r="CM50" i="50"/>
  <c r="CM39" i="50" s="1"/>
  <c r="O58" i="50"/>
  <c r="N58" i="50" s="1"/>
  <c r="DB60" i="50"/>
  <c r="CL60" i="50"/>
  <c r="BV60" i="50"/>
  <c r="BF60" i="50"/>
  <c r="CT60" i="50"/>
  <c r="CD60" i="50"/>
  <c r="BN60" i="50"/>
  <c r="P61" i="50"/>
  <c r="O61" i="50"/>
  <c r="N61" i="50" s="1"/>
  <c r="R61" i="50"/>
  <c r="Q61" i="50"/>
  <c r="X33" i="50"/>
  <c r="P34" i="50"/>
  <c r="Y34" i="50"/>
  <c r="W36" i="50"/>
  <c r="AA36" i="50"/>
  <c r="O37" i="50"/>
  <c r="S37" i="50"/>
  <c r="X37" i="50"/>
  <c r="Q41" i="50"/>
  <c r="CJ44" i="50"/>
  <c r="CH44" i="50" s="1"/>
  <c r="Q45" i="50"/>
  <c r="Q44" i="50" s="1"/>
  <c r="Q46" i="50"/>
  <c r="AA48" i="50"/>
  <c r="X53" i="50"/>
  <c r="Q58" i="50"/>
  <c r="X59" i="50"/>
  <c r="AA59" i="50"/>
  <c r="W59" i="50"/>
  <c r="V59" i="50" s="1"/>
  <c r="Z59" i="50"/>
  <c r="R63" i="50"/>
  <c r="R66" i="50"/>
  <c r="CP66" i="50"/>
  <c r="BR67" i="50"/>
  <c r="BR69" i="50"/>
  <c r="BB72" i="50"/>
  <c r="BA72" i="50"/>
  <c r="CH72" i="50"/>
  <c r="CG72" i="50"/>
  <c r="O73" i="50"/>
  <c r="CP73" i="50"/>
  <c r="CX77" i="50"/>
  <c r="BB78" i="50"/>
  <c r="CH80" i="50"/>
  <c r="CI79" i="50"/>
  <c r="BZ82" i="50"/>
  <c r="CB79" i="50"/>
  <c r="CL79" i="50"/>
  <c r="BU79" i="50"/>
  <c r="CX103" i="50"/>
  <c r="P33" i="50"/>
  <c r="P31" i="50" s="1"/>
  <c r="Q34" i="50"/>
  <c r="P37" i="50"/>
  <c r="R45" i="50"/>
  <c r="X48" i="50"/>
  <c r="Y53" i="50"/>
  <c r="DA60" i="50"/>
  <c r="CK60" i="50"/>
  <c r="BU60" i="50"/>
  <c r="BE60" i="50"/>
  <c r="CC60" i="50"/>
  <c r="Y61" i="50"/>
  <c r="CP72" i="50"/>
  <c r="CO72" i="50"/>
  <c r="AA75" i="50"/>
  <c r="CP75" i="50"/>
  <c r="CQ74" i="50"/>
  <c r="CZ75" i="50"/>
  <c r="CJ75" i="50"/>
  <c r="BT75" i="50"/>
  <c r="BD75" i="50"/>
  <c r="BB75" i="50" s="1"/>
  <c r="CR75" i="50"/>
  <c r="CB75" i="50"/>
  <c r="BL75" i="50"/>
  <c r="BJ75" i="50" s="1"/>
  <c r="CS76" i="50"/>
  <c r="CC76" i="50"/>
  <c r="BM76" i="50"/>
  <c r="CP76" i="50"/>
  <c r="DA76" i="50"/>
  <c r="DA74" i="50" s="1"/>
  <c r="CZ76" i="50"/>
  <c r="CX76" i="50" s="1"/>
  <c r="CJ76" i="50"/>
  <c r="CH76" i="50" s="1"/>
  <c r="BT76" i="50"/>
  <c r="BR76" i="50" s="1"/>
  <c r="BD76" i="50"/>
  <c r="BB76" i="50" s="1"/>
  <c r="CR76" i="50"/>
  <c r="CB76" i="50"/>
  <c r="BL76" i="50"/>
  <c r="BJ76" i="50" s="1"/>
  <c r="BR80" i="50"/>
  <c r="BS79" i="50"/>
  <c r="CC79" i="50"/>
  <c r="CX81" i="50"/>
  <c r="CZ79" i="50"/>
  <c r="BL79" i="50"/>
  <c r="BJ82" i="50"/>
  <c r="Z84" i="50"/>
  <c r="BJ84" i="50"/>
  <c r="BK79" i="50"/>
  <c r="Y85" i="50"/>
  <c r="O59" i="50"/>
  <c r="N59" i="50" s="1"/>
  <c r="BM60" i="50"/>
  <c r="X66" i="50"/>
  <c r="AA66" i="50"/>
  <c r="W66" i="50"/>
  <c r="Z66" i="50"/>
  <c r="BJ66" i="50"/>
  <c r="CX67" i="50"/>
  <c r="CX69" i="50"/>
  <c r="X73" i="50"/>
  <c r="X72" i="50" s="1"/>
  <c r="AA73" i="50"/>
  <c r="AA72" i="50" s="1"/>
  <c r="W73" i="50"/>
  <c r="Z73" i="50"/>
  <c r="Z72" i="50" s="1"/>
  <c r="BJ73" i="50"/>
  <c r="CS75" i="50"/>
  <c r="CS74" i="50" s="1"/>
  <c r="CC75" i="50"/>
  <c r="CC74" i="50" s="1"/>
  <c r="BM75" i="50"/>
  <c r="BM74" i="50" s="1"/>
  <c r="CA74" i="50"/>
  <c r="CK75" i="50"/>
  <c r="CK74" i="50" s="1"/>
  <c r="BZ76" i="50"/>
  <c r="CK76" i="50"/>
  <c r="CH78" i="50"/>
  <c r="BB80" i="50"/>
  <c r="BC79" i="50"/>
  <c r="BG79" i="50"/>
  <c r="BF79" i="50"/>
  <c r="BE79" i="50"/>
  <c r="Q91" i="50"/>
  <c r="Z103" i="50"/>
  <c r="Q59" i="50"/>
  <c r="AA61" i="50"/>
  <c r="Y63" i="50"/>
  <c r="Q66" i="50"/>
  <c r="Q73" i="50"/>
  <c r="Q72" i="50" s="1"/>
  <c r="Y75" i="50"/>
  <c r="D97" i="50"/>
  <c r="R102" i="50"/>
  <c r="X105" i="50"/>
  <c r="AA105" i="50"/>
  <c r="Z105" i="50"/>
  <c r="Y105" i="50"/>
  <c r="AC106" i="50"/>
  <c r="CP109" i="50"/>
  <c r="CQ106" i="50"/>
  <c r="R59" i="50"/>
  <c r="AV62" i="50"/>
  <c r="Q63" i="50"/>
  <c r="Z63" i="50"/>
  <c r="R73" i="50"/>
  <c r="R72" i="50" s="1"/>
  <c r="Z75" i="50"/>
  <c r="Y84" i="50"/>
  <c r="BN85" i="50"/>
  <c r="BN79" i="50" s="1"/>
  <c r="CD85" i="50"/>
  <c r="CD79" i="50" s="1"/>
  <c r="E95" i="50"/>
  <c r="D95" i="50"/>
  <c r="E98" i="50"/>
  <c r="D98" i="50"/>
  <c r="BR102" i="50"/>
  <c r="BJ104" i="50"/>
  <c r="D114" i="50"/>
  <c r="D100" i="50" s="1"/>
  <c r="D99" i="50" s="1"/>
  <c r="D141" i="50" s="1"/>
  <c r="I100" i="50"/>
  <c r="I99" i="50" s="1"/>
  <c r="I141" i="50" s="1"/>
  <c r="I145" i="50" s="1"/>
  <c r="W63" i="50"/>
  <c r="BK85" i="50"/>
  <c r="BJ85" i="50" s="1"/>
  <c r="BO85" i="50"/>
  <c r="BO79" i="50" s="1"/>
  <c r="BO39" i="50" s="1"/>
  <c r="CA85" i="50"/>
  <c r="CE85" i="50"/>
  <c r="CE79" i="50" s="1"/>
  <c r="CP86" i="50"/>
  <c r="BJ87" i="50"/>
  <c r="BZ89" i="50"/>
  <c r="Z91" i="50"/>
  <c r="E99" i="50"/>
  <c r="X102" i="50"/>
  <c r="Y102" i="50"/>
  <c r="W102" i="50"/>
  <c r="AA102" i="50"/>
  <c r="BB110" i="50"/>
  <c r="BC106" i="50"/>
  <c r="Q111" i="50"/>
  <c r="AA112" i="50"/>
  <c r="Y123" i="50"/>
  <c r="O91" i="50"/>
  <c r="N91" i="50" s="1"/>
  <c r="X91" i="50"/>
  <c r="Q102" i="50"/>
  <c r="Q103" i="50"/>
  <c r="AA104" i="50"/>
  <c r="Z108" i="50"/>
  <c r="CH108" i="50"/>
  <c r="CX108" i="50"/>
  <c r="CZ106" i="50"/>
  <c r="BZ109" i="50"/>
  <c r="CA106" i="50"/>
  <c r="BB111" i="50"/>
  <c r="R112" i="50"/>
  <c r="BZ114" i="50"/>
  <c r="BY114" i="50"/>
  <c r="BY100" i="50" s="1"/>
  <c r="BY99" i="50" s="1"/>
  <c r="CA2" i="50" s="1"/>
  <c r="CH114" i="50"/>
  <c r="CW114" i="50"/>
  <c r="CW100" i="50" s="1"/>
  <c r="CW99" i="50" s="1"/>
  <c r="CY2" i="50" s="1"/>
  <c r="Z131" i="50"/>
  <c r="P91" i="50"/>
  <c r="Y91" i="50"/>
  <c r="R104" i="50"/>
  <c r="O105" i="50"/>
  <c r="N105" i="50" s="1"/>
  <c r="Q108" i="50"/>
  <c r="AK106" i="50"/>
  <c r="BR108" i="50"/>
  <c r="CJ106" i="50"/>
  <c r="AA109" i="50"/>
  <c r="BJ109" i="50"/>
  <c r="BK106" i="50"/>
  <c r="BJ106" i="50" s="1"/>
  <c r="CH110" i="50"/>
  <c r="CI106" i="50"/>
  <c r="CX111" i="50"/>
  <c r="BB114" i="50"/>
  <c r="BR124" i="50"/>
  <c r="BZ126" i="50"/>
  <c r="BZ105" i="50"/>
  <c r="BB108" i="50"/>
  <c r="R109" i="50"/>
  <c r="Z111" i="50"/>
  <c r="CH111" i="50"/>
  <c r="BQ114" i="50"/>
  <c r="BQ100" i="50" s="1"/>
  <c r="BQ99" i="50" s="1"/>
  <c r="BS2" i="50" s="1"/>
  <c r="O130" i="50"/>
  <c r="N130" i="50" s="1"/>
  <c r="R130" i="50"/>
  <c r="Q130" i="50"/>
  <c r="P130" i="50"/>
  <c r="M122" i="50"/>
  <c r="Y104" i="50"/>
  <c r="Q105" i="50"/>
  <c r="O108" i="50"/>
  <c r="Y109" i="50"/>
  <c r="Y112" i="50"/>
  <c r="U114" i="50"/>
  <c r="BA114" i="50"/>
  <c r="BA100" i="50" s="1"/>
  <c r="BA99" i="50" s="1"/>
  <c r="BC2" i="50" s="1"/>
  <c r="CG114" i="50"/>
  <c r="CG100" i="50" s="1"/>
  <c r="CG99" i="50" s="1"/>
  <c r="CI2" i="50" s="1"/>
  <c r="X120" i="50"/>
  <c r="AA120" i="50"/>
  <c r="W120" i="50"/>
  <c r="U119" i="50"/>
  <c r="U100" i="50" s="1"/>
  <c r="Z120" i="50"/>
  <c r="Z119" i="50" s="1"/>
  <c r="Q123" i="50"/>
  <c r="Q122" i="50" s="1"/>
  <c r="BB124" i="50"/>
  <c r="AA126" i="50"/>
  <c r="BJ126" i="50"/>
  <c r="Z130" i="50"/>
  <c r="P103" i="50"/>
  <c r="Y103" i="50"/>
  <c r="Q104" i="50"/>
  <c r="Z104" i="50"/>
  <c r="R105" i="50"/>
  <c r="P108" i="50"/>
  <c r="P106" i="50" s="1"/>
  <c r="Y108" i="50"/>
  <c r="Q109" i="50"/>
  <c r="Z109" i="50"/>
  <c r="P111" i="50"/>
  <c r="Y111" i="50"/>
  <c r="Q112" i="50"/>
  <c r="Z112" i="50"/>
  <c r="BR115" i="50"/>
  <c r="BB118" i="50"/>
  <c r="CP119" i="50"/>
  <c r="Y120" i="50"/>
  <c r="BJ120" i="50"/>
  <c r="BJ123" i="50"/>
  <c r="BB125" i="50"/>
  <c r="R126" i="50"/>
  <c r="W104" i="50"/>
  <c r="W109" i="50"/>
  <c r="W112" i="50"/>
  <c r="BB115" i="50"/>
  <c r="CX118" i="50"/>
  <c r="BJ119" i="50"/>
  <c r="O120" i="50"/>
  <c r="AS122" i="50"/>
  <c r="CH124" i="50"/>
  <c r="CX125" i="50"/>
  <c r="AC122" i="50"/>
  <c r="CP126" i="50"/>
  <c r="Q120" i="50"/>
  <c r="Q119" i="50" s="1"/>
  <c r="Y126" i="50"/>
  <c r="P134" i="50"/>
  <c r="O134" i="50"/>
  <c r="R134" i="50"/>
  <c r="R120" i="50"/>
  <c r="R119" i="50" s="1"/>
  <c r="P123" i="50"/>
  <c r="P122" i="50" s="1"/>
  <c r="Q126" i="50"/>
  <c r="Z126" i="50"/>
  <c r="CH128" i="50"/>
  <c r="AW139" i="50"/>
  <c r="W126" i="50"/>
  <c r="BR128" i="50"/>
  <c r="CP129" i="50"/>
  <c r="X130" i="50"/>
  <c r="AA130" i="50"/>
  <c r="W130" i="50"/>
  <c r="CP130" i="50"/>
  <c r="AA133" i="50"/>
  <c r="Y133" i="50"/>
  <c r="X140" i="50"/>
  <c r="AA140" i="50"/>
  <c r="E143" i="50"/>
  <c r="Y131" i="50"/>
  <c r="Z133" i="50"/>
  <c r="X134" i="50"/>
  <c r="S140" i="50"/>
  <c r="O140" i="50"/>
  <c r="N140" i="50" s="1"/>
  <c r="R140" i="50"/>
  <c r="AQ143" i="50"/>
  <c r="AQ142" i="50"/>
  <c r="M166" i="50"/>
  <c r="V145" i="50"/>
  <c r="X152" i="50"/>
  <c r="X166" i="50" s="1"/>
  <c r="X143" i="50"/>
  <c r="X142" i="50" s="1"/>
  <c r="BA166" i="50"/>
  <c r="CG166" i="50"/>
  <c r="W133" i="50"/>
  <c r="CP136" i="50"/>
  <c r="BR138" i="50"/>
  <c r="P140" i="50"/>
  <c r="Y140" i="50"/>
  <c r="BJ140" i="50"/>
  <c r="CO166" i="50"/>
  <c r="AN142" i="50"/>
  <c r="Q143" i="50"/>
  <c r="Q142" i="50" s="1"/>
  <c r="AD145" i="50"/>
  <c r="AC145" i="50"/>
  <c r="AE151" i="50"/>
  <c r="AE166" i="50" s="1"/>
  <c r="AC166" i="50" s="1"/>
  <c r="AM143" i="50"/>
  <c r="AK165" i="50"/>
  <c r="AO143" i="50"/>
  <c r="BQ165" i="50"/>
  <c r="CW165" i="50"/>
  <c r="BQ166" i="50"/>
  <c r="CW166" i="50"/>
  <c r="M165" i="50"/>
  <c r="O143" i="50"/>
  <c r="U145" i="50"/>
  <c r="AS166" i="50"/>
  <c r="U166" i="50"/>
  <c r="BY166" i="50"/>
  <c r="N145" i="50"/>
  <c r="AM151" i="50"/>
  <c r="AM166" i="50" s="1"/>
  <c r="AK166" i="50" s="1"/>
  <c r="Q10" i="49"/>
  <c r="Q8" i="49" s="1"/>
  <c r="P69" i="49"/>
  <c r="W162" i="49"/>
  <c r="W146" i="49"/>
  <c r="W159" i="49" s="1"/>
  <c r="I6" i="49"/>
  <c r="I136" i="49" s="1"/>
  <c r="I140" i="49" s="1"/>
  <c r="I148" i="49" s="1"/>
  <c r="Y91" i="49"/>
  <c r="Y6" i="49"/>
  <c r="Y136" i="49" s="1"/>
  <c r="Y140" i="49" s="1"/>
  <c r="M43" i="49"/>
  <c r="L43" i="49"/>
  <c r="O44" i="49"/>
  <c r="N44" i="49"/>
  <c r="M44" i="49" s="1"/>
  <c r="Q44" i="49"/>
  <c r="U67" i="49"/>
  <c r="T67" i="49"/>
  <c r="V34" i="49"/>
  <c r="U69" i="49"/>
  <c r="T69" i="49"/>
  <c r="M97" i="49"/>
  <c r="L97" i="49"/>
  <c r="P13" i="49"/>
  <c r="P10" i="49" s="1"/>
  <c r="P8" i="49" s="1"/>
  <c r="E22" i="49"/>
  <c r="D22" i="49"/>
  <c r="D8" i="49" s="1"/>
  <c r="M25" i="49"/>
  <c r="L25" i="49"/>
  <c r="G90" i="49"/>
  <c r="F90" i="49"/>
  <c r="I90" i="49"/>
  <c r="D26" i="49"/>
  <c r="O36" i="49"/>
  <c r="N36" i="49"/>
  <c r="Q36" i="49"/>
  <c r="O40" i="49"/>
  <c r="O39" i="49" s="1"/>
  <c r="N40" i="49"/>
  <c r="Q40" i="49"/>
  <c r="Q39" i="49" s="1"/>
  <c r="P44" i="49"/>
  <c r="L48" i="49"/>
  <c r="O64" i="49"/>
  <c r="N64" i="49"/>
  <c r="M64" i="49" s="1"/>
  <c r="Q64" i="49"/>
  <c r="O73" i="49"/>
  <c r="N73" i="49"/>
  <c r="Q73" i="49"/>
  <c r="Q69" i="49" s="1"/>
  <c r="T95" i="49"/>
  <c r="T94" i="49" s="1"/>
  <c r="T136" i="49" s="1"/>
  <c r="U109" i="49"/>
  <c r="T109" i="49"/>
  <c r="V95" i="49"/>
  <c r="M31" i="49"/>
  <c r="H6" i="49"/>
  <c r="H136" i="49" s="1"/>
  <c r="H140" i="49" s="1"/>
  <c r="H147" i="49" s="1"/>
  <c r="F8" i="49"/>
  <c r="V8" i="49"/>
  <c r="N10" i="49"/>
  <c r="L17" i="49"/>
  <c r="L10" i="49" s="1"/>
  <c r="P36" i="49"/>
  <c r="O38" i="49"/>
  <c r="N38" i="49"/>
  <c r="Q38" i="49"/>
  <c r="H34" i="49"/>
  <c r="P40" i="49"/>
  <c r="P39" i="49" s="1"/>
  <c r="M55" i="49"/>
  <c r="M62" i="49"/>
  <c r="P64" i="49"/>
  <c r="E67" i="49"/>
  <c r="F34" i="49"/>
  <c r="D67" i="49"/>
  <c r="E69" i="49"/>
  <c r="D69" i="49"/>
  <c r="M70" i="49"/>
  <c r="L70" i="49"/>
  <c r="N69" i="49"/>
  <c r="L71" i="49"/>
  <c r="P73" i="49"/>
  <c r="M80" i="49"/>
  <c r="F138" i="49"/>
  <c r="E138" i="49" s="1"/>
  <c r="O111" i="49"/>
  <c r="N111" i="49"/>
  <c r="Q111" i="49"/>
  <c r="P111" i="49"/>
  <c r="W91" i="49"/>
  <c r="M19" i="49"/>
  <c r="M21" i="49"/>
  <c r="L21" i="49"/>
  <c r="M23" i="49"/>
  <c r="L23" i="49"/>
  <c r="N22" i="49"/>
  <c r="M28" i="49"/>
  <c r="L28" i="49"/>
  <c r="L26" i="49" s="1"/>
  <c r="N26" i="49"/>
  <c r="N67" i="49"/>
  <c r="M82" i="49"/>
  <c r="M84" i="49"/>
  <c r="O113" i="49"/>
  <c r="N113" i="49"/>
  <c r="M113" i="49" s="1"/>
  <c r="Q113" i="49"/>
  <c r="P113" i="49"/>
  <c r="P19" i="49"/>
  <c r="O31" i="49"/>
  <c r="O26" i="49" s="1"/>
  <c r="P53" i="49"/>
  <c r="P45" i="49" s="1"/>
  <c r="P56" i="49"/>
  <c r="O58" i="49"/>
  <c r="N59" i="49"/>
  <c r="M59" i="49" s="1"/>
  <c r="P60" i="49"/>
  <c r="P62" i="49"/>
  <c r="O68" i="49"/>
  <c r="O67" i="49" s="1"/>
  <c r="O72" i="49"/>
  <c r="O69" i="49" s="1"/>
  <c r="N75" i="49"/>
  <c r="P76" i="49"/>
  <c r="P74" i="49" s="1"/>
  <c r="O78" i="49"/>
  <c r="N79" i="49"/>
  <c r="P82" i="49"/>
  <c r="P84" i="49"/>
  <c r="N85" i="49"/>
  <c r="M85" i="49" s="1"/>
  <c r="P86" i="49"/>
  <c r="N106" i="49"/>
  <c r="M106" i="49" s="1"/>
  <c r="M90" i="49"/>
  <c r="L90" i="49"/>
  <c r="M92" i="49"/>
  <c r="L92" i="49"/>
  <c r="N99" i="49"/>
  <c r="O115" i="49"/>
  <c r="N115" i="49"/>
  <c r="L114" i="49"/>
  <c r="Q115" i="49"/>
  <c r="Q114" i="49" s="1"/>
  <c r="N118" i="49"/>
  <c r="N120" i="49"/>
  <c r="N124" i="49"/>
  <c r="N126" i="49"/>
  <c r="M126" i="49" s="1"/>
  <c r="N128" i="49"/>
  <c r="N130" i="49"/>
  <c r="N135" i="49"/>
  <c r="O18" i="49"/>
  <c r="M18" i="49" s="1"/>
  <c r="Q19" i="49"/>
  <c r="P31" i="49"/>
  <c r="P26" i="49" s="1"/>
  <c r="G92" i="49"/>
  <c r="F92" i="49"/>
  <c r="I92" i="49"/>
  <c r="P37" i="49"/>
  <c r="P41" i="49"/>
  <c r="Q53" i="49"/>
  <c r="Q45" i="49" s="1"/>
  <c r="O54" i="49"/>
  <c r="M54" i="49" s="1"/>
  <c r="Q56" i="49"/>
  <c r="P57" i="49"/>
  <c r="P58" i="49"/>
  <c r="O59" i="49"/>
  <c r="Q60" i="49"/>
  <c r="O61" i="49"/>
  <c r="M61" i="49" s="1"/>
  <c r="Q62" i="49"/>
  <c r="P68" i="49"/>
  <c r="P67" i="49" s="1"/>
  <c r="P72" i="49"/>
  <c r="O75" i="49"/>
  <c r="Q76" i="49"/>
  <c r="Q74" i="49" s="1"/>
  <c r="P78" i="49"/>
  <c r="O79" i="49"/>
  <c r="Q82" i="49"/>
  <c r="Q84" i="49"/>
  <c r="E95" i="49"/>
  <c r="F94" i="49"/>
  <c r="E94" i="49" s="1"/>
  <c r="M98" i="49"/>
  <c r="L98" i="49"/>
  <c r="O100" i="49"/>
  <c r="N100" i="49"/>
  <c r="M100" i="49" s="1"/>
  <c r="Q100" i="49"/>
  <c r="N104" i="49"/>
  <c r="M104" i="49" s="1"/>
  <c r="E109" i="49"/>
  <c r="D109" i="49"/>
  <c r="D95" i="49" s="1"/>
  <c r="D94" i="49" s="1"/>
  <c r="Q109" i="49"/>
  <c r="D117" i="49"/>
  <c r="Q119" i="49"/>
  <c r="O119" i="49"/>
  <c r="N119" i="49"/>
  <c r="M119" i="49" s="1"/>
  <c r="O121" i="49"/>
  <c r="N121" i="49"/>
  <c r="M121" i="49" s="1"/>
  <c r="Q121" i="49"/>
  <c r="O123" i="49"/>
  <c r="N123" i="49"/>
  <c r="Q123" i="49"/>
  <c r="O125" i="49"/>
  <c r="N125" i="49"/>
  <c r="M125" i="49" s="1"/>
  <c r="Q125" i="49"/>
  <c r="O127" i="49"/>
  <c r="N127" i="49"/>
  <c r="Q127" i="49"/>
  <c r="O131" i="49"/>
  <c r="N131" i="49"/>
  <c r="Q131" i="49"/>
  <c r="U139" i="49"/>
  <c r="O87" i="49"/>
  <c r="N87" i="49"/>
  <c r="M87" i="49" s="1"/>
  <c r="Q87" i="49"/>
  <c r="O89" i="49"/>
  <c r="N89" i="49"/>
  <c r="Q89" i="49"/>
  <c r="P100" i="49"/>
  <c r="O103" i="49"/>
  <c r="O101" i="49" s="1"/>
  <c r="N103" i="49"/>
  <c r="L101" i="49"/>
  <c r="Q103" i="49"/>
  <c r="Q101" i="49" s="1"/>
  <c r="N110" i="49"/>
  <c r="L117" i="49"/>
  <c r="P119" i="49"/>
  <c r="P121" i="49"/>
  <c r="P123" i="49"/>
  <c r="P125" i="49"/>
  <c r="P127" i="49"/>
  <c r="P131" i="49"/>
  <c r="O88" i="49"/>
  <c r="M88" i="49" s="1"/>
  <c r="O99" i="49"/>
  <c r="O104" i="49"/>
  <c r="N107" i="49"/>
  <c r="M107" i="49" s="1"/>
  <c r="O110" i="49"/>
  <c r="O116" i="49"/>
  <c r="M116" i="49" s="1"/>
  <c r="O118" i="49"/>
  <c r="O120" i="49"/>
  <c r="O124" i="49"/>
  <c r="O126" i="49"/>
  <c r="O128" i="49"/>
  <c r="O130" i="49"/>
  <c r="O135" i="49"/>
  <c r="P88" i="49"/>
  <c r="P99" i="49"/>
  <c r="P104" i="49"/>
  <c r="P101" i="49" s="1"/>
  <c r="P110" i="49"/>
  <c r="P109" i="49" s="1"/>
  <c r="P116" i="49"/>
  <c r="P114" i="49" s="1"/>
  <c r="P118" i="49"/>
  <c r="P120" i="49"/>
  <c r="P124" i="49"/>
  <c r="P126" i="49"/>
  <c r="P128" i="49"/>
  <c r="P130" i="49"/>
  <c r="P135" i="49"/>
  <c r="I154" i="50" l="1"/>
  <c r="I144" i="50"/>
  <c r="BM50" i="50"/>
  <c r="BM39" i="50" s="1"/>
  <c r="CG44" i="50"/>
  <c r="H11" i="50"/>
  <c r="H141" i="50" s="1"/>
  <c r="H145" i="50" s="1"/>
  <c r="H144" i="50" s="1"/>
  <c r="BD39" i="50"/>
  <c r="U99" i="50"/>
  <c r="W2" i="50"/>
  <c r="AG143" i="50"/>
  <c r="AG142" i="50" s="1"/>
  <c r="AF143" i="50"/>
  <c r="AC165" i="50"/>
  <c r="CX106" i="50"/>
  <c r="BJ79" i="50"/>
  <c r="BI79" i="50"/>
  <c r="DA44" i="50"/>
  <c r="BR17" i="50"/>
  <c r="CC15" i="50"/>
  <c r="Y137" i="50"/>
  <c r="Y127" i="50"/>
  <c r="AG4" i="50"/>
  <c r="AA137" i="50"/>
  <c r="AA134" i="50"/>
  <c r="AA127" i="50"/>
  <c r="AI4" i="50"/>
  <c r="P100" i="50"/>
  <c r="P99" i="50" s="1"/>
  <c r="N26" i="50"/>
  <c r="N129" i="50"/>
  <c r="AH103" i="50"/>
  <c r="V120" i="50"/>
  <c r="CH106" i="50"/>
  <c r="AH91" i="50"/>
  <c r="BZ106" i="50"/>
  <c r="V102" i="50"/>
  <c r="BZ85" i="50"/>
  <c r="CA79" i="50"/>
  <c r="Z74" i="50"/>
  <c r="AH69" i="50"/>
  <c r="BQ79" i="50"/>
  <c r="BR79" i="50"/>
  <c r="CB74" i="50"/>
  <c r="CJ74" i="50"/>
  <c r="CH75" i="50"/>
  <c r="R44" i="50"/>
  <c r="N37" i="50"/>
  <c r="DB50" i="50"/>
  <c r="DB39" i="50" s="1"/>
  <c r="CS44" i="50"/>
  <c r="BJ44" i="50"/>
  <c r="BI44" i="50"/>
  <c r="AH36" i="50"/>
  <c r="BJ53" i="50"/>
  <c r="V41" i="50"/>
  <c r="CA27" i="50"/>
  <c r="BZ27" i="50" s="1"/>
  <c r="BZ29" i="50"/>
  <c r="BB48" i="50"/>
  <c r="CX44" i="50"/>
  <c r="CW44" i="50"/>
  <c r="BY44" i="50"/>
  <c r="BZ44" i="50"/>
  <c r="AW18" i="50"/>
  <c r="AN62" i="50"/>
  <c r="X62" i="50"/>
  <c r="CR62" i="50"/>
  <c r="CR50" i="50" s="1"/>
  <c r="CR39" i="50" s="1"/>
  <c r="CB62" i="50"/>
  <c r="CB50" i="50" s="1"/>
  <c r="CB39" i="50" s="1"/>
  <c r="BL62" i="50"/>
  <c r="BL50" i="50" s="1"/>
  <c r="BL39" i="50" s="1"/>
  <c r="AF62" i="50"/>
  <c r="BT62" i="50"/>
  <c r="BT50" i="50" s="1"/>
  <c r="BD62" i="50"/>
  <c r="BD50" i="50" s="1"/>
  <c r="CZ62" i="50"/>
  <c r="CZ50" i="50" s="1"/>
  <c r="CZ39" i="50" s="1"/>
  <c r="X18" i="50"/>
  <c r="CJ62" i="50"/>
  <c r="CJ50" i="50" s="1"/>
  <c r="CJ39" i="50" s="1"/>
  <c r="CZ18" i="50"/>
  <c r="CZ15" i="50" s="1"/>
  <c r="CZ13" i="50" s="1"/>
  <c r="CJ18" i="50"/>
  <c r="CJ15" i="50" s="1"/>
  <c r="CJ13" i="50" s="1"/>
  <c r="BT18" i="50"/>
  <c r="BT15" i="50" s="1"/>
  <c r="BT13" i="50" s="1"/>
  <c r="BD18" i="50"/>
  <c r="BD15" i="50" s="1"/>
  <c r="BD13" i="50" s="1"/>
  <c r="AF6" i="50"/>
  <c r="AN6" i="50" s="1"/>
  <c r="AV6" i="50" s="1"/>
  <c r="AN18" i="50"/>
  <c r="CB18" i="50"/>
  <c r="CB15" i="50" s="1"/>
  <c r="CB13" i="50" s="1"/>
  <c r="CR18" i="50"/>
  <c r="CR15" i="50" s="1"/>
  <c r="CR13" i="50" s="1"/>
  <c r="BL18" i="50"/>
  <c r="BL15" i="50" s="1"/>
  <c r="BL13" i="50" s="1"/>
  <c r="AV18" i="50"/>
  <c r="S44" i="50"/>
  <c r="Y138" i="50"/>
  <c r="Y136" i="50"/>
  <c r="Y132" i="50"/>
  <c r="Y128" i="50"/>
  <c r="BE121" i="50"/>
  <c r="BE120" i="50"/>
  <c r="Y130" i="50"/>
  <c r="Y124" i="50"/>
  <c r="Y122" i="50" s="1"/>
  <c r="Y121" i="50"/>
  <c r="Y125" i="50"/>
  <c r="Y110" i="50"/>
  <c r="Y106" i="50" s="1"/>
  <c r="Y100" i="50" s="1"/>
  <c r="Y99" i="50" s="1"/>
  <c r="Y92" i="50"/>
  <c r="Y86" i="50"/>
  <c r="Y135" i="50"/>
  <c r="Y94" i="50"/>
  <c r="Y93" i="50"/>
  <c r="Y89" i="50"/>
  <c r="Y129" i="50"/>
  <c r="Y90" i="50"/>
  <c r="Y87" i="50"/>
  <c r="Y82" i="50"/>
  <c r="Y78" i="50"/>
  <c r="Y77" i="50"/>
  <c r="Y76" i="50"/>
  <c r="Y74" i="50" s="1"/>
  <c r="Y68" i="50"/>
  <c r="Y83" i="50"/>
  <c r="Y69" i="50"/>
  <c r="Y64" i="50"/>
  <c r="Y60" i="50"/>
  <c r="Y80" i="50"/>
  <c r="Y67" i="50"/>
  <c r="Y49" i="50"/>
  <c r="Y43" i="50"/>
  <c r="Y65" i="50"/>
  <c r="Y59" i="50"/>
  <c r="Y50" i="50" s="1"/>
  <c r="Y81" i="50"/>
  <c r="Y42" i="50"/>
  <c r="Y26" i="50"/>
  <c r="Y24" i="50"/>
  <c r="Y23" i="50"/>
  <c r="Y73" i="50"/>
  <c r="Y72" i="50" s="1"/>
  <c r="Y16" i="50"/>
  <c r="Y17" i="50"/>
  <c r="Y21" i="50"/>
  <c r="AG3" i="50"/>
  <c r="Y66" i="50"/>
  <c r="N127" i="50"/>
  <c r="BZ48" i="50"/>
  <c r="BZ17" i="50"/>
  <c r="CH17" i="50"/>
  <c r="AA62" i="50"/>
  <c r="AA50" i="50" s="1"/>
  <c r="AA18" i="50"/>
  <c r="AI6" i="50"/>
  <c r="O62" i="50"/>
  <c r="N62" i="50" s="1"/>
  <c r="W6" i="50"/>
  <c r="N6" i="50"/>
  <c r="M6" i="50"/>
  <c r="O18" i="50"/>
  <c r="N18" i="50" s="1"/>
  <c r="Y36" i="50"/>
  <c r="CU15" i="50"/>
  <c r="CU13" i="50" s="1"/>
  <c r="DC15" i="50"/>
  <c r="DC13" i="50" s="1"/>
  <c r="AH62" i="50"/>
  <c r="DB62" i="50"/>
  <c r="CL62" i="50"/>
  <c r="BV62" i="50"/>
  <c r="BV50" i="50" s="1"/>
  <c r="BV39" i="50" s="1"/>
  <c r="BF62" i="50"/>
  <c r="AP62" i="50"/>
  <c r="Z62" i="50"/>
  <c r="CT62" i="50"/>
  <c r="CT50" i="50" s="1"/>
  <c r="CT39" i="50" s="1"/>
  <c r="CD62" i="50"/>
  <c r="CD50" i="50" s="1"/>
  <c r="CD39" i="50" s="1"/>
  <c r="BN62" i="50"/>
  <c r="BN50" i="50" s="1"/>
  <c r="BN39" i="50" s="1"/>
  <c r="AX62" i="50"/>
  <c r="CT18" i="50"/>
  <c r="CT15" i="50" s="1"/>
  <c r="CT13" i="50" s="1"/>
  <c r="CD18" i="50"/>
  <c r="CD15" i="50" s="1"/>
  <c r="CD13" i="50" s="1"/>
  <c r="BN18" i="50"/>
  <c r="BN15" i="50" s="1"/>
  <c r="BN13" i="50" s="1"/>
  <c r="Z18" i="50"/>
  <c r="DB18" i="50"/>
  <c r="DB15" i="50" s="1"/>
  <c r="DB13" i="50" s="1"/>
  <c r="AH6" i="50"/>
  <c r="AP6" i="50" s="1"/>
  <c r="AX6" i="50" s="1"/>
  <c r="CL18" i="50"/>
  <c r="CL15" i="50" s="1"/>
  <c r="CL13" i="50" s="1"/>
  <c r="BF18" i="50"/>
  <c r="BF15" i="50" s="1"/>
  <c r="BF13" i="50" s="1"/>
  <c r="BV18" i="50"/>
  <c r="BV15" i="50" s="1"/>
  <c r="BV13" i="50" s="1"/>
  <c r="AH18" i="50"/>
  <c r="R15" i="50"/>
  <c r="R13" i="50" s="1"/>
  <c r="R31" i="50"/>
  <c r="R74" i="50"/>
  <c r="R122" i="50"/>
  <c r="BZ26" i="50"/>
  <c r="BF119" i="50"/>
  <c r="S15" i="50"/>
  <c r="S13" i="50" s="1"/>
  <c r="S11" i="50" s="1"/>
  <c r="S50" i="50"/>
  <c r="S79" i="50"/>
  <c r="X135" i="50"/>
  <c r="X129" i="50"/>
  <c r="X128" i="50"/>
  <c r="X136" i="50"/>
  <c r="X138" i="50"/>
  <c r="X131" i="50"/>
  <c r="X132" i="50"/>
  <c r="X125" i="50"/>
  <c r="BD121" i="50"/>
  <c r="BD120" i="50"/>
  <c r="BD119" i="50" s="1"/>
  <c r="X123" i="50"/>
  <c r="X133" i="50"/>
  <c r="X124" i="50"/>
  <c r="X121" i="50"/>
  <c r="X119" i="50" s="1"/>
  <c r="X126" i="50"/>
  <c r="X111" i="50"/>
  <c r="X110" i="50"/>
  <c r="X108" i="50"/>
  <c r="X106" i="50" s="1"/>
  <c r="X103" i="50"/>
  <c r="X109" i="50"/>
  <c r="V109" i="50" s="1"/>
  <c r="X104" i="50"/>
  <c r="X92" i="50"/>
  <c r="X86" i="50"/>
  <c r="X112" i="50"/>
  <c r="X94" i="50"/>
  <c r="X93" i="50"/>
  <c r="X89" i="50"/>
  <c r="X81" i="50"/>
  <c r="X65" i="50"/>
  <c r="X87" i="50"/>
  <c r="X85" i="50"/>
  <c r="X82" i="50"/>
  <c r="X78" i="50"/>
  <c r="X77" i="50"/>
  <c r="X76" i="50"/>
  <c r="X68" i="50"/>
  <c r="X61" i="50"/>
  <c r="X90" i="50"/>
  <c r="X84" i="50"/>
  <c r="X83" i="50"/>
  <c r="X69" i="50"/>
  <c r="X64" i="50"/>
  <c r="X60" i="50"/>
  <c r="X50" i="50" s="1"/>
  <c r="X75" i="50"/>
  <c r="X49" i="50"/>
  <c r="X43" i="50"/>
  <c r="X36" i="50"/>
  <c r="V36" i="50" s="1"/>
  <c r="X80" i="50"/>
  <c r="X63" i="50"/>
  <c r="X42" i="50"/>
  <c r="X21" i="50"/>
  <c r="X67" i="50"/>
  <c r="X26" i="50"/>
  <c r="X24" i="50"/>
  <c r="X23" i="50"/>
  <c r="X34" i="50"/>
  <c r="X16" i="50"/>
  <c r="X17" i="50"/>
  <c r="AF3" i="50"/>
  <c r="N75" i="50"/>
  <c r="O74" i="50"/>
  <c r="N34" i="50"/>
  <c r="N65" i="50"/>
  <c r="N41" i="50"/>
  <c r="N81" i="50"/>
  <c r="N60" i="50"/>
  <c r="N86" i="50"/>
  <c r="N78" i="50"/>
  <c r="N87" i="50"/>
  <c r="N94" i="50"/>
  <c r="N104" i="50"/>
  <c r="N125" i="50"/>
  <c r="N121" i="50"/>
  <c r="N133" i="50"/>
  <c r="N132" i="50"/>
  <c r="Q100" i="50"/>
  <c r="Q99" i="50" s="1"/>
  <c r="BR75" i="50"/>
  <c r="BT74" i="50"/>
  <c r="CP79" i="50"/>
  <c r="CO79" i="50"/>
  <c r="AH135" i="50"/>
  <c r="AH129" i="50"/>
  <c r="AH136" i="50"/>
  <c r="AH138" i="50"/>
  <c r="AH131" i="50"/>
  <c r="AH125" i="50"/>
  <c r="AH118" i="50"/>
  <c r="AH133" i="50"/>
  <c r="AH130" i="50"/>
  <c r="AH123" i="50"/>
  <c r="AH128" i="50"/>
  <c r="AH124" i="50"/>
  <c r="AH121" i="50"/>
  <c r="AH120" i="50"/>
  <c r="AH110" i="50"/>
  <c r="AH92" i="50"/>
  <c r="AH86" i="50"/>
  <c r="AH94" i="50"/>
  <c r="AH93" i="50"/>
  <c r="AH89" i="50"/>
  <c r="AH90" i="50"/>
  <c r="AH81" i="50"/>
  <c r="AH65" i="50"/>
  <c r="AH59" i="50"/>
  <c r="AH85" i="50"/>
  <c r="AH82" i="50"/>
  <c r="AH78" i="50"/>
  <c r="AH77" i="50"/>
  <c r="AH76" i="50"/>
  <c r="AH84" i="50"/>
  <c r="AH68" i="50"/>
  <c r="AH64" i="50"/>
  <c r="AH60" i="50"/>
  <c r="AH80" i="50"/>
  <c r="AH73" i="50"/>
  <c r="AH72" i="50" s="1"/>
  <c r="AH66" i="50"/>
  <c r="AH83" i="50"/>
  <c r="AH67" i="50"/>
  <c r="AH49" i="50"/>
  <c r="AH43" i="50"/>
  <c r="AH21" i="50"/>
  <c r="AH51" i="50"/>
  <c r="AH41" i="50"/>
  <c r="AH22" i="50"/>
  <c r="AH42" i="50"/>
  <c r="AP3" i="50"/>
  <c r="AH17" i="50"/>
  <c r="AH15" i="50" s="1"/>
  <c r="W137" i="50"/>
  <c r="W134" i="50"/>
  <c r="V134" i="50" s="1"/>
  <c r="W127" i="50"/>
  <c r="AE4" i="50"/>
  <c r="V4" i="50"/>
  <c r="U4" i="50"/>
  <c r="BJ17" i="50"/>
  <c r="Z137" i="50"/>
  <c r="Z127" i="50"/>
  <c r="Z134" i="50"/>
  <c r="AH4" i="50"/>
  <c r="CM11" i="50"/>
  <c r="Z100" i="50"/>
  <c r="N21" i="50"/>
  <c r="AI144" i="50"/>
  <c r="AL143" i="50"/>
  <c r="AU143" i="50"/>
  <c r="AK143" i="50"/>
  <c r="AM142" i="50"/>
  <c r="Y119" i="50"/>
  <c r="U165" i="50"/>
  <c r="W143" i="50"/>
  <c r="Y143" i="50"/>
  <c r="Y142" i="50" s="1"/>
  <c r="AE143" i="50"/>
  <c r="Y134" i="50"/>
  <c r="AH126" i="50"/>
  <c r="N120" i="50"/>
  <c r="O119" i="50"/>
  <c r="N119" i="50" s="1"/>
  <c r="V112" i="50"/>
  <c r="AH108" i="50"/>
  <c r="AH104" i="50"/>
  <c r="AH112" i="50"/>
  <c r="Q106" i="50"/>
  <c r="AH102" i="50"/>
  <c r="BB106" i="50"/>
  <c r="V63" i="50"/>
  <c r="AH109" i="50"/>
  <c r="BZ74" i="50"/>
  <c r="BY74" i="50"/>
  <c r="V66" i="50"/>
  <c r="CR74" i="50"/>
  <c r="CO74" i="50" s="1"/>
  <c r="CX75" i="50"/>
  <c r="CZ74" i="50"/>
  <c r="AH63" i="50"/>
  <c r="CH79" i="50"/>
  <c r="CG79" i="50"/>
  <c r="X31" i="50"/>
  <c r="BF50" i="50"/>
  <c r="BF39" i="50" s="1"/>
  <c r="BR44" i="50"/>
  <c r="BQ44" i="50"/>
  <c r="CP44" i="50"/>
  <c r="CO44" i="50"/>
  <c r="Y31" i="50"/>
  <c r="BZ53" i="50"/>
  <c r="Z50" i="50"/>
  <c r="CX48" i="50"/>
  <c r="N48" i="50"/>
  <c r="V58" i="50"/>
  <c r="AS13" i="50"/>
  <c r="S114" i="50"/>
  <c r="Q50" i="50"/>
  <c r="Q74" i="50"/>
  <c r="CP17" i="50"/>
  <c r="CX17" i="50"/>
  <c r="Y45" i="50"/>
  <c r="Y47" i="50"/>
  <c r="AG5" i="50"/>
  <c r="Y30" i="50"/>
  <c r="AS27" i="50"/>
  <c r="DA15" i="50"/>
  <c r="DA13" i="50" s="1"/>
  <c r="P44" i="50"/>
  <c r="P39" i="50" s="1"/>
  <c r="CX31" i="50"/>
  <c r="BM27" i="50"/>
  <c r="BU27" i="50"/>
  <c r="BZ22" i="50"/>
  <c r="BG15" i="50"/>
  <c r="BG13" i="50" s="1"/>
  <c r="Z31" i="50"/>
  <c r="Z79" i="50"/>
  <c r="AA139" i="50"/>
  <c r="AA132" i="50"/>
  <c r="AA138" i="50"/>
  <c r="AA135" i="50"/>
  <c r="AA129" i="50"/>
  <c r="AA128" i="50"/>
  <c r="AA136" i="50"/>
  <c r="AA124" i="50"/>
  <c r="AA121" i="50"/>
  <c r="AA119" i="50" s="1"/>
  <c r="AA131" i="50"/>
  <c r="AA125" i="50"/>
  <c r="AA118" i="50"/>
  <c r="AA123" i="50"/>
  <c r="AA110" i="50"/>
  <c r="AA108" i="50"/>
  <c r="AA90" i="50"/>
  <c r="AA87" i="50"/>
  <c r="AA103" i="50"/>
  <c r="AA111" i="50"/>
  <c r="AA92" i="50"/>
  <c r="AA86" i="50"/>
  <c r="AA80" i="50"/>
  <c r="AA67" i="50"/>
  <c r="AA81" i="50"/>
  <c r="AA65" i="50"/>
  <c r="AA93" i="50"/>
  <c r="AA91" i="50"/>
  <c r="AA85" i="50"/>
  <c r="AA82" i="50"/>
  <c r="AA78" i="50"/>
  <c r="AA77" i="50"/>
  <c r="AA74" i="50" s="1"/>
  <c r="AA76" i="50"/>
  <c r="AA68" i="50"/>
  <c r="AA42" i="50"/>
  <c r="AA69" i="50"/>
  <c r="AA64" i="50"/>
  <c r="AA83" i="50"/>
  <c r="AA60" i="50"/>
  <c r="AA49" i="50"/>
  <c r="AA43" i="50"/>
  <c r="AA94" i="50"/>
  <c r="AA17" i="50"/>
  <c r="AA84" i="50"/>
  <c r="AA21" i="50"/>
  <c r="AA89" i="50"/>
  <c r="AA33" i="50"/>
  <c r="AA31" i="50" s="1"/>
  <c r="AA26" i="50"/>
  <c r="AA24" i="50"/>
  <c r="AA23" i="50"/>
  <c r="AA22" i="50"/>
  <c r="AA16" i="50"/>
  <c r="AA15" i="50" s="1"/>
  <c r="AA13" i="50" s="1"/>
  <c r="AI3" i="50"/>
  <c r="S39" i="50"/>
  <c r="S106" i="50"/>
  <c r="S100" i="50" s="1"/>
  <c r="S99" i="50" s="1"/>
  <c r="P15" i="50"/>
  <c r="P13" i="50" s="1"/>
  <c r="P74" i="50"/>
  <c r="P79" i="50"/>
  <c r="N17" i="50"/>
  <c r="O31" i="50"/>
  <c r="N31" i="50" s="1"/>
  <c r="N33" i="50"/>
  <c r="N43" i="50"/>
  <c r="N67" i="50"/>
  <c r="N64" i="50"/>
  <c r="N66" i="50"/>
  <c r="N82" i="50"/>
  <c r="N90" i="50"/>
  <c r="N112" i="50"/>
  <c r="N103" i="50"/>
  <c r="N110" i="50"/>
  <c r="O122" i="50"/>
  <c r="N122" i="50" s="1"/>
  <c r="N123" i="50"/>
  <c r="V118" i="50"/>
  <c r="N136" i="50"/>
  <c r="V126" i="50"/>
  <c r="BB79" i="50"/>
  <c r="BA79" i="50"/>
  <c r="V73" i="50"/>
  <c r="W72" i="50"/>
  <c r="BL74" i="50"/>
  <c r="N73" i="50"/>
  <c r="O72" i="50"/>
  <c r="CL50" i="50"/>
  <c r="CL39" i="50" s="1"/>
  <c r="F13" i="50"/>
  <c r="E15" i="50"/>
  <c r="AH23" i="50"/>
  <c r="CE13" i="50"/>
  <c r="CS62" i="50"/>
  <c r="CS50" i="50" s="1"/>
  <c r="CC62" i="50"/>
  <c r="CC50" i="50" s="1"/>
  <c r="CC39" i="50" s="1"/>
  <c r="BM62" i="50"/>
  <c r="AG62" i="50"/>
  <c r="DA62" i="50"/>
  <c r="DA50" i="50" s="1"/>
  <c r="CK62" i="50"/>
  <c r="CK50" i="50" s="1"/>
  <c r="CK39" i="50" s="1"/>
  <c r="BU62" i="50"/>
  <c r="BE62" i="50"/>
  <c r="BE50" i="50" s="1"/>
  <c r="BE39" i="50" s="1"/>
  <c r="Y62" i="50"/>
  <c r="AO62" i="50"/>
  <c r="DA18" i="50"/>
  <c r="CK18" i="50"/>
  <c r="CK15" i="50" s="1"/>
  <c r="CK13" i="50" s="1"/>
  <c r="BU18" i="50"/>
  <c r="BU15" i="50" s="1"/>
  <c r="BU13" i="50" s="1"/>
  <c r="BE18" i="50"/>
  <c r="BE15" i="50" s="1"/>
  <c r="BE13" i="50" s="1"/>
  <c r="AG6" i="50"/>
  <c r="AO6" i="50" s="1"/>
  <c r="AW6" i="50" s="1"/>
  <c r="CS18" i="50"/>
  <c r="CS15" i="50" s="1"/>
  <c r="CS13" i="50" s="1"/>
  <c r="CC18" i="50"/>
  <c r="BM18" i="50"/>
  <c r="Y18" i="50"/>
  <c r="Z15" i="50"/>
  <c r="N51" i="50"/>
  <c r="O50" i="50"/>
  <c r="N85" i="50"/>
  <c r="N102" i="50"/>
  <c r="V133" i="50"/>
  <c r="N143" i="50"/>
  <c r="O142" i="50"/>
  <c r="AW143" i="50"/>
  <c r="AW142" i="50" s="1"/>
  <c r="AO142" i="50"/>
  <c r="AA144" i="50"/>
  <c r="V130" i="50"/>
  <c r="N134" i="50"/>
  <c r="V104" i="50"/>
  <c r="AH111" i="50"/>
  <c r="O106" i="50"/>
  <c r="N106" i="50" s="1"/>
  <c r="N108" i="50"/>
  <c r="Z106" i="50"/>
  <c r="AH87" i="50"/>
  <c r="AH132" i="50"/>
  <c r="CP106" i="50"/>
  <c r="R100" i="50"/>
  <c r="R99" i="50" s="1"/>
  <c r="BZ75" i="50"/>
  <c r="AW62" i="50"/>
  <c r="AH58" i="50"/>
  <c r="BD74" i="50"/>
  <c r="AH61" i="50"/>
  <c r="Q39" i="50"/>
  <c r="Q11" i="50" s="1"/>
  <c r="Q141" i="50" s="1"/>
  <c r="BI74" i="50"/>
  <c r="BJ74" i="50"/>
  <c r="AH75" i="50"/>
  <c r="AH74" i="50" s="1"/>
  <c r="E39" i="50"/>
  <c r="H39" i="50"/>
  <c r="CP53" i="50"/>
  <c r="V51" i="50"/>
  <c r="AH33" i="50"/>
  <c r="AH31" i="50" s="1"/>
  <c r="BJ29" i="50"/>
  <c r="BK27" i="50"/>
  <c r="BJ27" i="50" s="1"/>
  <c r="R79" i="50"/>
  <c r="BB44" i="50"/>
  <c r="BA44" i="50"/>
  <c r="AH26" i="50"/>
  <c r="AG18" i="50"/>
  <c r="J143" i="50"/>
  <c r="J142" i="50"/>
  <c r="AA116" i="50"/>
  <c r="AA115" i="50"/>
  <c r="AA114" i="50" s="1"/>
  <c r="AA47" i="50"/>
  <c r="AA45" i="50"/>
  <c r="AI5" i="50"/>
  <c r="AA37" i="50"/>
  <c r="O116" i="50"/>
  <c r="N116" i="50" s="1"/>
  <c r="O115" i="50"/>
  <c r="O46" i="50"/>
  <c r="N46" i="50" s="1"/>
  <c r="O45" i="50"/>
  <c r="O47" i="50"/>
  <c r="N47" i="50" s="1"/>
  <c r="W5" i="50"/>
  <c r="N5" i="50"/>
  <c r="M5" i="50"/>
  <c r="Q79" i="50"/>
  <c r="CW79" i="50"/>
  <c r="CX79" i="50"/>
  <c r="BU50" i="50"/>
  <c r="BU39" i="50" s="1"/>
  <c r="Y22" i="50"/>
  <c r="BB17" i="50"/>
  <c r="Z140" i="50"/>
  <c r="Z37" i="50"/>
  <c r="Z47" i="50"/>
  <c r="Z48" i="50"/>
  <c r="Z30" i="50"/>
  <c r="Z45" i="50"/>
  <c r="AH5" i="50"/>
  <c r="BM15" i="50"/>
  <c r="BM13" i="50" s="1"/>
  <c r="X45" i="50"/>
  <c r="X47" i="50"/>
  <c r="AF5" i="50"/>
  <c r="CC27" i="50"/>
  <c r="CK27" i="50"/>
  <c r="BO15" i="50"/>
  <c r="BO13" i="50" s="1"/>
  <c r="BW15" i="50"/>
  <c r="BW13" i="50" s="1"/>
  <c r="R50" i="50"/>
  <c r="R39" i="50" s="1"/>
  <c r="Z122" i="50"/>
  <c r="X137" i="50"/>
  <c r="X127" i="50"/>
  <c r="AF4" i="50"/>
  <c r="P50" i="50"/>
  <c r="W132" i="50"/>
  <c r="V132" i="50" s="1"/>
  <c r="W135" i="50"/>
  <c r="V135" i="50" s="1"/>
  <c r="W129" i="50"/>
  <c r="V129" i="50" s="1"/>
  <c r="W128" i="50"/>
  <c r="V128" i="50" s="1"/>
  <c r="W136" i="50"/>
  <c r="V136" i="50" s="1"/>
  <c r="W124" i="50"/>
  <c r="V124" i="50" s="1"/>
  <c r="W121" i="50"/>
  <c r="V121" i="50" s="1"/>
  <c r="W125" i="50"/>
  <c r="V125" i="50" s="1"/>
  <c r="W131" i="50"/>
  <c r="BC121" i="50"/>
  <c r="BB121" i="50" s="1"/>
  <c r="BC120" i="50"/>
  <c r="W123" i="50"/>
  <c r="W90" i="50"/>
  <c r="W87" i="50"/>
  <c r="W138" i="50"/>
  <c r="V138" i="50" s="1"/>
  <c r="W110" i="50"/>
  <c r="V110" i="50" s="1"/>
  <c r="W108" i="50"/>
  <c r="W103" i="50"/>
  <c r="V103" i="50" s="1"/>
  <c r="W92" i="50"/>
  <c r="V92" i="50" s="1"/>
  <c r="W86" i="50"/>
  <c r="V86" i="50" s="1"/>
  <c r="W94" i="50"/>
  <c r="V94" i="50" s="1"/>
  <c r="W89" i="50"/>
  <c r="V89" i="50" s="1"/>
  <c r="W80" i="50"/>
  <c r="W75" i="50"/>
  <c r="W67" i="50"/>
  <c r="V67" i="50" s="1"/>
  <c r="W81" i="50"/>
  <c r="V81" i="50" s="1"/>
  <c r="W65" i="50"/>
  <c r="V65" i="50" s="1"/>
  <c r="W111" i="50"/>
  <c r="V111" i="50" s="1"/>
  <c r="W85" i="50"/>
  <c r="V85" i="50" s="1"/>
  <c r="W82" i="50"/>
  <c r="V82" i="50" s="1"/>
  <c r="W78" i="50"/>
  <c r="V78" i="50" s="1"/>
  <c r="W77" i="50"/>
  <c r="W76" i="50"/>
  <c r="V76" i="50" s="1"/>
  <c r="W68" i="50"/>
  <c r="W61" i="50"/>
  <c r="V61" i="50" s="1"/>
  <c r="W84" i="50"/>
  <c r="V84" i="50" s="1"/>
  <c r="W42" i="50"/>
  <c r="W34" i="50"/>
  <c r="V34" i="50" s="1"/>
  <c r="W93" i="50"/>
  <c r="V93" i="50" s="1"/>
  <c r="W91" i="50"/>
  <c r="V91" i="50" s="1"/>
  <c r="W69" i="50"/>
  <c r="V69" i="50" s="1"/>
  <c r="W64" i="50"/>
  <c r="W49" i="50"/>
  <c r="V49" i="50" s="1"/>
  <c r="W43" i="50"/>
  <c r="W83" i="50"/>
  <c r="W17" i="50"/>
  <c r="W60" i="50"/>
  <c r="V60" i="50" s="1"/>
  <c r="W21" i="50"/>
  <c r="V21" i="50" s="1"/>
  <c r="W26" i="50"/>
  <c r="V26" i="50" s="1"/>
  <c r="W24" i="50"/>
  <c r="W23" i="50"/>
  <c r="V23" i="50" s="1"/>
  <c r="W22" i="50"/>
  <c r="V22" i="50" s="1"/>
  <c r="U3" i="50"/>
  <c r="W33" i="50"/>
  <c r="V3" i="50"/>
  <c r="W16" i="50"/>
  <c r="AE3" i="50"/>
  <c r="N16" i="50"/>
  <c r="O15" i="50"/>
  <c r="N23" i="50"/>
  <c r="N42" i="50"/>
  <c r="N49" i="50"/>
  <c r="N80" i="50"/>
  <c r="O79" i="50"/>
  <c r="N69" i="50"/>
  <c r="N76" i="50"/>
  <c r="N89" i="50"/>
  <c r="N92" i="50"/>
  <c r="N111" i="50"/>
  <c r="N126" i="50"/>
  <c r="N124" i="50"/>
  <c r="N135" i="50"/>
  <c r="N138" i="50"/>
  <c r="G91" i="49"/>
  <c r="P6" i="49"/>
  <c r="M99" i="49"/>
  <c r="M40" i="49"/>
  <c r="N39" i="49"/>
  <c r="U34" i="49"/>
  <c r="X34" i="49"/>
  <c r="Q6" i="49"/>
  <c r="O109" i="49"/>
  <c r="M103" i="49"/>
  <c r="N101" i="49"/>
  <c r="M101" i="49" s="1"/>
  <c r="M89" i="49"/>
  <c r="M131" i="49"/>
  <c r="M123" i="49"/>
  <c r="O74" i="49"/>
  <c r="M135" i="49"/>
  <c r="M124" i="49"/>
  <c r="M75" i="49"/>
  <c r="N74" i="49"/>
  <c r="M74" i="49" s="1"/>
  <c r="M68" i="49"/>
  <c r="M22" i="49"/>
  <c r="L22" i="49"/>
  <c r="L8" i="49" s="1"/>
  <c r="P34" i="49"/>
  <c r="F91" i="49"/>
  <c r="F6" i="49"/>
  <c r="E8" i="49"/>
  <c r="M73" i="49"/>
  <c r="O10" i="49"/>
  <c r="O8" i="49" s="1"/>
  <c r="E92" i="49"/>
  <c r="D92" i="49"/>
  <c r="V91" i="49"/>
  <c r="V6" i="49"/>
  <c r="U8" i="49"/>
  <c r="M130" i="49"/>
  <c r="M120" i="49"/>
  <c r="M115" i="49"/>
  <c r="N114" i="49"/>
  <c r="M114" i="49" s="1"/>
  <c r="M79" i="49"/>
  <c r="M26" i="49"/>
  <c r="M72" i="49"/>
  <c r="E34" i="49"/>
  <c r="D34" i="49"/>
  <c r="I91" i="49" s="1"/>
  <c r="U95" i="49"/>
  <c r="V94" i="49"/>
  <c r="U94" i="49" s="1"/>
  <c r="O45" i="49"/>
  <c r="O34" i="49" s="1"/>
  <c r="Q34" i="49"/>
  <c r="Y148" i="49"/>
  <c r="Y139" i="49"/>
  <c r="M67" i="49"/>
  <c r="L67" i="49"/>
  <c r="M69" i="49"/>
  <c r="L69" i="49"/>
  <c r="M110" i="49"/>
  <c r="N109" i="49"/>
  <c r="M127" i="49"/>
  <c r="M128" i="49"/>
  <c r="M118" i="49"/>
  <c r="O114" i="49"/>
  <c r="M111" i="49"/>
  <c r="N45" i="49"/>
  <c r="M38" i="49"/>
  <c r="N8" i="49"/>
  <c r="M10" i="49"/>
  <c r="M36" i="49"/>
  <c r="N34" i="49"/>
  <c r="E90" i="49"/>
  <c r="D90" i="49"/>
  <c r="BU11" i="50" l="1"/>
  <c r="CK11" i="50"/>
  <c r="BE11" i="50"/>
  <c r="BM11" i="50"/>
  <c r="AA143" i="50"/>
  <c r="U143" i="50" s="1"/>
  <c r="Z99" i="50"/>
  <c r="AE137" i="50"/>
  <c r="AE134" i="50"/>
  <c r="AD134" i="50" s="1"/>
  <c r="AE127" i="50"/>
  <c r="AM4" i="50"/>
  <c r="AD4" i="50"/>
  <c r="AC4" i="50"/>
  <c r="CT11" i="50"/>
  <c r="H142" i="50"/>
  <c r="H143" i="50"/>
  <c r="D144" i="50"/>
  <c r="V33" i="50"/>
  <c r="W31" i="50"/>
  <c r="V31" i="50" s="1"/>
  <c r="V24" i="50"/>
  <c r="V17" i="50"/>
  <c r="V64" i="50"/>
  <c r="V87" i="50"/>
  <c r="BW11" i="50"/>
  <c r="AF116" i="50"/>
  <c r="AF115" i="50"/>
  <c r="AF114" i="50" s="1"/>
  <c r="AF47" i="50"/>
  <c r="AF48" i="50"/>
  <c r="AF37" i="50"/>
  <c r="AF45" i="50"/>
  <c r="AF44" i="50" s="1"/>
  <c r="AN5" i="50"/>
  <c r="AF105" i="50"/>
  <c r="AF46" i="50"/>
  <c r="AF140" i="50"/>
  <c r="AF53" i="50"/>
  <c r="AF30" i="50"/>
  <c r="AI140" i="50"/>
  <c r="AI116" i="50"/>
  <c r="AI115" i="50"/>
  <c r="AI105" i="50"/>
  <c r="AI48" i="50"/>
  <c r="AI45" i="50"/>
  <c r="AI44" i="50" s="1"/>
  <c r="AI37" i="50"/>
  <c r="AI47" i="50"/>
  <c r="AI30" i="50"/>
  <c r="AQ5" i="50"/>
  <c r="AI46" i="50"/>
  <c r="M72" i="50"/>
  <c r="N72" i="50"/>
  <c r="AA79" i="50"/>
  <c r="Y44" i="50"/>
  <c r="CW74" i="50"/>
  <c r="CX74" i="50"/>
  <c r="AC143" i="50"/>
  <c r="AE142" i="50"/>
  <c r="AD143" i="50"/>
  <c r="V127" i="50"/>
  <c r="AP138" i="50"/>
  <c r="AP132" i="50"/>
  <c r="AP131" i="50"/>
  <c r="AP130" i="50"/>
  <c r="AP128" i="50"/>
  <c r="AP129" i="50"/>
  <c r="AP123" i="50"/>
  <c r="AP124" i="50"/>
  <c r="AP125" i="50"/>
  <c r="AP126" i="50"/>
  <c r="AP110" i="50"/>
  <c r="AP104" i="50"/>
  <c r="AP94" i="50"/>
  <c r="AP89" i="50"/>
  <c r="AP87" i="50"/>
  <c r="AP112" i="50"/>
  <c r="AP90" i="50"/>
  <c r="AP136" i="50"/>
  <c r="AP109" i="50"/>
  <c r="AP66" i="50"/>
  <c r="AP64" i="50"/>
  <c r="AP60" i="50"/>
  <c r="AP92" i="50"/>
  <c r="AP80" i="50"/>
  <c r="AP68" i="50"/>
  <c r="AP67" i="50"/>
  <c r="AP93" i="50"/>
  <c r="AP86" i="50"/>
  <c r="AP83" i="50"/>
  <c r="AP65" i="50"/>
  <c r="AP59" i="50"/>
  <c r="AP85" i="50"/>
  <c r="AP58" i="50"/>
  <c r="AP41" i="50"/>
  <c r="AP63" i="50"/>
  <c r="AP51" i="50"/>
  <c r="AP42" i="50"/>
  <c r="AP36" i="50"/>
  <c r="AP82" i="50"/>
  <c r="AP34" i="50"/>
  <c r="AP17" i="50"/>
  <c r="AP76" i="50"/>
  <c r="AP49" i="50"/>
  <c r="AP23" i="50"/>
  <c r="AP21" i="50"/>
  <c r="AP16" i="50"/>
  <c r="AP75" i="50"/>
  <c r="AP84" i="50"/>
  <c r="AX3" i="50"/>
  <c r="AP22" i="50"/>
  <c r="AP78" i="50"/>
  <c r="AP77" i="50"/>
  <c r="AP81" i="50"/>
  <c r="AP102" i="50"/>
  <c r="AP118" i="50"/>
  <c r="AP133" i="50"/>
  <c r="AP135" i="50"/>
  <c r="AP26" i="50"/>
  <c r="AP103" i="50"/>
  <c r="AP24" i="50"/>
  <c r="AP69" i="50"/>
  <c r="AP121" i="50"/>
  <c r="AP43" i="50"/>
  <c r="AP61" i="50"/>
  <c r="AP108" i="50"/>
  <c r="AP33" i="50"/>
  <c r="AP73" i="50"/>
  <c r="AP72" i="50" s="1"/>
  <c r="AP91" i="50"/>
  <c r="AP111" i="50"/>
  <c r="AP120" i="50"/>
  <c r="AP119" i="50" s="1"/>
  <c r="AH79" i="50"/>
  <c r="AH119" i="50"/>
  <c r="X15" i="50"/>
  <c r="X13" i="50" s="1"/>
  <c r="BF11" i="50"/>
  <c r="CU11" i="50"/>
  <c r="Y15" i="50"/>
  <c r="Y13" i="50" s="1"/>
  <c r="Y79" i="50"/>
  <c r="BE119" i="50"/>
  <c r="BL11" i="50"/>
  <c r="CZ11" i="50"/>
  <c r="CS39" i="50"/>
  <c r="CS11" i="50" s="1"/>
  <c r="CG74" i="50"/>
  <c r="CH74" i="50"/>
  <c r="BZ79" i="50"/>
  <c r="BY79" i="50"/>
  <c r="AI137" i="50"/>
  <c r="AI127" i="50"/>
  <c r="AI134" i="50"/>
  <c r="AQ4" i="50"/>
  <c r="AG137" i="50"/>
  <c r="AG127" i="50"/>
  <c r="AO4" i="50"/>
  <c r="AG134" i="50"/>
  <c r="DA39" i="50"/>
  <c r="AF142" i="50"/>
  <c r="AV143" i="50"/>
  <c r="AV142" i="50" s="1"/>
  <c r="W79" i="50"/>
  <c r="V80" i="50"/>
  <c r="BB120" i="50"/>
  <c r="BC119" i="50"/>
  <c r="N45" i="50"/>
  <c r="O44" i="50"/>
  <c r="N142" i="50"/>
  <c r="DA11" i="50"/>
  <c r="N74" i="50"/>
  <c r="M74" i="50"/>
  <c r="S141" i="50"/>
  <c r="S144" i="50" s="1"/>
  <c r="DB11" i="50"/>
  <c r="CC13" i="50"/>
  <c r="V42" i="50"/>
  <c r="V131" i="50"/>
  <c r="BO11" i="50"/>
  <c r="AA44" i="50"/>
  <c r="AA39" i="50" s="1"/>
  <c r="AA11" i="50" s="1"/>
  <c r="AA141" i="50" s="1"/>
  <c r="N50" i="50"/>
  <c r="M50" i="50"/>
  <c r="AA122" i="50"/>
  <c r="BG11" i="50"/>
  <c r="AH106" i="50"/>
  <c r="AK142" i="50"/>
  <c r="AL142" i="50"/>
  <c r="AI142" i="50"/>
  <c r="AI143" i="50"/>
  <c r="BR74" i="50"/>
  <c r="BQ74" i="50"/>
  <c r="X79" i="50"/>
  <c r="X74" i="50"/>
  <c r="R11" i="50"/>
  <c r="R141" i="50" s="1"/>
  <c r="CL11" i="50"/>
  <c r="BN11" i="50"/>
  <c r="AI62" i="50"/>
  <c r="AQ6" i="50"/>
  <c r="AI18" i="50"/>
  <c r="AG133" i="50"/>
  <c r="AG135" i="50"/>
  <c r="AG129" i="50"/>
  <c r="AG136" i="50"/>
  <c r="AG131" i="50"/>
  <c r="AG124" i="50"/>
  <c r="AG121" i="50"/>
  <c r="AG125" i="50"/>
  <c r="AG118" i="50"/>
  <c r="AG138" i="50"/>
  <c r="AG123" i="50"/>
  <c r="AG112" i="50"/>
  <c r="AG90" i="50"/>
  <c r="AG126" i="50"/>
  <c r="AG92" i="50"/>
  <c r="AG86" i="50"/>
  <c r="AG83" i="50"/>
  <c r="AG80" i="50"/>
  <c r="AG67" i="50"/>
  <c r="AG110" i="50"/>
  <c r="AG104" i="50"/>
  <c r="AG93" i="50"/>
  <c r="AG81" i="50"/>
  <c r="AG65" i="50"/>
  <c r="AG59" i="50"/>
  <c r="AG94" i="50"/>
  <c r="AG89" i="50"/>
  <c r="AG85" i="50"/>
  <c r="AG82" i="50"/>
  <c r="AG78" i="50"/>
  <c r="AG77" i="50"/>
  <c r="AG76" i="50"/>
  <c r="AG68" i="50"/>
  <c r="AG64" i="50"/>
  <c r="AG42" i="50"/>
  <c r="AG60" i="50"/>
  <c r="AG84" i="50"/>
  <c r="AG49" i="50"/>
  <c r="AG43" i="50"/>
  <c r="AG17" i="50"/>
  <c r="AG87" i="50"/>
  <c r="AG21" i="50"/>
  <c r="AG22" i="50"/>
  <c r="AG58" i="50"/>
  <c r="AO3" i="50"/>
  <c r="AG41" i="50"/>
  <c r="AG24" i="50"/>
  <c r="AG34" i="50"/>
  <c r="AG73" i="50"/>
  <c r="AG72" i="50" s="1"/>
  <c r="AG91" i="50"/>
  <c r="AG111" i="50"/>
  <c r="AG128" i="50"/>
  <c r="AG66" i="50"/>
  <c r="AG75" i="50"/>
  <c r="AG36" i="50"/>
  <c r="AG63" i="50"/>
  <c r="AG69" i="50"/>
  <c r="AG132" i="50"/>
  <c r="AG61" i="50"/>
  <c r="AG108" i="50"/>
  <c r="AG130" i="50"/>
  <c r="AG16" i="50"/>
  <c r="AG103" i="50"/>
  <c r="AG23" i="50"/>
  <c r="AG26" i="50"/>
  <c r="AG33" i="50"/>
  <c r="AG109" i="50"/>
  <c r="AG120" i="50"/>
  <c r="AG51" i="50"/>
  <c r="AG50" i="50" s="1"/>
  <c r="AG102" i="50"/>
  <c r="CR11" i="50"/>
  <c r="BD11" i="50"/>
  <c r="BT39" i="50"/>
  <c r="CP74" i="50"/>
  <c r="I143" i="50"/>
  <c r="I142" i="50" s="1"/>
  <c r="O13" i="50"/>
  <c r="N15" i="50"/>
  <c r="AF137" i="50"/>
  <c r="AF134" i="50"/>
  <c r="AF127" i="50"/>
  <c r="AN4" i="50"/>
  <c r="Z13" i="50"/>
  <c r="Z11" i="50" s="1"/>
  <c r="Z141" i="50" s="1"/>
  <c r="CE11" i="50"/>
  <c r="V72" i="50"/>
  <c r="U72" i="50"/>
  <c r="AA106" i="50"/>
  <c r="AA100" i="50" s="1"/>
  <c r="AA99" i="50" s="1"/>
  <c r="AU142" i="50"/>
  <c r="AT143" i="50"/>
  <c r="AH127" i="50"/>
  <c r="AH122" i="50" s="1"/>
  <c r="AH137" i="50"/>
  <c r="AP4" i="50"/>
  <c r="AH134" i="50"/>
  <c r="BV11" i="50"/>
  <c r="DC11" i="50"/>
  <c r="CY62" i="50"/>
  <c r="CI62" i="50"/>
  <c r="BS62" i="50"/>
  <c r="BC62" i="50"/>
  <c r="AM62" i="50"/>
  <c r="AL62" i="50" s="1"/>
  <c r="W62" i="50"/>
  <c r="V62" i="50" s="1"/>
  <c r="CQ62" i="50"/>
  <c r="CA62" i="50"/>
  <c r="BK62" i="50"/>
  <c r="AU62" i="50"/>
  <c r="AT62" i="50" s="1"/>
  <c r="CQ18" i="50"/>
  <c r="CA18" i="50"/>
  <c r="BK18" i="50"/>
  <c r="AE62" i="50"/>
  <c r="AD62" i="50" s="1"/>
  <c r="W18" i="50"/>
  <c r="V18" i="50" s="1"/>
  <c r="CY18" i="50"/>
  <c r="CI18" i="50"/>
  <c r="BS18" i="50"/>
  <c r="BC18" i="50"/>
  <c r="AE6" i="50"/>
  <c r="V6" i="50"/>
  <c r="AM18" i="50"/>
  <c r="AL18" i="50" s="1"/>
  <c r="U6" i="50"/>
  <c r="AE18" i="50"/>
  <c r="AD18" i="50" s="1"/>
  <c r="AU18" i="50"/>
  <c r="AT18" i="50" s="1"/>
  <c r="CJ11" i="50"/>
  <c r="AE138" i="50"/>
  <c r="AE136" i="50"/>
  <c r="AE131" i="50"/>
  <c r="AE133" i="50"/>
  <c r="AD133" i="50" s="1"/>
  <c r="AE128" i="50"/>
  <c r="AE129" i="50"/>
  <c r="AE123" i="50"/>
  <c r="AE135" i="50"/>
  <c r="AD135" i="50" s="1"/>
  <c r="AE130" i="50"/>
  <c r="AE124" i="50"/>
  <c r="AE121" i="50"/>
  <c r="AE120" i="50"/>
  <c r="AE110" i="50"/>
  <c r="AE125" i="50"/>
  <c r="AE102" i="50"/>
  <c r="AE92" i="50"/>
  <c r="AD92" i="50" s="1"/>
  <c r="AE86" i="50"/>
  <c r="AE94" i="50"/>
  <c r="AE93" i="50"/>
  <c r="AE89" i="50"/>
  <c r="AD89" i="50" s="1"/>
  <c r="AE90" i="50"/>
  <c r="AE85" i="50"/>
  <c r="AE82" i="50"/>
  <c r="AE78" i="50"/>
  <c r="AE77" i="50"/>
  <c r="AE76" i="50"/>
  <c r="AE69" i="50"/>
  <c r="AE84" i="50"/>
  <c r="AD84" i="50" s="1"/>
  <c r="AE68" i="50"/>
  <c r="AE64" i="50"/>
  <c r="AE60" i="50"/>
  <c r="AE118" i="50"/>
  <c r="AD118" i="50" s="1"/>
  <c r="AE83" i="50"/>
  <c r="AE80" i="50"/>
  <c r="AE73" i="50"/>
  <c r="AE67" i="50"/>
  <c r="AD67" i="50" s="1"/>
  <c r="AE65" i="50"/>
  <c r="AE59" i="50"/>
  <c r="AE49" i="50"/>
  <c r="AE43" i="50"/>
  <c r="AD43" i="50" s="1"/>
  <c r="AE33" i="50"/>
  <c r="AE81" i="50"/>
  <c r="AE61" i="50"/>
  <c r="AE42" i="50"/>
  <c r="AE22" i="50"/>
  <c r="AE17" i="50"/>
  <c r="AE36" i="50"/>
  <c r="AE21" i="50"/>
  <c r="AD21" i="50" s="1"/>
  <c r="AM3" i="50"/>
  <c r="AD3" i="50"/>
  <c r="AE23" i="50"/>
  <c r="AC3" i="50"/>
  <c r="AE26" i="50"/>
  <c r="AE24" i="50"/>
  <c r="AE63" i="50"/>
  <c r="AE109" i="50"/>
  <c r="AD109" i="50" s="1"/>
  <c r="AE112" i="50"/>
  <c r="AE104" i="50"/>
  <c r="AE111" i="50"/>
  <c r="AE126" i="50"/>
  <c r="AD126" i="50" s="1"/>
  <c r="AE51" i="50"/>
  <c r="AE58" i="50"/>
  <c r="AE87" i="50"/>
  <c r="AE91" i="50"/>
  <c r="AD91" i="50" s="1"/>
  <c r="AE34" i="50"/>
  <c r="AE41" i="50"/>
  <c r="AE66" i="50"/>
  <c r="AE75" i="50"/>
  <c r="AE132" i="50"/>
  <c r="AE103" i="50"/>
  <c r="AE16" i="50"/>
  <c r="AE108" i="50"/>
  <c r="V108" i="50"/>
  <c r="W106" i="50"/>
  <c r="V106" i="50" s="1"/>
  <c r="V90" i="50"/>
  <c r="AH116" i="50"/>
  <c r="AH115" i="50"/>
  <c r="AH140" i="50"/>
  <c r="AH105" i="50"/>
  <c r="AH48" i="50"/>
  <c r="AH45" i="50"/>
  <c r="AP5" i="50"/>
  <c r="AH46" i="50"/>
  <c r="AH30" i="50"/>
  <c r="AH13" i="50" s="1"/>
  <c r="AH47" i="50"/>
  <c r="AH37" i="50"/>
  <c r="AH53" i="50"/>
  <c r="AH50" i="50" s="1"/>
  <c r="W47" i="50"/>
  <c r="V47" i="50" s="1"/>
  <c r="W45" i="50"/>
  <c r="W37" i="50"/>
  <c r="V37" i="50" s="1"/>
  <c r="W53" i="50"/>
  <c r="AE5" i="50"/>
  <c r="V5" i="50"/>
  <c r="U5" i="50"/>
  <c r="W48" i="50"/>
  <c r="V48" i="50" s="1"/>
  <c r="W105" i="50"/>
  <c r="V105" i="50" s="1"/>
  <c r="W140" i="50"/>
  <c r="V140" i="50" s="1"/>
  <c r="W46" i="50"/>
  <c r="V46" i="50" s="1"/>
  <c r="W30" i="50"/>
  <c r="V30" i="50" s="1"/>
  <c r="N115" i="50"/>
  <c r="O114" i="50"/>
  <c r="N79" i="50"/>
  <c r="M79" i="50"/>
  <c r="V16" i="50"/>
  <c r="V43" i="50"/>
  <c r="V77" i="50"/>
  <c r="V75" i="50"/>
  <c r="W74" i="50"/>
  <c r="V123" i="50"/>
  <c r="W122" i="50"/>
  <c r="X44" i="50"/>
  <c r="X39" i="50" s="1"/>
  <c r="Z44" i="50"/>
  <c r="Z39" i="50" s="1"/>
  <c r="BB74" i="50"/>
  <c r="BA74" i="50"/>
  <c r="O100" i="50"/>
  <c r="E13" i="50"/>
  <c r="F11" i="50"/>
  <c r="P11" i="50"/>
  <c r="P141" i="50" s="1"/>
  <c r="AI138" i="50"/>
  <c r="AI136" i="50"/>
  <c r="AI131" i="50"/>
  <c r="AI133" i="50"/>
  <c r="AI139" i="50"/>
  <c r="AI130" i="50"/>
  <c r="AI135" i="50"/>
  <c r="AI123" i="50"/>
  <c r="AI128" i="50"/>
  <c r="AI124" i="50"/>
  <c r="AI121" i="50"/>
  <c r="AI120" i="50"/>
  <c r="AI110" i="50"/>
  <c r="AI129" i="50"/>
  <c r="AI125" i="50"/>
  <c r="AI118" i="50"/>
  <c r="AI92" i="50"/>
  <c r="AI86" i="50"/>
  <c r="AI94" i="50"/>
  <c r="AI93" i="50"/>
  <c r="AI89" i="50"/>
  <c r="AI102" i="50"/>
  <c r="AI90" i="50"/>
  <c r="AI85" i="50"/>
  <c r="AI82" i="50"/>
  <c r="AI78" i="50"/>
  <c r="AI77" i="50"/>
  <c r="AI76" i="50"/>
  <c r="AI69" i="50"/>
  <c r="AI84" i="50"/>
  <c r="AI68" i="50"/>
  <c r="AI64" i="50"/>
  <c r="AI60" i="50"/>
  <c r="AI83" i="50"/>
  <c r="AI80" i="50"/>
  <c r="AI73" i="50"/>
  <c r="AI72" i="50" s="1"/>
  <c r="AI67" i="50"/>
  <c r="AI81" i="50"/>
  <c r="AI61" i="50"/>
  <c r="AI49" i="50"/>
  <c r="AI43" i="50"/>
  <c r="AI33" i="50"/>
  <c r="AI42" i="50"/>
  <c r="AI22" i="50"/>
  <c r="AI59" i="50"/>
  <c r="AI36" i="50"/>
  <c r="AI17" i="50"/>
  <c r="AI23" i="50"/>
  <c r="AQ3" i="50"/>
  <c r="AI65" i="50"/>
  <c r="AI26" i="50"/>
  <c r="AI24" i="50"/>
  <c r="AI21" i="50"/>
  <c r="AI16" i="50"/>
  <c r="AI34" i="50"/>
  <c r="AI51" i="50"/>
  <c r="AI103" i="50"/>
  <c r="AI112" i="50"/>
  <c r="AI108" i="50"/>
  <c r="AI63" i="50"/>
  <c r="AI109" i="50"/>
  <c r="AI104" i="50"/>
  <c r="AI126" i="50"/>
  <c r="AI75" i="50"/>
  <c r="AI41" i="50"/>
  <c r="AI58" i="50"/>
  <c r="AI66" i="50"/>
  <c r="AI132" i="50"/>
  <c r="AI91" i="50"/>
  <c r="AI87" i="50"/>
  <c r="AI111" i="50"/>
  <c r="AG116" i="50"/>
  <c r="AG115" i="50"/>
  <c r="AG114" i="50" s="1"/>
  <c r="AG47" i="50"/>
  <c r="AG48" i="50"/>
  <c r="AG45" i="50"/>
  <c r="AO5" i="50"/>
  <c r="AG46" i="50"/>
  <c r="AG105" i="50"/>
  <c r="AG37" i="50"/>
  <c r="AG30" i="50"/>
  <c r="AG140" i="50"/>
  <c r="AG53" i="50"/>
  <c r="W142" i="50"/>
  <c r="V143" i="50"/>
  <c r="V137" i="50"/>
  <c r="AF138" i="50"/>
  <c r="AF131" i="50"/>
  <c r="AF133" i="50"/>
  <c r="AF135" i="50"/>
  <c r="AF129" i="50"/>
  <c r="AF123" i="50"/>
  <c r="AF136" i="50"/>
  <c r="AF124" i="50"/>
  <c r="AF121" i="50"/>
  <c r="AF125" i="50"/>
  <c r="AF118" i="50"/>
  <c r="AF110" i="50"/>
  <c r="AF111" i="50"/>
  <c r="AF94" i="50"/>
  <c r="AF93" i="50"/>
  <c r="AF89" i="50"/>
  <c r="AF90" i="50"/>
  <c r="AF108" i="50"/>
  <c r="AF106" i="50" s="1"/>
  <c r="AF91" i="50"/>
  <c r="AF86" i="50"/>
  <c r="AF84" i="50"/>
  <c r="AF68" i="50"/>
  <c r="AF64" i="50"/>
  <c r="AF60" i="50"/>
  <c r="AF103" i="50"/>
  <c r="AF102" i="50"/>
  <c r="AF83" i="50"/>
  <c r="AF80" i="50"/>
  <c r="AF67" i="50"/>
  <c r="AF81" i="50"/>
  <c r="AF65" i="50"/>
  <c r="AF59" i="50"/>
  <c r="AF82" i="50"/>
  <c r="AF78" i="50"/>
  <c r="AF92" i="50"/>
  <c r="AF77" i="50"/>
  <c r="AF76" i="50"/>
  <c r="AF42" i="50"/>
  <c r="AF85" i="50"/>
  <c r="AF69" i="50"/>
  <c r="AF49" i="50"/>
  <c r="AF33" i="50"/>
  <c r="AF31" i="50" s="1"/>
  <c r="AF17" i="50"/>
  <c r="AF26" i="50"/>
  <c r="AF24" i="50"/>
  <c r="AF23" i="50"/>
  <c r="AF21" i="50"/>
  <c r="AF43" i="50"/>
  <c r="AF16" i="50"/>
  <c r="AF22" i="50"/>
  <c r="AN3" i="50"/>
  <c r="AF36" i="50"/>
  <c r="AF41" i="50"/>
  <c r="AF61" i="50"/>
  <c r="AF66" i="50"/>
  <c r="AF120" i="50"/>
  <c r="AF119" i="50" s="1"/>
  <c r="AF130" i="50"/>
  <c r="AF75" i="50"/>
  <c r="AF74" i="50" s="1"/>
  <c r="AF58" i="50"/>
  <c r="AF109" i="50"/>
  <c r="AF132" i="50"/>
  <c r="AF87" i="50"/>
  <c r="AF126" i="50"/>
  <c r="AF128" i="50"/>
  <c r="AF34" i="50"/>
  <c r="AF51" i="50"/>
  <c r="AF50" i="50" s="1"/>
  <c r="AF63" i="50"/>
  <c r="AF112" i="50"/>
  <c r="AF104" i="50"/>
  <c r="AF73" i="50"/>
  <c r="AF72" i="50" s="1"/>
  <c r="X122" i="50"/>
  <c r="X100" i="50" s="1"/>
  <c r="X99" i="50" s="1"/>
  <c r="CD11" i="50"/>
  <c r="CB11" i="50"/>
  <c r="BT11" i="50"/>
  <c r="W100" i="50"/>
  <c r="W119" i="50"/>
  <c r="V119" i="50" s="1"/>
  <c r="M39" i="49"/>
  <c r="L39" i="49"/>
  <c r="M45" i="49"/>
  <c r="L45" i="49"/>
  <c r="M109" i="49"/>
  <c r="L109" i="49"/>
  <c r="L95" i="49" s="1"/>
  <c r="L94" i="49" s="1"/>
  <c r="Y138" i="49"/>
  <c r="Y137" i="49"/>
  <c r="Y162" i="49" s="1"/>
  <c r="E6" i="49"/>
  <c r="F136" i="49"/>
  <c r="D6" i="49"/>
  <c r="D136" i="49" s="1"/>
  <c r="D140" i="49" s="1"/>
  <c r="D158" i="49" s="1"/>
  <c r="L34" i="49"/>
  <c r="P91" i="49" s="1"/>
  <c r="M34" i="49"/>
  <c r="E91" i="49"/>
  <c r="X91" i="49"/>
  <c r="T91" i="49" s="1"/>
  <c r="X6" i="49"/>
  <c r="X136" i="49" s="1"/>
  <c r="X140" i="49" s="1"/>
  <c r="X139" i="49" s="1"/>
  <c r="H91" i="49"/>
  <c r="D91" i="49" s="1"/>
  <c r="V136" i="49"/>
  <c r="U6" i="49"/>
  <c r="O6" i="49"/>
  <c r="M8" i="49"/>
  <c r="N6" i="49"/>
  <c r="U91" i="49"/>
  <c r="V100" i="50" l="1"/>
  <c r="W99" i="50"/>
  <c r="V99" i="50" s="1"/>
  <c r="AF122" i="50"/>
  <c r="AO115" i="50"/>
  <c r="AO116" i="50"/>
  <c r="AO48" i="50"/>
  <c r="AO47" i="50"/>
  <c r="AW5" i="50"/>
  <c r="AO37" i="50"/>
  <c r="AO45" i="50"/>
  <c r="AO30" i="50"/>
  <c r="AO105" i="50"/>
  <c r="AO46" i="50"/>
  <c r="AO140" i="50"/>
  <c r="AQ139" i="50"/>
  <c r="AQ128" i="50"/>
  <c r="AQ129" i="50"/>
  <c r="AQ136" i="50"/>
  <c r="AQ132" i="50"/>
  <c r="AQ130" i="50"/>
  <c r="AQ124" i="50"/>
  <c r="AQ138" i="50"/>
  <c r="AQ125" i="50"/>
  <c r="AQ133" i="50"/>
  <c r="AQ131" i="50"/>
  <c r="AQ126" i="50"/>
  <c r="AQ123" i="50"/>
  <c r="AQ112" i="50"/>
  <c r="AQ109" i="50"/>
  <c r="AQ104" i="50"/>
  <c r="AQ120" i="50"/>
  <c r="AQ90" i="50"/>
  <c r="AQ110" i="50"/>
  <c r="AQ92" i="50"/>
  <c r="AQ86" i="50"/>
  <c r="AQ94" i="50"/>
  <c r="AQ89" i="50"/>
  <c r="AQ80" i="50"/>
  <c r="AQ68" i="50"/>
  <c r="AQ67" i="50"/>
  <c r="AQ87" i="50"/>
  <c r="AQ83" i="50"/>
  <c r="AQ65" i="50"/>
  <c r="AQ59" i="50"/>
  <c r="AQ121" i="50"/>
  <c r="AQ85" i="50"/>
  <c r="AQ84" i="50"/>
  <c r="AQ82" i="50"/>
  <c r="AQ76" i="50"/>
  <c r="AQ51" i="50"/>
  <c r="AQ42" i="50"/>
  <c r="AQ73" i="50"/>
  <c r="AQ72" i="50" s="1"/>
  <c r="AQ66" i="50"/>
  <c r="AQ64" i="50"/>
  <c r="AQ49" i="50"/>
  <c r="AQ60" i="50"/>
  <c r="AQ17" i="50"/>
  <c r="AQ23" i="50"/>
  <c r="AQ21" i="50"/>
  <c r="AQ41" i="50"/>
  <c r="AQ16" i="50"/>
  <c r="AY3" i="50"/>
  <c r="AQ33" i="50"/>
  <c r="AQ34" i="50"/>
  <c r="AQ58" i="50"/>
  <c r="AQ75" i="50"/>
  <c r="AQ135" i="50"/>
  <c r="AQ63" i="50"/>
  <c r="AQ26" i="50"/>
  <c r="AQ43" i="50"/>
  <c r="AQ61" i="50"/>
  <c r="AQ91" i="50"/>
  <c r="AQ111" i="50"/>
  <c r="AQ93" i="50"/>
  <c r="AQ103" i="50"/>
  <c r="AQ69" i="50"/>
  <c r="AQ108" i="50"/>
  <c r="AQ106" i="50" s="1"/>
  <c r="AQ118" i="50"/>
  <c r="AQ81" i="50"/>
  <c r="AQ22" i="50"/>
  <c r="AQ24" i="50"/>
  <c r="AQ78" i="50"/>
  <c r="AQ36" i="50"/>
  <c r="AQ77" i="50"/>
  <c r="AQ102" i="50"/>
  <c r="CP18" i="50"/>
  <c r="CQ15" i="50"/>
  <c r="AO138" i="50"/>
  <c r="AO136" i="50"/>
  <c r="AO132" i="50"/>
  <c r="AO131" i="50"/>
  <c r="AO128" i="50"/>
  <c r="AO129" i="50"/>
  <c r="AO123" i="50"/>
  <c r="AO124" i="50"/>
  <c r="AO125" i="50"/>
  <c r="AO110" i="50"/>
  <c r="AO108" i="50"/>
  <c r="AO92" i="50"/>
  <c r="AO86" i="50"/>
  <c r="AO94" i="50"/>
  <c r="AO89" i="50"/>
  <c r="AO87" i="50"/>
  <c r="AO90" i="50"/>
  <c r="AO85" i="50"/>
  <c r="AO82" i="50"/>
  <c r="AO76" i="50"/>
  <c r="AO64" i="50"/>
  <c r="AO60" i="50"/>
  <c r="AO80" i="50"/>
  <c r="AO68" i="50"/>
  <c r="AO67" i="50"/>
  <c r="AO83" i="50"/>
  <c r="AO49" i="50"/>
  <c r="AO69" i="50"/>
  <c r="AO65" i="50"/>
  <c r="AO59" i="50"/>
  <c r="AO51" i="50"/>
  <c r="AO42" i="50"/>
  <c r="AO16" i="50"/>
  <c r="AO102" i="50"/>
  <c r="AO77" i="50"/>
  <c r="AO17" i="50"/>
  <c r="AO21" i="50"/>
  <c r="AO23" i="50"/>
  <c r="AW3" i="50"/>
  <c r="AO33" i="50"/>
  <c r="AO24" i="50"/>
  <c r="AO91" i="50"/>
  <c r="AO73" i="50"/>
  <c r="AO72" i="50" s="1"/>
  <c r="AO111" i="50"/>
  <c r="AO126" i="50"/>
  <c r="AO118" i="50"/>
  <c r="AO58" i="50"/>
  <c r="AO78" i="50"/>
  <c r="AO22" i="50"/>
  <c r="AO26" i="50"/>
  <c r="AO43" i="50"/>
  <c r="AO36" i="50"/>
  <c r="AO75" i="50"/>
  <c r="AO84" i="50"/>
  <c r="AO61" i="50"/>
  <c r="AO104" i="50"/>
  <c r="AO103" i="50"/>
  <c r="AO121" i="50"/>
  <c r="AO34" i="50"/>
  <c r="AO66" i="50"/>
  <c r="AO120" i="50"/>
  <c r="AO41" i="50"/>
  <c r="AO63" i="50"/>
  <c r="AO81" i="50"/>
  <c r="AO93" i="50"/>
  <c r="AO109" i="50"/>
  <c r="AO130" i="50"/>
  <c r="AO112" i="50"/>
  <c r="AO135" i="50"/>
  <c r="AO133" i="50"/>
  <c r="AQ140" i="50"/>
  <c r="AQ116" i="50"/>
  <c r="AQ115" i="50"/>
  <c r="AQ105" i="50"/>
  <c r="AQ47" i="50"/>
  <c r="AQ48" i="50"/>
  <c r="AY5" i="50"/>
  <c r="AQ30" i="50"/>
  <c r="AQ46" i="50"/>
  <c r="AQ45" i="50"/>
  <c r="AQ44" i="50" s="1"/>
  <c r="AQ37" i="50"/>
  <c r="AF15" i="50"/>
  <c r="AF13" i="50" s="1"/>
  <c r="V142" i="50"/>
  <c r="U142" i="50"/>
  <c r="AG44" i="50"/>
  <c r="AI74" i="50"/>
  <c r="AI39" i="50" s="1"/>
  <c r="AI50" i="50"/>
  <c r="AI119" i="50"/>
  <c r="AI122" i="50"/>
  <c r="V122" i="50"/>
  <c r="V53" i="50"/>
  <c r="W50" i="50"/>
  <c r="AE15" i="50"/>
  <c r="AD16" i="50"/>
  <c r="AD66" i="50"/>
  <c r="AD87" i="50"/>
  <c r="AD111" i="50"/>
  <c r="AD63" i="50"/>
  <c r="AD23" i="50"/>
  <c r="AD36" i="50"/>
  <c r="AD61" i="50"/>
  <c r="AD49" i="50"/>
  <c r="AE72" i="50"/>
  <c r="AD73" i="50"/>
  <c r="AD60" i="50"/>
  <c r="AD69" i="50"/>
  <c r="AD82" i="50"/>
  <c r="AD93" i="50"/>
  <c r="AD102" i="50"/>
  <c r="AD121" i="50"/>
  <c r="AD123" i="50"/>
  <c r="AE122" i="50"/>
  <c r="AD122" i="50" s="1"/>
  <c r="AD131" i="50"/>
  <c r="BR18" i="50"/>
  <c r="BS15" i="50"/>
  <c r="CH62" i="50"/>
  <c r="CI50" i="50"/>
  <c r="AP137" i="50"/>
  <c r="AP122" i="50" s="1"/>
  <c r="AP127" i="50"/>
  <c r="AX4" i="50"/>
  <c r="AP134" i="50"/>
  <c r="AT142" i="50"/>
  <c r="AN137" i="50"/>
  <c r="AN134" i="50"/>
  <c r="AN127" i="50"/>
  <c r="AV4" i="50"/>
  <c r="AG119" i="50"/>
  <c r="AG106" i="50"/>
  <c r="AG100" i="50" s="1"/>
  <c r="AG99" i="50" s="1"/>
  <c r="CC11" i="50"/>
  <c r="BB119" i="50"/>
  <c r="AO137" i="50"/>
  <c r="AO127" i="50"/>
  <c r="AW4" i="50"/>
  <c r="AO134" i="50"/>
  <c r="X11" i="50"/>
  <c r="X141" i="50" s="1"/>
  <c r="AP74" i="50"/>
  <c r="AD137" i="50"/>
  <c r="AA142" i="50"/>
  <c r="O99" i="50"/>
  <c r="N99" i="50" s="1"/>
  <c r="N100" i="50"/>
  <c r="AD75" i="50"/>
  <c r="AE74" i="50"/>
  <c r="AD78" i="50"/>
  <c r="AE119" i="50"/>
  <c r="AD119" i="50" s="1"/>
  <c r="AD120" i="50"/>
  <c r="BB18" i="50"/>
  <c r="BC15" i="50"/>
  <c r="CP62" i="50"/>
  <c r="CQ50" i="50"/>
  <c r="BR62" i="50"/>
  <c r="BS50" i="50"/>
  <c r="AI106" i="50"/>
  <c r="AI79" i="50"/>
  <c r="F141" i="50"/>
  <c r="E11" i="50"/>
  <c r="AP116" i="50"/>
  <c r="AP115" i="50"/>
  <c r="AP46" i="50"/>
  <c r="AP47" i="50"/>
  <c r="AX5" i="50"/>
  <c r="AP48" i="50"/>
  <c r="AP30" i="50"/>
  <c r="AP140" i="50"/>
  <c r="AP45" i="50"/>
  <c r="AP37" i="50"/>
  <c r="AP105" i="50"/>
  <c r="AD103" i="50"/>
  <c r="AD41" i="50"/>
  <c r="AD58" i="50"/>
  <c r="AD104" i="50"/>
  <c r="AD24" i="50"/>
  <c r="AD17" i="50"/>
  <c r="AD81" i="50"/>
  <c r="AD59" i="50"/>
  <c r="AE79" i="50"/>
  <c r="AD80" i="50"/>
  <c r="AD64" i="50"/>
  <c r="AD76" i="50"/>
  <c r="AD85" i="50"/>
  <c r="AD94" i="50"/>
  <c r="AD125" i="50"/>
  <c r="AD124" i="50"/>
  <c r="AD129" i="50"/>
  <c r="AD136" i="50"/>
  <c r="CH18" i="50"/>
  <c r="CI15" i="50"/>
  <c r="BJ18" i="50"/>
  <c r="BK15" i="50"/>
  <c r="BJ62" i="50"/>
  <c r="BK50" i="50"/>
  <c r="CX62" i="50"/>
  <c r="CY50" i="50"/>
  <c r="N13" i="50"/>
  <c r="AG122" i="50"/>
  <c r="AQ62" i="50"/>
  <c r="AY6" i="50"/>
  <c r="AQ18" i="50"/>
  <c r="AP31" i="50"/>
  <c r="AP15" i="50"/>
  <c r="AM137" i="50"/>
  <c r="AL137" i="50" s="1"/>
  <c r="AM127" i="50"/>
  <c r="AK4" i="50"/>
  <c r="AL4" i="50"/>
  <c r="AU4" i="50"/>
  <c r="AM134" i="50"/>
  <c r="AL134" i="50" s="1"/>
  <c r="AF100" i="50"/>
  <c r="AF99" i="50" s="1"/>
  <c r="AE140" i="50"/>
  <c r="AD140" i="50" s="1"/>
  <c r="AE116" i="50"/>
  <c r="AD116" i="50" s="1"/>
  <c r="AE115" i="50"/>
  <c r="AE105" i="50"/>
  <c r="AD105" i="50" s="1"/>
  <c r="AE48" i="50"/>
  <c r="AD48" i="50" s="1"/>
  <c r="AE45" i="50"/>
  <c r="AE37" i="50"/>
  <c r="AD37" i="50" s="1"/>
  <c r="AE47" i="50"/>
  <c r="AD47" i="50" s="1"/>
  <c r="AC5" i="50"/>
  <c r="AD5" i="50"/>
  <c r="AE30" i="50"/>
  <c r="AD30" i="50" s="1"/>
  <c r="AM5" i="50"/>
  <c r="AE53" i="50"/>
  <c r="AD53" i="50" s="1"/>
  <c r="AE46" i="50"/>
  <c r="AD46" i="50" s="1"/>
  <c r="AD108" i="50"/>
  <c r="AE106" i="50"/>
  <c r="AD106" i="50" s="1"/>
  <c r="AD42" i="50"/>
  <c r="S143" i="50"/>
  <c r="M143" i="50" s="1"/>
  <c r="S142" i="50"/>
  <c r="M142" i="50" s="1"/>
  <c r="V79" i="50"/>
  <c r="U79" i="50"/>
  <c r="AQ137" i="50"/>
  <c r="AQ127" i="50"/>
  <c r="AY4" i="50"/>
  <c r="AQ134" i="50"/>
  <c r="AP50" i="50"/>
  <c r="AP79" i="50"/>
  <c r="D142" i="50"/>
  <c r="AF79" i="50"/>
  <c r="AF39" i="50" s="1"/>
  <c r="AN138" i="50"/>
  <c r="AN129" i="50"/>
  <c r="AN136" i="50"/>
  <c r="AN133" i="50"/>
  <c r="AN132" i="50"/>
  <c r="AN131" i="50"/>
  <c r="AN125" i="50"/>
  <c r="AN130" i="50"/>
  <c r="AN128" i="50"/>
  <c r="AN126" i="50"/>
  <c r="AN123" i="50"/>
  <c r="AN122" i="50" s="1"/>
  <c r="AN121" i="50"/>
  <c r="AN120" i="50"/>
  <c r="AN119" i="50" s="1"/>
  <c r="AN118" i="50"/>
  <c r="AN135" i="50"/>
  <c r="AN124" i="50"/>
  <c r="AN109" i="50"/>
  <c r="AN104" i="50"/>
  <c r="AN110" i="50"/>
  <c r="AN102" i="50"/>
  <c r="AN93" i="50"/>
  <c r="AN92" i="50"/>
  <c r="AN86" i="50"/>
  <c r="AN94" i="50"/>
  <c r="AN89" i="50"/>
  <c r="AN87" i="50"/>
  <c r="AN83" i="50"/>
  <c r="AN65" i="50"/>
  <c r="AN59" i="50"/>
  <c r="AN85" i="50"/>
  <c r="AN84" i="50"/>
  <c r="AN82" i="50"/>
  <c r="AN76" i="50"/>
  <c r="AN73" i="50"/>
  <c r="AN72" i="50" s="1"/>
  <c r="AN64" i="50"/>
  <c r="AN60" i="50"/>
  <c r="AN67" i="50"/>
  <c r="AN49" i="50"/>
  <c r="AN81" i="50"/>
  <c r="AN61" i="50"/>
  <c r="AN41" i="50"/>
  <c r="AN68" i="50"/>
  <c r="AN51" i="50"/>
  <c r="AN36" i="50"/>
  <c r="AN23" i="50"/>
  <c r="AN21" i="50"/>
  <c r="AN42" i="50"/>
  <c r="AN16" i="50"/>
  <c r="AN80" i="50"/>
  <c r="AN26" i="50"/>
  <c r="AN24" i="50"/>
  <c r="AV3" i="50"/>
  <c r="AN17" i="50"/>
  <c r="AN90" i="50"/>
  <c r="AN43" i="50"/>
  <c r="AN91" i="50"/>
  <c r="AN111" i="50"/>
  <c r="AN103" i="50"/>
  <c r="AN112" i="50"/>
  <c r="AN34" i="50"/>
  <c r="AN75" i="50"/>
  <c r="AN22" i="50"/>
  <c r="AN78" i="50"/>
  <c r="AN77" i="50"/>
  <c r="AN66" i="50"/>
  <c r="AN69" i="50"/>
  <c r="AN58" i="50"/>
  <c r="AN63" i="50"/>
  <c r="AN108" i="50"/>
  <c r="AN33" i="50"/>
  <c r="AI15" i="50"/>
  <c r="AI13" i="50" s="1"/>
  <c r="AI31" i="50"/>
  <c r="V74" i="50"/>
  <c r="U74" i="50"/>
  <c r="W15" i="50"/>
  <c r="N114" i="50"/>
  <c r="M114" i="50"/>
  <c r="M100" i="50" s="1"/>
  <c r="V45" i="50"/>
  <c r="W44" i="50"/>
  <c r="AH44" i="50"/>
  <c r="AH39" i="50" s="1"/>
  <c r="AH11" i="50" s="1"/>
  <c r="AH141" i="50" s="1"/>
  <c r="AH114" i="50"/>
  <c r="AH100" i="50" s="1"/>
  <c r="AH99" i="50" s="1"/>
  <c r="AD132" i="50"/>
  <c r="AD34" i="50"/>
  <c r="AE50" i="50"/>
  <c r="AD51" i="50"/>
  <c r="AD112" i="50"/>
  <c r="AD26" i="50"/>
  <c r="AM128" i="50"/>
  <c r="AL128" i="50" s="1"/>
  <c r="AM138" i="50"/>
  <c r="AM129" i="50"/>
  <c r="AL129" i="50" s="1"/>
  <c r="AM136" i="50"/>
  <c r="AM124" i="50"/>
  <c r="AL124" i="50" s="1"/>
  <c r="AM132" i="50"/>
  <c r="AM125" i="50"/>
  <c r="AL125" i="50" s="1"/>
  <c r="AM130" i="50"/>
  <c r="AL130" i="50" s="1"/>
  <c r="AM126" i="50"/>
  <c r="AL126" i="50" s="1"/>
  <c r="AM121" i="50"/>
  <c r="AL121" i="50" s="1"/>
  <c r="AM120" i="50"/>
  <c r="AM133" i="50"/>
  <c r="AL133" i="50" s="1"/>
  <c r="AM131" i="50"/>
  <c r="AL131" i="50" s="1"/>
  <c r="AM112" i="50"/>
  <c r="AM109" i="50"/>
  <c r="AL109" i="50" s="1"/>
  <c r="AM104" i="50"/>
  <c r="AL104" i="50" s="1"/>
  <c r="AM90" i="50"/>
  <c r="AL90" i="50" s="1"/>
  <c r="AM123" i="50"/>
  <c r="AM110" i="50"/>
  <c r="AL110" i="50" s="1"/>
  <c r="AM92" i="50"/>
  <c r="AL92" i="50" s="1"/>
  <c r="AM86" i="50"/>
  <c r="AM80" i="50"/>
  <c r="AM68" i="50"/>
  <c r="AM67" i="50"/>
  <c r="AM94" i="50"/>
  <c r="AL94" i="50" s="1"/>
  <c r="AM89" i="50"/>
  <c r="AM83" i="50"/>
  <c r="AM65" i="50"/>
  <c r="AL65" i="50" s="1"/>
  <c r="AM59" i="50"/>
  <c r="AL59" i="50" s="1"/>
  <c r="AM87" i="50"/>
  <c r="AL87" i="50" s="1"/>
  <c r="AM85" i="50"/>
  <c r="AL85" i="50" s="1"/>
  <c r="AM84" i="50"/>
  <c r="AM82" i="50"/>
  <c r="AL82" i="50" s="1"/>
  <c r="AM76" i="50"/>
  <c r="AM63" i="50"/>
  <c r="AL63" i="50" s="1"/>
  <c r="AM60" i="50"/>
  <c r="AL60" i="50" s="1"/>
  <c r="AM51" i="50"/>
  <c r="AM42" i="50"/>
  <c r="AM36" i="50"/>
  <c r="AL36" i="50" s="1"/>
  <c r="AM73" i="50"/>
  <c r="AM66" i="50"/>
  <c r="AL66" i="50" s="1"/>
  <c r="AM49" i="50"/>
  <c r="AL49" i="50" s="1"/>
  <c r="AM17" i="50"/>
  <c r="AL17" i="50" s="1"/>
  <c r="AM23" i="50"/>
  <c r="AM21" i="50"/>
  <c r="AL21" i="50" s="1"/>
  <c r="AM64" i="50"/>
  <c r="AM16" i="50"/>
  <c r="AM41" i="50"/>
  <c r="AU3" i="50"/>
  <c r="AL3" i="50"/>
  <c r="AK3" i="50"/>
  <c r="AM24" i="50"/>
  <c r="AM69" i="50"/>
  <c r="AL69" i="50" s="1"/>
  <c r="AM61" i="50"/>
  <c r="AL61" i="50" s="1"/>
  <c r="AM93" i="50"/>
  <c r="AL93" i="50" s="1"/>
  <c r="AM108" i="50"/>
  <c r="AM34" i="50"/>
  <c r="AL34" i="50" s="1"/>
  <c r="AM81" i="50"/>
  <c r="AM33" i="50"/>
  <c r="AM26" i="50"/>
  <c r="AL26" i="50" s="1"/>
  <c r="AM135" i="50"/>
  <c r="AM22" i="50"/>
  <c r="AL22" i="50" s="1"/>
  <c r="AM58" i="50"/>
  <c r="AL58" i="50" s="1"/>
  <c r="AM75" i="50"/>
  <c r="AM102" i="50"/>
  <c r="AM118" i="50"/>
  <c r="AL118" i="50" s="1"/>
  <c r="AM43" i="50"/>
  <c r="AL43" i="50" s="1"/>
  <c r="AM91" i="50"/>
  <c r="AL91" i="50" s="1"/>
  <c r="AM111" i="50"/>
  <c r="AL111" i="50" s="1"/>
  <c r="AM103" i="50"/>
  <c r="AL103" i="50" s="1"/>
  <c r="AM78" i="50"/>
  <c r="AL78" i="50" s="1"/>
  <c r="AM77" i="50"/>
  <c r="AL77" i="50" s="1"/>
  <c r="AD22" i="50"/>
  <c r="AD33" i="50"/>
  <c r="AE31" i="50"/>
  <c r="AD31" i="50" s="1"/>
  <c r="AD65" i="50"/>
  <c r="AD77" i="50"/>
  <c r="AD90" i="50"/>
  <c r="AD86" i="50"/>
  <c r="AD110" i="50"/>
  <c r="AD130" i="50"/>
  <c r="AD128" i="50"/>
  <c r="AD138" i="50"/>
  <c r="AC6" i="50"/>
  <c r="AD6" i="50"/>
  <c r="AM6" i="50"/>
  <c r="CX18" i="50"/>
  <c r="CY15" i="50"/>
  <c r="BZ18" i="50"/>
  <c r="CA15" i="50"/>
  <c r="BZ62" i="50"/>
  <c r="CA50" i="50"/>
  <c r="BB62" i="50"/>
  <c r="BC50" i="50"/>
  <c r="AG31" i="50"/>
  <c r="AG15" i="50"/>
  <c r="AG13" i="50" s="1"/>
  <c r="AG11" i="50" s="1"/>
  <c r="AG74" i="50"/>
  <c r="AG39" i="50"/>
  <c r="AG79" i="50"/>
  <c r="M44" i="50"/>
  <c r="N44" i="50"/>
  <c r="O39" i="50"/>
  <c r="AP106" i="50"/>
  <c r="AX136" i="50"/>
  <c r="AX138" i="50"/>
  <c r="AX129" i="50"/>
  <c r="AX132" i="50"/>
  <c r="AX135" i="50"/>
  <c r="AX125" i="50"/>
  <c r="AX118" i="50"/>
  <c r="AX110" i="50"/>
  <c r="AX108" i="50"/>
  <c r="AX86" i="50"/>
  <c r="AX103" i="50"/>
  <c r="AX94" i="50"/>
  <c r="AX68" i="50"/>
  <c r="AX65" i="50"/>
  <c r="AX59" i="50"/>
  <c r="AX102" i="50"/>
  <c r="AX85" i="50"/>
  <c r="AX83" i="50"/>
  <c r="AX82" i="50"/>
  <c r="AX111" i="50"/>
  <c r="AX64" i="50"/>
  <c r="AX60" i="50"/>
  <c r="AX81" i="50"/>
  <c r="AX77" i="50"/>
  <c r="AX49" i="50"/>
  <c r="AX91" i="50"/>
  <c r="AX69" i="50"/>
  <c r="AX67" i="50"/>
  <c r="AX23" i="50"/>
  <c r="AX21" i="50"/>
  <c r="AX78" i="50"/>
  <c r="AX16" i="50"/>
  <c r="AX43" i="50"/>
  <c r="AX42" i="50"/>
  <c r="AX33" i="50"/>
  <c r="AX22" i="50"/>
  <c r="AX17" i="50"/>
  <c r="AX26" i="50"/>
  <c r="AX41" i="50"/>
  <c r="AX126" i="50"/>
  <c r="AX93" i="50"/>
  <c r="AX109" i="50"/>
  <c r="AX128" i="50"/>
  <c r="AX130" i="50"/>
  <c r="AX124" i="50"/>
  <c r="AX120" i="50"/>
  <c r="AX119" i="50" s="1"/>
  <c r="AX123" i="50"/>
  <c r="AX133" i="50"/>
  <c r="AX80" i="50"/>
  <c r="AX84" i="50"/>
  <c r="AX66" i="50"/>
  <c r="AX34" i="50"/>
  <c r="AX61" i="50"/>
  <c r="AX73" i="50"/>
  <c r="AX72" i="50" s="1"/>
  <c r="AX92" i="50"/>
  <c r="AX131" i="50"/>
  <c r="AX121" i="50"/>
  <c r="AX51" i="50"/>
  <c r="AX112" i="50"/>
  <c r="AX36" i="50"/>
  <c r="AX24" i="50"/>
  <c r="AX58" i="50"/>
  <c r="AX63" i="50"/>
  <c r="AX104" i="50"/>
  <c r="AX90" i="50"/>
  <c r="AX87" i="50"/>
  <c r="AX75" i="50"/>
  <c r="AX89" i="50"/>
  <c r="AD142" i="50"/>
  <c r="AC142" i="50"/>
  <c r="Y39" i="50"/>
  <c r="Y11" i="50" s="1"/>
  <c r="Y141" i="50" s="1"/>
  <c r="AI114" i="50"/>
  <c r="AI100" i="50" s="1"/>
  <c r="AI99" i="50" s="1"/>
  <c r="AN116" i="50"/>
  <c r="AN140" i="50"/>
  <c r="AN105" i="50"/>
  <c r="AN115" i="50"/>
  <c r="AN114" i="50" s="1"/>
  <c r="AN48" i="50"/>
  <c r="AN46" i="50"/>
  <c r="AN47" i="50"/>
  <c r="AN30" i="50"/>
  <c r="AV5" i="50"/>
  <c r="AN45" i="50"/>
  <c r="AN44" i="50" s="1"/>
  <c r="AN37" i="50"/>
  <c r="D143" i="50"/>
  <c r="AD127" i="50"/>
  <c r="P129" i="49"/>
  <c r="P122" i="49"/>
  <c r="P132" i="49"/>
  <c r="N91" i="49"/>
  <c r="U136" i="49"/>
  <c r="V140" i="49"/>
  <c r="Q91" i="49"/>
  <c r="E136" i="49"/>
  <c r="F140" i="49"/>
  <c r="L6" i="49"/>
  <c r="M6" i="49"/>
  <c r="O91" i="49"/>
  <c r="X138" i="49"/>
  <c r="T138" i="49" s="1"/>
  <c r="X137" i="49"/>
  <c r="T139" i="49"/>
  <c r="AX15" i="50" l="1"/>
  <c r="AL120" i="50"/>
  <c r="AM119" i="50"/>
  <c r="AL119" i="50" s="1"/>
  <c r="AI11" i="50"/>
  <c r="AI141" i="50" s="1"/>
  <c r="AN50" i="50"/>
  <c r="F145" i="50"/>
  <c r="E141" i="50"/>
  <c r="BB15" i="50"/>
  <c r="BC13" i="50"/>
  <c r="AQ15" i="50"/>
  <c r="AQ13" i="50" s="1"/>
  <c r="AX31" i="50"/>
  <c r="BA50" i="50"/>
  <c r="BB50" i="50"/>
  <c r="BC39" i="50"/>
  <c r="CA13" i="50"/>
  <c r="BZ15" i="50"/>
  <c r="AU6" i="50"/>
  <c r="AL6" i="50"/>
  <c r="AK6" i="50"/>
  <c r="AL81" i="50"/>
  <c r="AL64" i="50"/>
  <c r="AL42" i="50"/>
  <c r="AL76" i="50"/>
  <c r="AL89" i="50"/>
  <c r="AL80" i="50"/>
  <c r="AM79" i="50"/>
  <c r="AL123" i="50"/>
  <c r="AM122" i="50"/>
  <c r="AL122" i="50" s="1"/>
  <c r="AL112" i="50"/>
  <c r="AL132" i="50"/>
  <c r="AL138" i="50"/>
  <c r="M99" i="50"/>
  <c r="O2" i="50"/>
  <c r="AN31" i="50"/>
  <c r="AY127" i="50"/>
  <c r="AY137" i="50"/>
  <c r="AY134" i="50"/>
  <c r="AL127" i="50"/>
  <c r="AP13" i="50"/>
  <c r="CX50" i="50"/>
  <c r="CW50" i="50"/>
  <c r="CY39" i="50"/>
  <c r="BJ15" i="50"/>
  <c r="BK13" i="50"/>
  <c r="AP114" i="50"/>
  <c r="AP100" i="50" s="1"/>
  <c r="AP99" i="50" s="1"/>
  <c r="AC74" i="50"/>
  <c r="AD74" i="50"/>
  <c r="CG50" i="50"/>
  <c r="CH50" i="50"/>
  <c r="CI39" i="50"/>
  <c r="AD72" i="50"/>
  <c r="AC72" i="50"/>
  <c r="AO119" i="50"/>
  <c r="AO74" i="50"/>
  <c r="AO15" i="50"/>
  <c r="AO13" i="50" s="1"/>
  <c r="AW140" i="50"/>
  <c r="AW115" i="50"/>
  <c r="AW114" i="50" s="1"/>
  <c r="AW45" i="50"/>
  <c r="AW30" i="50"/>
  <c r="AW47" i="50"/>
  <c r="AW105" i="50"/>
  <c r="AW37" i="50"/>
  <c r="AW48" i="50"/>
  <c r="AW76" i="50"/>
  <c r="AW46" i="50"/>
  <c r="AW116" i="50"/>
  <c r="AO114" i="50"/>
  <c r="AG141" i="50"/>
  <c r="AM15" i="50"/>
  <c r="AL16" i="50"/>
  <c r="AL135" i="50"/>
  <c r="AM50" i="50"/>
  <c r="AL51" i="50"/>
  <c r="AL86" i="50"/>
  <c r="AD50" i="50"/>
  <c r="AC50" i="50"/>
  <c r="AN106" i="50"/>
  <c r="AN100" i="50" s="1"/>
  <c r="AN99" i="50" s="1"/>
  <c r="AN74" i="50"/>
  <c r="AN39" i="50" s="1"/>
  <c r="AN79" i="50"/>
  <c r="AM140" i="50"/>
  <c r="AL140" i="50" s="1"/>
  <c r="AM116" i="50"/>
  <c r="AL116" i="50" s="1"/>
  <c r="AM115" i="50"/>
  <c r="AM105" i="50"/>
  <c r="AL105" i="50" s="1"/>
  <c r="AM47" i="50"/>
  <c r="AL47" i="50" s="1"/>
  <c r="AM48" i="50"/>
  <c r="AL48" i="50" s="1"/>
  <c r="AM46" i="50"/>
  <c r="AL46" i="50" s="1"/>
  <c r="AU5" i="50"/>
  <c r="AL5" i="50"/>
  <c r="AK5" i="50"/>
  <c r="AM30" i="50"/>
  <c r="AL30" i="50" s="1"/>
  <c r="AM45" i="50"/>
  <c r="AM37" i="50"/>
  <c r="AL37" i="50" s="1"/>
  <c r="AU127" i="50"/>
  <c r="AT4" i="50"/>
  <c r="AS4" i="50"/>
  <c r="AU134" i="50"/>
  <c r="AT134" i="50" s="1"/>
  <c r="AU137" i="50"/>
  <c r="AD79" i="50"/>
  <c r="AC79" i="50"/>
  <c r="AP44" i="50"/>
  <c r="AP39" i="50" s="1"/>
  <c r="AX116" i="50"/>
  <c r="AX45" i="50"/>
  <c r="AX37" i="50"/>
  <c r="AX46" i="50"/>
  <c r="AX76" i="50"/>
  <c r="AX74" i="50" s="1"/>
  <c r="AX30" i="50"/>
  <c r="AX115" i="50"/>
  <c r="AX48" i="50"/>
  <c r="AX105" i="50"/>
  <c r="AX47" i="50"/>
  <c r="AX140" i="50"/>
  <c r="CP50" i="50"/>
  <c r="CO50" i="50"/>
  <c r="CQ39" i="50"/>
  <c r="AX127" i="50"/>
  <c r="AX122" i="50" s="1"/>
  <c r="AX134" i="50"/>
  <c r="AX137" i="50"/>
  <c r="AF11" i="50"/>
  <c r="AF141" i="50" s="1"/>
  <c r="AO31" i="50"/>
  <c r="CP15" i="50"/>
  <c r="CQ13" i="50"/>
  <c r="AQ31" i="50"/>
  <c r="AQ119" i="50"/>
  <c r="AQ100" i="50" s="1"/>
  <c r="AQ99" i="50" s="1"/>
  <c r="AQ122" i="50"/>
  <c r="AL33" i="50"/>
  <c r="AM31" i="50"/>
  <c r="AL31" i="50" s="1"/>
  <c r="AE44" i="50"/>
  <c r="AD45" i="50"/>
  <c r="BR50" i="50"/>
  <c r="BQ50" i="50"/>
  <c r="BS39" i="50"/>
  <c r="U50" i="50"/>
  <c r="V50" i="50"/>
  <c r="AX50" i="50"/>
  <c r="AL102" i="50"/>
  <c r="AU138" i="50"/>
  <c r="AU136" i="50"/>
  <c r="AU132" i="50"/>
  <c r="AU135" i="50"/>
  <c r="AT135" i="50" s="1"/>
  <c r="AU125" i="50"/>
  <c r="AU118" i="50"/>
  <c r="AU129" i="50"/>
  <c r="AU110" i="50"/>
  <c r="AT110" i="50" s="1"/>
  <c r="AU126" i="50"/>
  <c r="AU108" i="50"/>
  <c r="AU103" i="50"/>
  <c r="AU86" i="50"/>
  <c r="AU109" i="50"/>
  <c r="AU94" i="50"/>
  <c r="AU104" i="50"/>
  <c r="AU112" i="50"/>
  <c r="AT112" i="50" s="1"/>
  <c r="AU93" i="50"/>
  <c r="AU85" i="50"/>
  <c r="AU83" i="50"/>
  <c r="AU82" i="50"/>
  <c r="AT82" i="50" s="1"/>
  <c r="AU66" i="50"/>
  <c r="AU64" i="50"/>
  <c r="AU60" i="50"/>
  <c r="AU81" i="50"/>
  <c r="AT81" i="50" s="1"/>
  <c r="AU78" i="50"/>
  <c r="AU77" i="50"/>
  <c r="AU67" i="50"/>
  <c r="AU49" i="50"/>
  <c r="AT49" i="50" s="1"/>
  <c r="AU41" i="50"/>
  <c r="AU84" i="50"/>
  <c r="AU75" i="50"/>
  <c r="AU65" i="50"/>
  <c r="AT65" i="50" s="1"/>
  <c r="AU59" i="50"/>
  <c r="AU68" i="50"/>
  <c r="AU58" i="50"/>
  <c r="AU42" i="50"/>
  <c r="AT42" i="50" s="1"/>
  <c r="AU16" i="50"/>
  <c r="AU92" i="50"/>
  <c r="AU63" i="50"/>
  <c r="AU26" i="50"/>
  <c r="AT26" i="50" s="1"/>
  <c r="AU22" i="50"/>
  <c r="AU17" i="50"/>
  <c r="AU21" i="50"/>
  <c r="AU23" i="50"/>
  <c r="AT23" i="50" s="1"/>
  <c r="AT3" i="50"/>
  <c r="AU34" i="50"/>
  <c r="AS3" i="50"/>
  <c r="AU43" i="50"/>
  <c r="AT43" i="50" s="1"/>
  <c r="AU61" i="50"/>
  <c r="AU120" i="50"/>
  <c r="AU123" i="50"/>
  <c r="AU130" i="50"/>
  <c r="AU36" i="50"/>
  <c r="AU24" i="50"/>
  <c r="AU90" i="50"/>
  <c r="AU91" i="50"/>
  <c r="AT91" i="50" s="1"/>
  <c r="AU87" i="50"/>
  <c r="AU111" i="50"/>
  <c r="AU121" i="50"/>
  <c r="AU131" i="50"/>
  <c r="AT131" i="50" s="1"/>
  <c r="AU33" i="50"/>
  <c r="AU124" i="50"/>
  <c r="AU51" i="50"/>
  <c r="AU80" i="50"/>
  <c r="AU69" i="50"/>
  <c r="AU73" i="50"/>
  <c r="AU102" i="50"/>
  <c r="AU89" i="50"/>
  <c r="AT89" i="50" s="1"/>
  <c r="AU128" i="50"/>
  <c r="AU133" i="50"/>
  <c r="AV116" i="50"/>
  <c r="AV105" i="50"/>
  <c r="AV76" i="50"/>
  <c r="AV45" i="50"/>
  <c r="AV46" i="50"/>
  <c r="AV30" i="50"/>
  <c r="AV47" i="50"/>
  <c r="AV115" i="50"/>
  <c r="AV114" i="50" s="1"/>
  <c r="AV140" i="50"/>
  <c r="AV48" i="50"/>
  <c r="AV37" i="50"/>
  <c r="AX79" i="50"/>
  <c r="AX106" i="50"/>
  <c r="M39" i="50"/>
  <c r="M11" i="50" s="1"/>
  <c r="N39" i="50"/>
  <c r="BZ50" i="50"/>
  <c r="BY50" i="50"/>
  <c r="CA39" i="50"/>
  <c r="CY13" i="50"/>
  <c r="CX15" i="50"/>
  <c r="AL75" i="50"/>
  <c r="AM74" i="50"/>
  <c r="AL108" i="50"/>
  <c r="AM106" i="50"/>
  <c r="AL24" i="50"/>
  <c r="AL41" i="50"/>
  <c r="AL23" i="50"/>
  <c r="AL73" i="50"/>
  <c r="AM72" i="50"/>
  <c r="AL84" i="50"/>
  <c r="AL67" i="50"/>
  <c r="AL136" i="50"/>
  <c r="V44" i="50"/>
  <c r="U44" i="50"/>
  <c r="W39" i="50"/>
  <c r="V15" i="50"/>
  <c r="W13" i="50"/>
  <c r="AV138" i="50"/>
  <c r="AV132" i="50"/>
  <c r="AV135" i="50"/>
  <c r="AV133" i="50"/>
  <c r="AV131" i="50"/>
  <c r="AV118" i="50"/>
  <c r="AV136" i="50"/>
  <c r="AV129" i="50"/>
  <c r="AV126" i="50"/>
  <c r="AV123" i="50"/>
  <c r="AV110" i="50"/>
  <c r="AV121" i="50"/>
  <c r="AV120" i="50"/>
  <c r="AV112" i="50"/>
  <c r="AV109" i="50"/>
  <c r="AV94" i="50"/>
  <c r="AV91" i="50"/>
  <c r="AV64" i="50"/>
  <c r="AV60" i="50"/>
  <c r="AV86" i="50"/>
  <c r="AV81" i="50"/>
  <c r="AV67" i="50"/>
  <c r="AV89" i="50"/>
  <c r="AV84" i="50"/>
  <c r="AV68" i="50"/>
  <c r="AV65" i="50"/>
  <c r="AV63" i="50"/>
  <c r="AV59" i="50"/>
  <c r="AV87" i="50"/>
  <c r="AV82" i="50"/>
  <c r="AV42" i="50"/>
  <c r="AV41" i="50"/>
  <c r="AV73" i="50"/>
  <c r="AV72" i="50" s="1"/>
  <c r="AV49" i="50"/>
  <c r="AV26" i="50"/>
  <c r="AV17" i="50"/>
  <c r="AV85" i="50"/>
  <c r="AV23" i="50"/>
  <c r="AV21" i="50"/>
  <c r="AV16" i="50"/>
  <c r="AV83" i="50"/>
  <c r="AV66" i="50"/>
  <c r="AV51" i="50"/>
  <c r="AV22" i="50"/>
  <c r="AV80" i="50"/>
  <c r="AV102" i="50"/>
  <c r="AV24" i="50"/>
  <c r="AV90" i="50"/>
  <c r="AV92" i="50"/>
  <c r="AV103" i="50"/>
  <c r="AV34" i="50"/>
  <c r="AV33" i="50"/>
  <c r="AV31" i="50" s="1"/>
  <c r="AV43" i="50"/>
  <c r="AV58" i="50"/>
  <c r="AV75" i="50"/>
  <c r="AV69" i="50"/>
  <c r="AV104" i="50"/>
  <c r="AV111" i="50"/>
  <c r="AV128" i="50"/>
  <c r="AV124" i="50"/>
  <c r="AV125" i="50"/>
  <c r="AV36" i="50"/>
  <c r="AV78" i="50"/>
  <c r="AV61" i="50"/>
  <c r="AV77" i="50"/>
  <c r="AV93" i="50"/>
  <c r="AV108" i="50"/>
  <c r="AV130" i="50"/>
  <c r="AN15" i="50"/>
  <c r="AN13" i="50" s="1"/>
  <c r="AE114" i="50"/>
  <c r="AD115" i="50"/>
  <c r="AY62" i="50"/>
  <c r="AY18" i="50"/>
  <c r="O11" i="50"/>
  <c r="BJ50" i="50"/>
  <c r="BI50" i="50"/>
  <c r="BK39" i="50"/>
  <c r="CH15" i="50"/>
  <c r="CI13" i="50"/>
  <c r="AW127" i="50"/>
  <c r="AW134" i="50"/>
  <c r="AW137" i="50"/>
  <c r="AY143" i="50"/>
  <c r="AY142" i="50" s="1"/>
  <c r="AS142" i="50" s="1"/>
  <c r="AV127" i="50"/>
  <c r="AV137" i="50"/>
  <c r="AV134" i="50"/>
  <c r="BS13" i="50"/>
  <c r="BR15" i="50"/>
  <c r="AD15" i="50"/>
  <c r="AE13" i="50"/>
  <c r="AY46" i="50"/>
  <c r="AY45" i="50"/>
  <c r="AY48" i="50"/>
  <c r="AY37" i="50"/>
  <c r="AY105" i="50"/>
  <c r="AY47" i="50"/>
  <c r="AY30" i="50"/>
  <c r="AY115" i="50"/>
  <c r="AY140" i="50"/>
  <c r="AY116" i="50"/>
  <c r="AQ114" i="50"/>
  <c r="AW135" i="50"/>
  <c r="AW138" i="50"/>
  <c r="AW129" i="50"/>
  <c r="AW136" i="50"/>
  <c r="AW118" i="50"/>
  <c r="AW132" i="50"/>
  <c r="AW110" i="50"/>
  <c r="AW102" i="50"/>
  <c r="AW124" i="50"/>
  <c r="AW86" i="50"/>
  <c r="AW81" i="50"/>
  <c r="AW67" i="50"/>
  <c r="AW68" i="50"/>
  <c r="AW65" i="50"/>
  <c r="AW59" i="50"/>
  <c r="AW85" i="50"/>
  <c r="AW83" i="50"/>
  <c r="AW82" i="50"/>
  <c r="AW42" i="50"/>
  <c r="AW80" i="50"/>
  <c r="AW64" i="50"/>
  <c r="AW94" i="50"/>
  <c r="AW60" i="50"/>
  <c r="AW49" i="50"/>
  <c r="AW26" i="50"/>
  <c r="AW17" i="50"/>
  <c r="AW23" i="50"/>
  <c r="AW21" i="50"/>
  <c r="AW16" i="50"/>
  <c r="AW36" i="50"/>
  <c r="AW51" i="50"/>
  <c r="AW34" i="50"/>
  <c r="AW78" i="50"/>
  <c r="AW66" i="50"/>
  <c r="AW108" i="50"/>
  <c r="AW75" i="50"/>
  <c r="AW87" i="50"/>
  <c r="AW93" i="50"/>
  <c r="AW111" i="50"/>
  <c r="AW123" i="50"/>
  <c r="AW126" i="50"/>
  <c r="AW41" i="50"/>
  <c r="AW61" i="50"/>
  <c r="AW58" i="50"/>
  <c r="AW63" i="50"/>
  <c r="AW92" i="50"/>
  <c r="AW121" i="50"/>
  <c r="AW131" i="50"/>
  <c r="AW24" i="50"/>
  <c r="AW22" i="50"/>
  <c r="AW33" i="50"/>
  <c r="AW77" i="50"/>
  <c r="AW73" i="50"/>
  <c r="AW72" i="50" s="1"/>
  <c r="AW90" i="50"/>
  <c r="AW89" i="50"/>
  <c r="AW103" i="50"/>
  <c r="AW109" i="50"/>
  <c r="AW112" i="50"/>
  <c r="AW128" i="50"/>
  <c r="AW130" i="50"/>
  <c r="AW133" i="50"/>
  <c r="AW120" i="50"/>
  <c r="AW119" i="50" s="1"/>
  <c r="AW69" i="50"/>
  <c r="AW91" i="50"/>
  <c r="AW43" i="50"/>
  <c r="AW84" i="50"/>
  <c r="AW104" i="50"/>
  <c r="AW125" i="50"/>
  <c r="AO50" i="50"/>
  <c r="AO79" i="50"/>
  <c r="AO106" i="50"/>
  <c r="AO100" i="50" s="1"/>
  <c r="AO99" i="50" s="1"/>
  <c r="AO122" i="50"/>
  <c r="AQ74" i="50"/>
  <c r="AY138" i="50"/>
  <c r="AY136" i="50"/>
  <c r="AY132" i="50"/>
  <c r="AY135" i="50"/>
  <c r="AY129" i="50"/>
  <c r="AY125" i="50"/>
  <c r="AY118" i="50"/>
  <c r="AY126" i="50"/>
  <c r="AY110" i="50"/>
  <c r="AY103" i="50"/>
  <c r="AY109" i="50"/>
  <c r="AY86" i="50"/>
  <c r="AY104" i="50"/>
  <c r="AY94" i="50"/>
  <c r="AY112" i="50"/>
  <c r="AY85" i="50"/>
  <c r="AY83" i="50"/>
  <c r="AY82" i="50"/>
  <c r="AY66" i="50"/>
  <c r="AY64" i="50"/>
  <c r="AY60" i="50"/>
  <c r="AY92" i="50"/>
  <c r="AY81" i="50"/>
  <c r="AY78" i="50"/>
  <c r="AY77" i="50"/>
  <c r="AY67" i="50"/>
  <c r="AY84" i="50"/>
  <c r="AY76" i="50"/>
  <c r="AY75" i="50"/>
  <c r="AY74" i="50" s="1"/>
  <c r="AY65" i="50"/>
  <c r="AY59" i="50"/>
  <c r="AY49" i="50"/>
  <c r="AY41" i="50"/>
  <c r="AY93" i="50"/>
  <c r="AY68" i="50"/>
  <c r="AY58" i="50"/>
  <c r="AY63" i="50"/>
  <c r="AY42" i="50"/>
  <c r="AY16" i="50"/>
  <c r="AY34" i="50"/>
  <c r="AY26" i="50"/>
  <c r="AY22" i="50"/>
  <c r="AY17" i="50"/>
  <c r="AY21" i="50"/>
  <c r="AY23" i="50"/>
  <c r="AY36" i="50"/>
  <c r="AY24" i="50"/>
  <c r="AY33" i="50"/>
  <c r="AY90" i="50"/>
  <c r="AY124" i="50"/>
  <c r="AY131" i="50"/>
  <c r="AY51" i="50"/>
  <c r="AY43" i="50"/>
  <c r="AY80" i="50"/>
  <c r="AY89" i="50"/>
  <c r="AY73" i="50"/>
  <c r="AY72" i="50" s="1"/>
  <c r="AY87" i="50"/>
  <c r="AY102" i="50"/>
  <c r="AY120" i="50"/>
  <c r="AY119" i="50" s="1"/>
  <c r="AY139" i="50"/>
  <c r="AY91" i="50"/>
  <c r="AY108" i="50"/>
  <c r="AY111" i="50"/>
  <c r="AY121" i="50"/>
  <c r="AY123" i="50"/>
  <c r="AY122" i="50" s="1"/>
  <c r="AY128" i="50"/>
  <c r="AY130" i="50"/>
  <c r="AY61" i="50"/>
  <c r="AY69" i="50"/>
  <c r="AY133" i="50"/>
  <c r="AQ50" i="50"/>
  <c r="AQ39" i="50" s="1"/>
  <c r="AQ79" i="50"/>
  <c r="AO44" i="50"/>
  <c r="AO39" i="50" s="1"/>
  <c r="O132" i="49"/>
  <c r="O129" i="49"/>
  <c r="O122" i="49"/>
  <c r="O117" i="49" s="1"/>
  <c r="O95" i="49" s="1"/>
  <c r="O94" i="49" s="1"/>
  <c r="Q129" i="49"/>
  <c r="Q122" i="49"/>
  <c r="Q132" i="49"/>
  <c r="X162" i="49"/>
  <c r="T137" i="49"/>
  <c r="T162" i="49" s="1"/>
  <c r="U140" i="49"/>
  <c r="V145" i="49"/>
  <c r="V159" i="49" s="1"/>
  <c r="T159" i="49" s="1"/>
  <c r="T140" i="49"/>
  <c r="T158" i="49" s="1"/>
  <c r="V162" i="49"/>
  <c r="P117" i="49"/>
  <c r="P95" i="49" s="1"/>
  <c r="P94" i="49" s="1"/>
  <c r="M91" i="49"/>
  <c r="N132" i="49"/>
  <c r="M132" i="49" s="1"/>
  <c r="N122" i="49"/>
  <c r="L91" i="49"/>
  <c r="N129" i="49"/>
  <c r="M129" i="49" s="1"/>
  <c r="F145" i="49"/>
  <c r="E140" i="49"/>
  <c r="W11" i="50" l="1"/>
  <c r="V13" i="50"/>
  <c r="AL72" i="50"/>
  <c r="AK72" i="50"/>
  <c r="AL74" i="50"/>
  <c r="AK74" i="50"/>
  <c r="AT86" i="50"/>
  <c r="AM13" i="50"/>
  <c r="AL15" i="50"/>
  <c r="CH39" i="50"/>
  <c r="CG39" i="50"/>
  <c r="AK79" i="50"/>
  <c r="AL79" i="50"/>
  <c r="BB39" i="50"/>
  <c r="BA39" i="50"/>
  <c r="AY50" i="50"/>
  <c r="AY31" i="50"/>
  <c r="AW15" i="50"/>
  <c r="AW13" i="50" s="1"/>
  <c r="AY114" i="50"/>
  <c r="AD13" i="50"/>
  <c r="O141" i="50"/>
  <c r="N141" i="50" s="1"/>
  <c r="N11" i="50"/>
  <c r="AD114" i="50"/>
  <c r="AC114" i="50"/>
  <c r="AC100" i="50" s="1"/>
  <c r="AV106" i="50"/>
  <c r="AV74" i="50"/>
  <c r="AV50" i="50"/>
  <c r="AT102" i="50"/>
  <c r="AU50" i="50"/>
  <c r="AT51" i="50"/>
  <c r="AT121" i="50"/>
  <c r="AT90" i="50"/>
  <c r="AU122" i="50"/>
  <c r="AT123" i="50"/>
  <c r="AT21" i="50"/>
  <c r="AT63" i="50"/>
  <c r="AT58" i="50"/>
  <c r="AT75" i="50"/>
  <c r="AT67" i="50"/>
  <c r="AT60" i="50"/>
  <c r="AT104" i="50"/>
  <c r="AT103" i="50"/>
  <c r="AT129" i="50"/>
  <c r="AT132" i="50"/>
  <c r="AX114" i="50"/>
  <c r="AX100" i="50" s="1"/>
  <c r="AX99" i="50" s="1"/>
  <c r="AM44" i="50"/>
  <c r="AL45" i="50"/>
  <c r="AU46" i="50"/>
  <c r="AT46" i="50" s="1"/>
  <c r="AU76" i="50"/>
  <c r="AT76" i="50" s="1"/>
  <c r="AU48" i="50"/>
  <c r="AT48" i="50" s="1"/>
  <c r="AT5" i="50"/>
  <c r="AS5" i="50"/>
  <c r="AU45" i="50"/>
  <c r="AU105" i="50"/>
  <c r="AT105" i="50" s="1"/>
  <c r="AU140" i="50"/>
  <c r="AT140" i="50" s="1"/>
  <c r="AU47" i="50"/>
  <c r="AT47" i="50" s="1"/>
  <c r="AU30" i="50"/>
  <c r="AT30" i="50" s="1"/>
  <c r="AU37" i="50"/>
  <c r="AT37" i="50" s="1"/>
  <c r="AU115" i="50"/>
  <c r="AU116" i="50"/>
  <c r="AT116" i="50" s="1"/>
  <c r="AL50" i="50"/>
  <c r="AK50" i="50"/>
  <c r="AT6" i="50"/>
  <c r="AS6" i="50"/>
  <c r="F151" i="50"/>
  <c r="F166" i="50" s="1"/>
  <c r="D166" i="50" s="1"/>
  <c r="E145" i="50"/>
  <c r="D145" i="50"/>
  <c r="D165" i="50" s="1"/>
  <c r="BY39" i="50"/>
  <c r="BZ39" i="50"/>
  <c r="AW74" i="50"/>
  <c r="AW79" i="50"/>
  <c r="BJ39" i="50"/>
  <c r="BI39" i="50"/>
  <c r="AV100" i="50"/>
  <c r="AV99" i="50" s="1"/>
  <c r="AV122" i="50"/>
  <c r="V39" i="50"/>
  <c r="U39" i="50"/>
  <c r="U11" i="50" s="1"/>
  <c r="AL106" i="50"/>
  <c r="AV44" i="50"/>
  <c r="AV39" i="50" s="1"/>
  <c r="AT133" i="50"/>
  <c r="AT73" i="50"/>
  <c r="AU72" i="50"/>
  <c r="AT124" i="50"/>
  <c r="AT111" i="50"/>
  <c r="AT24" i="50"/>
  <c r="AT120" i="50"/>
  <c r="AU119" i="50"/>
  <c r="AT34" i="50"/>
  <c r="AT17" i="50"/>
  <c r="AT92" i="50"/>
  <c r="AT84" i="50"/>
  <c r="AT77" i="50"/>
  <c r="AT64" i="50"/>
  <c r="AT85" i="50"/>
  <c r="AT94" i="50"/>
  <c r="AU106" i="50"/>
  <c r="AT108" i="50"/>
  <c r="AT118" i="50"/>
  <c r="AT136" i="50"/>
  <c r="CP13" i="50"/>
  <c r="CQ11" i="50"/>
  <c r="AE100" i="50"/>
  <c r="CP39" i="50"/>
  <c r="CO39" i="50"/>
  <c r="AX44" i="50"/>
  <c r="AX39" i="50" s="1"/>
  <c r="AL115" i="50"/>
  <c r="AM114" i="50"/>
  <c r="BJ13" i="50"/>
  <c r="BK4" i="50"/>
  <c r="BK11" i="50"/>
  <c r="BC4" i="50"/>
  <c r="BC11" i="50"/>
  <c r="BB13" i="50"/>
  <c r="AX13" i="50"/>
  <c r="BR13" i="50"/>
  <c r="BS11" i="50"/>
  <c r="CI4" i="50"/>
  <c r="CI11" i="50"/>
  <c r="CH13" i="50"/>
  <c r="AV15" i="50"/>
  <c r="AV13" i="50" s="1"/>
  <c r="M141" i="50"/>
  <c r="M2" i="50"/>
  <c r="AT80" i="50"/>
  <c r="AU79" i="50"/>
  <c r="AT130" i="50"/>
  <c r="CX39" i="50"/>
  <c r="CW39" i="50"/>
  <c r="AY15" i="50"/>
  <c r="AY13" i="50" s="1"/>
  <c r="AW122" i="50"/>
  <c r="AY106" i="50"/>
  <c r="AY100" i="50" s="1"/>
  <c r="AY99" i="50" s="1"/>
  <c r="AY79" i="50"/>
  <c r="AW31" i="50"/>
  <c r="AW106" i="50"/>
  <c r="AW100" i="50" s="1"/>
  <c r="AW99" i="50" s="1"/>
  <c r="AW50" i="50"/>
  <c r="AY44" i="50"/>
  <c r="AY39" i="50" s="1"/>
  <c r="AN11" i="50"/>
  <c r="AN141" i="50" s="1"/>
  <c r="AV79" i="50"/>
  <c r="AV119" i="50"/>
  <c r="CX13" i="50"/>
  <c r="CY4" i="50"/>
  <c r="CY11" i="50"/>
  <c r="AT128" i="50"/>
  <c r="AT69" i="50"/>
  <c r="AU31" i="50"/>
  <c r="AT31" i="50" s="1"/>
  <c r="AT33" i="50"/>
  <c r="AT87" i="50"/>
  <c r="AT36" i="50"/>
  <c r="AT61" i="50"/>
  <c r="AT22" i="50"/>
  <c r="AT16" i="50"/>
  <c r="AU15" i="50"/>
  <c r="AT59" i="50"/>
  <c r="AT41" i="50"/>
  <c r="AT78" i="50"/>
  <c r="AT66" i="50"/>
  <c r="AT93" i="50"/>
  <c r="AT109" i="50"/>
  <c r="AT126" i="50"/>
  <c r="AT125" i="50"/>
  <c r="AT138" i="50"/>
  <c r="BR39" i="50"/>
  <c r="BQ39" i="50"/>
  <c r="AD44" i="50"/>
  <c r="AC44" i="50"/>
  <c r="AE39" i="50"/>
  <c r="AE11" i="50" s="1"/>
  <c r="AT137" i="50"/>
  <c r="AT127" i="50"/>
  <c r="AW44" i="50"/>
  <c r="AW39" i="50" s="1"/>
  <c r="AO11" i="50"/>
  <c r="AO141" i="50" s="1"/>
  <c r="AP11" i="50"/>
  <c r="AP141" i="50" s="1"/>
  <c r="CA11" i="50"/>
  <c r="BZ13" i="50"/>
  <c r="CA4" i="50"/>
  <c r="AQ11" i="50"/>
  <c r="AQ141" i="50" s="1"/>
  <c r="M122" i="49"/>
  <c r="N117" i="49"/>
  <c r="Q117" i="49"/>
  <c r="Q95" i="49" s="1"/>
  <c r="Q94" i="49" s="1"/>
  <c r="AD11" i="50" l="1"/>
  <c r="CH11" i="50"/>
  <c r="AS72" i="50"/>
  <c r="AT72" i="50"/>
  <c r="AW11" i="50"/>
  <c r="AW141" i="50" s="1"/>
  <c r="BZ11" i="50"/>
  <c r="CY137" i="50"/>
  <c r="CY134" i="50"/>
  <c r="CY127" i="50"/>
  <c r="CW4" i="50"/>
  <c r="CI134" i="50"/>
  <c r="CI137" i="50"/>
  <c r="CI127" i="50"/>
  <c r="CG4" i="50"/>
  <c r="BB11" i="50"/>
  <c r="CO11" i="50"/>
  <c r="CT4" i="50"/>
  <c r="CR4" i="50"/>
  <c r="CU4" i="50"/>
  <c r="CS4" i="50"/>
  <c r="CQ4" i="50"/>
  <c r="U141" i="50"/>
  <c r="U2" i="50"/>
  <c r="BI11" i="50"/>
  <c r="BL4" i="50"/>
  <c r="BM4" i="50"/>
  <c r="BO4" i="50"/>
  <c r="BN4" i="50"/>
  <c r="AL44" i="50"/>
  <c r="AK44" i="50"/>
  <c r="AM39" i="50"/>
  <c r="AM11" i="50" s="1"/>
  <c r="AU74" i="50"/>
  <c r="AC99" i="50"/>
  <c r="AE2" i="50"/>
  <c r="W141" i="50"/>
  <c r="V141" i="50" s="1"/>
  <c r="V11" i="50"/>
  <c r="CX11" i="50"/>
  <c r="CP11" i="50"/>
  <c r="BQ11" i="50"/>
  <c r="BU4" i="50"/>
  <c r="BW4" i="50"/>
  <c r="BT4" i="50"/>
  <c r="BV4" i="50"/>
  <c r="AY11" i="50"/>
  <c r="AY141" i="50" s="1"/>
  <c r="AT79" i="50"/>
  <c r="AS79" i="50"/>
  <c r="AV11" i="50"/>
  <c r="AV141" i="50" s="1"/>
  <c r="BR11" i="50"/>
  <c r="BC137" i="50"/>
  <c r="BC134" i="50"/>
  <c r="BC127" i="50"/>
  <c r="BA4" i="50"/>
  <c r="AK114" i="50"/>
  <c r="AK100" i="50" s="1"/>
  <c r="AL114" i="50"/>
  <c r="AM100" i="50"/>
  <c r="AT106" i="50"/>
  <c r="AT45" i="50"/>
  <c r="AU44" i="50"/>
  <c r="AL13" i="50"/>
  <c r="BK137" i="50"/>
  <c r="BK134" i="50"/>
  <c r="BK127" i="50"/>
  <c r="BI4" i="50"/>
  <c r="AT115" i="50"/>
  <c r="AU114" i="50"/>
  <c r="AU13" i="50"/>
  <c r="AT15" i="50"/>
  <c r="CA137" i="50"/>
  <c r="CA134" i="50"/>
  <c r="CA127" i="50"/>
  <c r="BZ4" i="50"/>
  <c r="BY4" i="50"/>
  <c r="AD39" i="50"/>
  <c r="AC39" i="50"/>
  <c r="AC11" i="50" s="1"/>
  <c r="CW11" i="50"/>
  <c r="CZ4" i="50"/>
  <c r="DB4" i="50"/>
  <c r="DA4" i="50"/>
  <c r="DC4" i="50"/>
  <c r="BS4" i="50"/>
  <c r="AX11" i="50"/>
  <c r="AX141" i="50" s="1"/>
  <c r="BJ11" i="50"/>
  <c r="AD100" i="50"/>
  <c r="AE99" i="50"/>
  <c r="AD99" i="50" s="1"/>
  <c r="AT119" i="50"/>
  <c r="BY11" i="50"/>
  <c r="CE4" i="50"/>
  <c r="CD4" i="50"/>
  <c r="CB4" i="50"/>
  <c r="CC4" i="50"/>
  <c r="AT122" i="50"/>
  <c r="AT50" i="50"/>
  <c r="AS50" i="50"/>
  <c r="BA11" i="50"/>
  <c r="BF4" i="50"/>
  <c r="BD4" i="50"/>
  <c r="BE4" i="50"/>
  <c r="BG4" i="50"/>
  <c r="CG11" i="50"/>
  <c r="CM4" i="50"/>
  <c r="CK4" i="50"/>
  <c r="CL4" i="50"/>
  <c r="CJ4" i="50"/>
  <c r="M117" i="49"/>
  <c r="N95" i="49"/>
  <c r="AL11" i="50" l="1"/>
  <c r="CJ137" i="50"/>
  <c r="CJ134" i="50"/>
  <c r="CH134" i="50" s="1"/>
  <c r="CJ127" i="50"/>
  <c r="CJ122" i="50" s="1"/>
  <c r="CJ100" i="50" s="1"/>
  <c r="CJ99" i="50" s="1"/>
  <c r="CJ141" i="50" s="1"/>
  <c r="CJ144" i="50" s="1"/>
  <c r="CE137" i="50"/>
  <c r="CE134" i="50"/>
  <c r="CE127" i="50"/>
  <c r="CE122" i="50" s="1"/>
  <c r="CE100" i="50" s="1"/>
  <c r="CE99" i="50" s="1"/>
  <c r="CE141" i="50" s="1"/>
  <c r="CE144" i="50" s="1"/>
  <c r="CZ137" i="50"/>
  <c r="CZ134" i="50"/>
  <c r="CZ127" i="50"/>
  <c r="CZ122" i="50" s="1"/>
  <c r="CZ100" i="50" s="1"/>
  <c r="CZ99" i="50" s="1"/>
  <c r="CZ141" i="50" s="1"/>
  <c r="CZ144" i="50" s="1"/>
  <c r="CR137" i="50"/>
  <c r="CR134" i="50"/>
  <c r="CR127" i="50"/>
  <c r="CR122" i="50" s="1"/>
  <c r="CR100" i="50" s="1"/>
  <c r="CR99" i="50" s="1"/>
  <c r="CR141" i="50" s="1"/>
  <c r="CR144" i="50" s="1"/>
  <c r="CX127" i="50"/>
  <c r="CY122" i="50"/>
  <c r="BG137" i="50"/>
  <c r="BG134" i="50"/>
  <c r="BG127" i="50"/>
  <c r="BG122" i="50" s="1"/>
  <c r="BG100" i="50" s="1"/>
  <c r="BG99" i="50" s="1"/>
  <c r="BG141" i="50" s="1"/>
  <c r="BG144" i="50" s="1"/>
  <c r="CC137" i="50"/>
  <c r="CC134" i="50"/>
  <c r="CC127" i="50"/>
  <c r="CC122" i="50" s="1"/>
  <c r="CC100" i="50" s="1"/>
  <c r="CC99" i="50" s="1"/>
  <c r="CC141" i="50" s="1"/>
  <c r="CC144" i="50" s="1"/>
  <c r="CW141" i="50"/>
  <c r="CW2" i="50"/>
  <c r="AK99" i="50"/>
  <c r="AM2" i="50"/>
  <c r="BV137" i="50"/>
  <c r="BV134" i="50"/>
  <c r="BV127" i="50"/>
  <c r="BV122" i="50" s="1"/>
  <c r="BV100" i="50" s="1"/>
  <c r="BV99" i="50" s="1"/>
  <c r="BV141" i="50" s="1"/>
  <c r="BV144" i="50" s="1"/>
  <c r="BQ141" i="50"/>
  <c r="BQ2" i="50"/>
  <c r="BL137" i="50"/>
  <c r="BJ137" i="50" s="1"/>
  <c r="BL134" i="50"/>
  <c r="BJ134" i="50" s="1"/>
  <c r="BL127" i="50"/>
  <c r="BL122" i="50" s="1"/>
  <c r="BL100" i="50" s="1"/>
  <c r="BL99" i="50" s="1"/>
  <c r="BL141" i="50" s="1"/>
  <c r="BL144" i="50" s="1"/>
  <c r="CQ137" i="50"/>
  <c r="CP137" i="50" s="1"/>
  <c r="CQ134" i="50"/>
  <c r="CP134" i="50" s="1"/>
  <c r="CQ127" i="50"/>
  <c r="CP4" i="50"/>
  <c r="CO4" i="50"/>
  <c r="CT137" i="50"/>
  <c r="CT134" i="50"/>
  <c r="CT127" i="50"/>
  <c r="CT122" i="50" s="1"/>
  <c r="CT100" i="50" s="1"/>
  <c r="CT99" i="50" s="1"/>
  <c r="CT141" i="50" s="1"/>
  <c r="CT144" i="50" s="1"/>
  <c r="CX134" i="50"/>
  <c r="BF137" i="50"/>
  <c r="BF134" i="50"/>
  <c r="BF127" i="50"/>
  <c r="BF122" i="50" s="1"/>
  <c r="BF100" i="50" s="1"/>
  <c r="BF99" i="50" s="1"/>
  <c r="BF141" i="50" s="1"/>
  <c r="BF144" i="50" s="1"/>
  <c r="BS137" i="50"/>
  <c r="BS127" i="50"/>
  <c r="BS134" i="50"/>
  <c r="BQ4" i="50"/>
  <c r="BR4" i="50"/>
  <c r="BC122" i="50"/>
  <c r="BU137" i="50"/>
  <c r="BU134" i="50"/>
  <c r="BU127" i="50"/>
  <c r="BU122" i="50" s="1"/>
  <c r="BU100" i="50" s="1"/>
  <c r="BU99" i="50" s="1"/>
  <c r="BU141" i="50" s="1"/>
  <c r="BU144" i="50" s="1"/>
  <c r="BM137" i="50"/>
  <c r="BM134" i="50"/>
  <c r="BM127" i="50"/>
  <c r="BM122" i="50" s="1"/>
  <c r="BM100" i="50" s="1"/>
  <c r="BM99" i="50" s="1"/>
  <c r="BM141" i="50" s="1"/>
  <c r="BM144" i="50" s="1"/>
  <c r="CL137" i="50"/>
  <c r="CL134" i="50"/>
  <c r="CL127" i="50"/>
  <c r="CL122" i="50" s="1"/>
  <c r="CL100" i="50" s="1"/>
  <c r="CL99" i="50" s="1"/>
  <c r="CL141" i="50" s="1"/>
  <c r="CL144" i="50" s="1"/>
  <c r="BA141" i="50"/>
  <c r="BA2" i="50"/>
  <c r="BY141" i="50"/>
  <c r="BY2" i="50"/>
  <c r="DC137" i="50"/>
  <c r="DC134" i="50"/>
  <c r="DC127" i="50"/>
  <c r="DC122" i="50" s="1"/>
  <c r="DC100" i="50" s="1"/>
  <c r="DC99" i="50" s="1"/>
  <c r="DC141" i="50" s="1"/>
  <c r="DC144" i="50" s="1"/>
  <c r="CK137" i="50"/>
  <c r="CK134" i="50"/>
  <c r="CK127" i="50"/>
  <c r="CK122" i="50" s="1"/>
  <c r="CK100" i="50" s="1"/>
  <c r="CK99" i="50" s="1"/>
  <c r="CK141" i="50" s="1"/>
  <c r="CK144" i="50" s="1"/>
  <c r="BE137" i="50"/>
  <c r="BE134" i="50"/>
  <c r="BE127" i="50"/>
  <c r="BE122" i="50" s="1"/>
  <c r="BE100" i="50" s="1"/>
  <c r="BE99" i="50" s="1"/>
  <c r="BE141" i="50" s="1"/>
  <c r="BE144" i="50" s="1"/>
  <c r="CB137" i="50"/>
  <c r="BZ137" i="50" s="1"/>
  <c r="CB134" i="50"/>
  <c r="CB127" i="50"/>
  <c r="CB122" i="50" s="1"/>
  <c r="CB100" i="50" s="1"/>
  <c r="CB99" i="50" s="1"/>
  <c r="CB141" i="50" s="1"/>
  <c r="CB144" i="50" s="1"/>
  <c r="DA137" i="50"/>
  <c r="DA134" i="50"/>
  <c r="DA127" i="50"/>
  <c r="DA122" i="50" s="1"/>
  <c r="DA100" i="50" s="1"/>
  <c r="DA99" i="50" s="1"/>
  <c r="DA141" i="50" s="1"/>
  <c r="DA144" i="50" s="1"/>
  <c r="AC141" i="50"/>
  <c r="AC2" i="50"/>
  <c r="BZ127" i="50"/>
  <c r="CA122" i="50"/>
  <c r="AT13" i="50"/>
  <c r="BJ4" i="50"/>
  <c r="BT137" i="50"/>
  <c r="BT134" i="50"/>
  <c r="BT127" i="50"/>
  <c r="BT122" i="50" s="1"/>
  <c r="BT100" i="50" s="1"/>
  <c r="BT99" i="50" s="1"/>
  <c r="BT141" i="50" s="1"/>
  <c r="BT144" i="50" s="1"/>
  <c r="AT74" i="50"/>
  <c r="AS74" i="50"/>
  <c r="BN137" i="50"/>
  <c r="BN134" i="50"/>
  <c r="BN127" i="50"/>
  <c r="BN122" i="50" s="1"/>
  <c r="BN100" i="50" s="1"/>
  <c r="BN99" i="50" s="1"/>
  <c r="BN141" i="50" s="1"/>
  <c r="BN144" i="50" s="1"/>
  <c r="BI141" i="50"/>
  <c r="BI2" i="50"/>
  <c r="CS137" i="50"/>
  <c r="CS134" i="50"/>
  <c r="CS127" i="50"/>
  <c r="CS122" i="50" s="1"/>
  <c r="CS100" i="50" s="1"/>
  <c r="CS99" i="50" s="1"/>
  <c r="CS141" i="50" s="1"/>
  <c r="CS144" i="50" s="1"/>
  <c r="CO141" i="50"/>
  <c r="CO2" i="50"/>
  <c r="CH4" i="50"/>
  <c r="CX4" i="50"/>
  <c r="CX137" i="50"/>
  <c r="CG141" i="50"/>
  <c r="CG2" i="50"/>
  <c r="AS44" i="50"/>
  <c r="AT44" i="50"/>
  <c r="AU39" i="50"/>
  <c r="AU11" i="50" s="1"/>
  <c r="CH137" i="50"/>
  <c r="CM137" i="50"/>
  <c r="CM127" i="50"/>
  <c r="CM122" i="50" s="1"/>
  <c r="CM100" i="50" s="1"/>
  <c r="CM99" i="50" s="1"/>
  <c r="CM141" i="50" s="1"/>
  <c r="CM144" i="50" s="1"/>
  <c r="CM134" i="50"/>
  <c r="BD137" i="50"/>
  <c r="BB137" i="50" s="1"/>
  <c r="BD134" i="50"/>
  <c r="BB134" i="50" s="1"/>
  <c r="BD127" i="50"/>
  <c r="BD122" i="50" s="1"/>
  <c r="BD100" i="50" s="1"/>
  <c r="BD99" i="50" s="1"/>
  <c r="BD141" i="50" s="1"/>
  <c r="BD144" i="50" s="1"/>
  <c r="CD137" i="50"/>
  <c r="CD134" i="50"/>
  <c r="CD127" i="50"/>
  <c r="CD122" i="50" s="1"/>
  <c r="CD100" i="50" s="1"/>
  <c r="CD99" i="50" s="1"/>
  <c r="CD141" i="50" s="1"/>
  <c r="CD144" i="50" s="1"/>
  <c r="DB137" i="50"/>
  <c r="DB134" i="50"/>
  <c r="DB127" i="50"/>
  <c r="DB122" i="50" s="1"/>
  <c r="DB100" i="50" s="1"/>
  <c r="DB99" i="50" s="1"/>
  <c r="DB141" i="50" s="1"/>
  <c r="DB144" i="50" s="1"/>
  <c r="BZ134" i="50"/>
  <c r="AT114" i="50"/>
  <c r="AS114" i="50"/>
  <c r="AS100" i="50" s="1"/>
  <c r="AU100" i="50"/>
  <c r="BJ127" i="50"/>
  <c r="BK122" i="50"/>
  <c r="AM99" i="50"/>
  <c r="AL99" i="50" s="1"/>
  <c r="AL100" i="50"/>
  <c r="BB4" i="50"/>
  <c r="BW134" i="50"/>
  <c r="BW137" i="50"/>
  <c r="BW127" i="50"/>
  <c r="BW122" i="50" s="1"/>
  <c r="BW100" i="50" s="1"/>
  <c r="BW99" i="50" s="1"/>
  <c r="BW141" i="50" s="1"/>
  <c r="BW144" i="50" s="1"/>
  <c r="AL39" i="50"/>
  <c r="AK39" i="50"/>
  <c r="AK11" i="50" s="1"/>
  <c r="BO137" i="50"/>
  <c r="BO134" i="50"/>
  <c r="BO127" i="50"/>
  <c r="BO122" i="50" s="1"/>
  <c r="BO100" i="50" s="1"/>
  <c r="BO99" i="50" s="1"/>
  <c r="BO141" i="50" s="1"/>
  <c r="BO144" i="50" s="1"/>
  <c r="CU137" i="50"/>
  <c r="CU134" i="50"/>
  <c r="CU127" i="50"/>
  <c r="CU122" i="50" s="1"/>
  <c r="CU100" i="50" s="1"/>
  <c r="CU99" i="50" s="1"/>
  <c r="CU141" i="50" s="1"/>
  <c r="CU144" i="50" s="1"/>
  <c r="CH127" i="50"/>
  <c r="CI122" i="50"/>
  <c r="AE141" i="50"/>
  <c r="AD141" i="50" s="1"/>
  <c r="M95" i="49"/>
  <c r="N94" i="49"/>
  <c r="M94" i="49" s="1"/>
  <c r="AT11" i="50" l="1"/>
  <c r="AK141" i="50"/>
  <c r="AK2" i="50"/>
  <c r="BR137" i="50"/>
  <c r="CH122" i="50"/>
  <c r="CI100" i="50"/>
  <c r="AU99" i="50"/>
  <c r="AT99" i="50" s="1"/>
  <c r="AT100" i="50"/>
  <c r="BJ122" i="50"/>
  <c r="BK100" i="50"/>
  <c r="BB127" i="50"/>
  <c r="BR127" i="50"/>
  <c r="BS122" i="50"/>
  <c r="CP127" i="50"/>
  <c r="CQ122" i="50"/>
  <c r="AS99" i="50"/>
  <c r="AU2" i="50"/>
  <c r="AS39" i="50"/>
  <c r="AS11" i="50" s="1"/>
  <c r="AT39" i="50"/>
  <c r="BZ122" i="50"/>
  <c r="CA100" i="50"/>
  <c r="BB122" i="50"/>
  <c r="BC100" i="50"/>
  <c r="BR134" i="50"/>
  <c r="CX122" i="50"/>
  <c r="CY100" i="50"/>
  <c r="AM141" i="50"/>
  <c r="AL141" i="50" s="1"/>
  <c r="CA99" i="50" l="1"/>
  <c r="BZ100" i="50"/>
  <c r="BR122" i="50"/>
  <c r="BS100" i="50"/>
  <c r="AS141" i="50"/>
  <c r="AS2" i="50"/>
  <c r="BJ100" i="50"/>
  <c r="BK99" i="50"/>
  <c r="BB100" i="50"/>
  <c r="BC99" i="50"/>
  <c r="CP122" i="50"/>
  <c r="CQ100" i="50"/>
  <c r="CY99" i="50"/>
  <c r="CX100" i="50"/>
  <c r="CH100" i="50"/>
  <c r="CI99" i="50"/>
  <c r="AU141" i="50"/>
  <c r="AT141" i="50" s="1"/>
  <c r="BS99" i="50" l="1"/>
  <c r="BR100" i="50"/>
  <c r="CP100" i="50"/>
  <c r="CQ99" i="50"/>
  <c r="BB99" i="50"/>
  <c r="BC141" i="50"/>
  <c r="CH99" i="50"/>
  <c r="CI141" i="50"/>
  <c r="BJ99" i="50"/>
  <c r="BK141" i="50"/>
  <c r="CX99" i="50"/>
  <c r="CY141" i="50"/>
  <c r="BZ99" i="50"/>
  <c r="CA141" i="50"/>
  <c r="CI144" i="50" l="1"/>
  <c r="CH141" i="50"/>
  <c r="CP99" i="50"/>
  <c r="CQ141" i="50"/>
  <c r="CA144" i="50"/>
  <c r="BZ141" i="50"/>
  <c r="BC144" i="50"/>
  <c r="BB141" i="50"/>
  <c r="CX141" i="50"/>
  <c r="CY144" i="50"/>
  <c r="BK144" i="50"/>
  <c r="BJ141" i="50"/>
  <c r="BR99" i="50"/>
  <c r="BS141" i="50"/>
  <c r="CQ144" i="50" l="1"/>
  <c r="CP141" i="50"/>
  <c r="BI144" i="50"/>
  <c r="BK143" i="50"/>
  <c r="BJ144" i="50"/>
  <c r="BB144" i="50"/>
  <c r="BA144" i="50"/>
  <c r="CX144" i="50"/>
  <c r="CW144" i="50"/>
  <c r="BR141" i="50"/>
  <c r="BS144" i="50"/>
  <c r="BZ144" i="50"/>
  <c r="BY144" i="50"/>
  <c r="CA143" i="50" s="1"/>
  <c r="CH144" i="50"/>
  <c r="CG144" i="50"/>
  <c r="CI143" i="50"/>
  <c r="BY143" i="50" l="1"/>
  <c r="CA142" i="50"/>
  <c r="CZ143" i="50"/>
  <c r="CZ142" i="50" s="1"/>
  <c r="DA143" i="50"/>
  <c r="DA142" i="50" s="1"/>
  <c r="DC143" i="50"/>
  <c r="DC142" i="50" s="1"/>
  <c r="DB143" i="50"/>
  <c r="DB142" i="50" s="1"/>
  <c r="BJ143" i="50"/>
  <c r="BI143" i="50"/>
  <c r="CM143" i="50"/>
  <c r="CM142" i="50" s="1"/>
  <c r="CL143" i="50"/>
  <c r="CL142" i="50" s="1"/>
  <c r="CJ143" i="50"/>
  <c r="CJ142" i="50" s="1"/>
  <c r="CK143" i="50"/>
  <c r="CK142" i="50" s="1"/>
  <c r="BO143" i="50"/>
  <c r="BO142" i="50" s="1"/>
  <c r="BN143" i="50"/>
  <c r="BN142" i="50" s="1"/>
  <c r="BM143" i="50"/>
  <c r="BM142" i="50" s="1"/>
  <c r="BL143" i="50"/>
  <c r="BL142" i="50" s="1"/>
  <c r="BR144" i="50"/>
  <c r="BQ144" i="50"/>
  <c r="BS143" i="50"/>
  <c r="BE143" i="50"/>
  <c r="BE142" i="50" s="1"/>
  <c r="BG143" i="50"/>
  <c r="BG142" i="50" s="1"/>
  <c r="BD143" i="50"/>
  <c r="BD142" i="50" s="1"/>
  <c r="BF143" i="50"/>
  <c r="BF142" i="50" s="1"/>
  <c r="CG143" i="50"/>
  <c r="CC143" i="50"/>
  <c r="CC142" i="50" s="1"/>
  <c r="CE143" i="50"/>
  <c r="CE142" i="50" s="1"/>
  <c r="CD143" i="50"/>
  <c r="CD142" i="50" s="1"/>
  <c r="CB143" i="50"/>
  <c r="CB142" i="50" s="1"/>
  <c r="CI142" i="50"/>
  <c r="CY143" i="50"/>
  <c r="BC143" i="50"/>
  <c r="BK142" i="50"/>
  <c r="CO144" i="50"/>
  <c r="CP144" i="50"/>
  <c r="CR143" i="50" l="1"/>
  <c r="CR142" i="50" s="1"/>
  <c r="CS143" i="50"/>
  <c r="CS142" i="50" s="1"/>
  <c r="CU143" i="50"/>
  <c r="CU142" i="50" s="1"/>
  <c r="CT143" i="50"/>
  <c r="CT142" i="50" s="1"/>
  <c r="BJ142" i="50"/>
  <c r="BI142" i="50"/>
  <c r="BV143" i="50"/>
  <c r="BV142" i="50" s="1"/>
  <c r="BU143" i="50"/>
  <c r="BU142" i="50" s="1"/>
  <c r="BW143" i="50"/>
  <c r="BW142" i="50" s="1"/>
  <c r="BT143" i="50"/>
  <c r="BT142" i="50" s="1"/>
  <c r="BZ142" i="50"/>
  <c r="BY142" i="50"/>
  <c r="CH142" i="50"/>
  <c r="CG142" i="50"/>
  <c r="CH143" i="50"/>
  <c r="BZ143" i="50"/>
  <c r="BQ143" i="50"/>
  <c r="BB143" i="50"/>
  <c r="BA143" i="50"/>
  <c r="BC142" i="50"/>
  <c r="CQ143" i="50"/>
  <c r="CX143" i="50"/>
  <c r="CW143" i="50"/>
  <c r="CY142" i="50"/>
  <c r="BS142" i="50"/>
  <c r="BQ142" i="50" l="1"/>
  <c r="BR142" i="50"/>
  <c r="CP143" i="50"/>
  <c r="CO143" i="50"/>
  <c r="CQ142" i="50"/>
  <c r="CW142" i="50"/>
  <c r="CX142" i="50"/>
  <c r="BB142" i="50"/>
  <c r="BA142" i="50"/>
  <c r="BR143" i="50"/>
  <c r="CP142" i="50" l="1"/>
  <c r="CO142" i="50"/>
  <c r="AE131" i="40" l="1"/>
  <c r="AC131" i="40"/>
  <c r="AI131" i="40"/>
  <c r="W131" i="40"/>
  <c r="AY107" i="40" l="1"/>
  <c r="AX107" i="40"/>
  <c r="AW107" i="40"/>
  <c r="AV107" i="40"/>
  <c r="AU107" i="40"/>
  <c r="AL41" i="40"/>
  <c r="AK41" i="40"/>
  <c r="AJ41" i="40"/>
  <c r="AI41" i="40"/>
  <c r="AL8" i="40"/>
  <c r="AK8" i="40"/>
  <c r="AJ8" i="40"/>
  <c r="AI8" i="40"/>
  <c r="G88" i="40"/>
  <c r="G89" i="40"/>
  <c r="G90" i="40"/>
  <c r="G91" i="40"/>
  <c r="G93" i="40"/>
  <c r="G94" i="40"/>
  <c r="G95" i="40"/>
  <c r="G96" i="40"/>
  <c r="G97" i="40"/>
  <c r="AH108" i="40" l="1"/>
  <c r="AL65" i="40"/>
  <c r="AK65" i="40"/>
  <c r="AJ65" i="40"/>
  <c r="AI65" i="40"/>
  <c r="AX70" i="40"/>
  <c r="AW70" i="40"/>
  <c r="AV70" i="40"/>
  <c r="AU70" i="40"/>
  <c r="AR70" i="40"/>
  <c r="AQ70" i="40"/>
  <c r="AP70" i="40"/>
  <c r="AO70" i="40"/>
  <c r="AL70" i="40"/>
  <c r="AK70" i="40"/>
  <c r="AJ70" i="40"/>
  <c r="AI70" i="40"/>
  <c r="AF70" i="40"/>
  <c r="AE70" i="40"/>
  <c r="AD70" i="40"/>
  <c r="AB70" i="40" s="1"/>
  <c r="AC70" i="40"/>
  <c r="AN131" i="40" l="1"/>
  <c r="AH131" i="40"/>
  <c r="AB131" i="40"/>
  <c r="V131" i="40"/>
  <c r="V150" i="40" l="1"/>
  <c r="Y150" i="40" s="1"/>
  <c r="BE150" i="40"/>
  <c r="BC150" i="40"/>
  <c r="BB150" i="40"/>
  <c r="BE149" i="40"/>
  <c r="BC149" i="40"/>
  <c r="BB149" i="40"/>
  <c r="AW149" i="40"/>
  <c r="AT149" i="40"/>
  <c r="AN149" i="40"/>
  <c r="AQ149" i="40" s="1"/>
  <c r="AK149" i="40"/>
  <c r="AH149" i="40"/>
  <c r="AB149" i="40"/>
  <c r="AE149" i="40" s="1"/>
  <c r="Y149" i="40"/>
  <c r="V149" i="40"/>
  <c r="BE148" i="40"/>
  <c r="BC148" i="40"/>
  <c r="BB148" i="40"/>
  <c r="AW148" i="40"/>
  <c r="AT148" i="40"/>
  <c r="AN148" i="40"/>
  <c r="AQ148" i="40" s="1"/>
  <c r="AK148" i="40"/>
  <c r="AH148" i="40"/>
  <c r="AB148" i="40"/>
  <c r="AE148" i="40" s="1"/>
  <c r="Y148" i="40"/>
  <c r="V148" i="40"/>
  <c r="AX157" i="40"/>
  <c r="AW157" i="40"/>
  <c r="AW159" i="40" s="1"/>
  <c r="AR157" i="40"/>
  <c r="AQ157" i="40"/>
  <c r="AQ159" i="40" s="1"/>
  <c r="AL157" i="40"/>
  <c r="AK157" i="40"/>
  <c r="AK159" i="40" s="1"/>
  <c r="AF157" i="40"/>
  <c r="AE157" i="40"/>
  <c r="AE159" i="40" s="1"/>
  <c r="Z157" i="40"/>
  <c r="Y157" i="40"/>
  <c r="Y159" i="40" s="1"/>
  <c r="BD133" i="40"/>
  <c r="BD149" i="40" l="1"/>
  <c r="BA149" i="40" s="1"/>
  <c r="BD148" i="40"/>
  <c r="BA148" i="40" s="1"/>
  <c r="AT129" i="40"/>
  <c r="AN129" i="40"/>
  <c r="AH129" i="40"/>
  <c r="AB128" i="40"/>
  <c r="AB129" i="40"/>
  <c r="V129" i="40"/>
  <c r="V130" i="40"/>
  <c r="V128" i="40" l="1"/>
  <c r="AH103" i="40" l="1"/>
  <c r="AB103" i="40"/>
  <c r="AT128" i="40" l="1"/>
  <c r="V125" i="40"/>
  <c r="AT131" i="40" l="1"/>
  <c r="C51" i="47" l="1"/>
  <c r="D51" i="47"/>
  <c r="E51" i="47"/>
  <c r="E52" i="47"/>
  <c r="C37" i="47"/>
  <c r="C38" i="47"/>
  <c r="C39" i="47"/>
  <c r="C40" i="47"/>
  <c r="C41" i="47"/>
  <c r="C42" i="47"/>
  <c r="C43" i="47"/>
  <c r="C44" i="47"/>
  <c r="C45" i="47"/>
  <c r="C46" i="47"/>
  <c r="C48" i="47"/>
  <c r="C49" i="47"/>
  <c r="C50" i="47"/>
  <c r="C36" i="47"/>
  <c r="D38" i="47"/>
  <c r="D39" i="47"/>
  <c r="D40" i="47"/>
  <c r="D44" i="47"/>
  <c r="E44" i="47"/>
  <c r="D45" i="47"/>
  <c r="G45" i="47" s="1"/>
  <c r="E45" i="47"/>
  <c r="D46" i="47"/>
  <c r="E46" i="47"/>
  <c r="F46" i="47" s="1"/>
  <c r="D47" i="47"/>
  <c r="D48" i="47"/>
  <c r="E48" i="47"/>
  <c r="F48" i="47" s="1"/>
  <c r="D49" i="47"/>
  <c r="E49" i="47"/>
  <c r="D50" i="47"/>
  <c r="E50" i="47"/>
  <c r="F50" i="47" s="1"/>
  <c r="C37" i="46"/>
  <c r="C38" i="46"/>
  <c r="C39" i="46"/>
  <c r="C40" i="46"/>
  <c r="C41" i="46"/>
  <c r="C42" i="46"/>
  <c r="C43" i="46"/>
  <c r="C44" i="46"/>
  <c r="C45" i="46"/>
  <c r="C47" i="46"/>
  <c r="C48" i="46"/>
  <c r="C49" i="46"/>
  <c r="C50" i="46"/>
  <c r="C36" i="46"/>
  <c r="D38" i="46"/>
  <c r="D39" i="46"/>
  <c r="D40" i="46"/>
  <c r="D44" i="46"/>
  <c r="E44" i="46"/>
  <c r="D45" i="46"/>
  <c r="E45" i="46"/>
  <c r="D46" i="46"/>
  <c r="D47" i="46"/>
  <c r="E47" i="46"/>
  <c r="D48" i="46"/>
  <c r="E48" i="46"/>
  <c r="F48" i="46" s="1"/>
  <c r="D49" i="46"/>
  <c r="E49" i="46"/>
  <c r="D50" i="46"/>
  <c r="E50" i="46"/>
  <c r="F50" i="46" s="1"/>
  <c r="D51" i="46"/>
  <c r="E51" i="46"/>
  <c r="C47" i="45"/>
  <c r="D47" i="45"/>
  <c r="E47" i="45"/>
  <c r="C48" i="45"/>
  <c r="D48" i="45"/>
  <c r="E48" i="45"/>
  <c r="C49" i="45"/>
  <c r="D49" i="45"/>
  <c r="E49" i="45"/>
  <c r="C37" i="45"/>
  <c r="C38" i="45"/>
  <c r="C39" i="45"/>
  <c r="C40" i="45"/>
  <c r="C41" i="45"/>
  <c r="C42" i="45"/>
  <c r="C43" i="45"/>
  <c r="C44" i="45"/>
  <c r="C46" i="45"/>
  <c r="C36" i="45"/>
  <c r="D37" i="45"/>
  <c r="D38" i="45"/>
  <c r="D39" i="45"/>
  <c r="D40" i="45"/>
  <c r="D41" i="45"/>
  <c r="D44" i="45"/>
  <c r="E44" i="45"/>
  <c r="D45" i="45"/>
  <c r="D46" i="45"/>
  <c r="E46" i="45"/>
  <c r="C44" i="44"/>
  <c r="D44" i="44"/>
  <c r="C45" i="44"/>
  <c r="D45" i="44"/>
  <c r="E45" i="44"/>
  <c r="G45" i="44" s="1"/>
  <c r="C46" i="44"/>
  <c r="D46" i="44"/>
  <c r="E46" i="44"/>
  <c r="C47" i="44"/>
  <c r="D47" i="44"/>
  <c r="E47" i="44"/>
  <c r="C48" i="44"/>
  <c r="D48" i="44"/>
  <c r="G48" i="44" s="1"/>
  <c r="E48" i="44"/>
  <c r="C49" i="44"/>
  <c r="C37" i="44"/>
  <c r="C38" i="44"/>
  <c r="C39" i="44"/>
  <c r="C40" i="44"/>
  <c r="C41" i="44"/>
  <c r="C42" i="44"/>
  <c r="C43" i="44"/>
  <c r="C36" i="44"/>
  <c r="D37" i="44"/>
  <c r="D38" i="44"/>
  <c r="D39" i="44"/>
  <c r="D40" i="44"/>
  <c r="BE128" i="40"/>
  <c r="E38" i="47" s="1"/>
  <c r="BC128" i="40"/>
  <c r="E38" i="45" s="1"/>
  <c r="BB128" i="40"/>
  <c r="E38" i="44" s="1"/>
  <c r="BE129" i="40"/>
  <c r="E39" i="47" s="1"/>
  <c r="BC129" i="40"/>
  <c r="E39" i="45" s="1"/>
  <c r="BB129" i="40"/>
  <c r="E39" i="44" s="1"/>
  <c r="BE130" i="40"/>
  <c r="E40" i="47" s="1"/>
  <c r="BC130" i="40"/>
  <c r="E40" i="45" s="1"/>
  <c r="BB130" i="40"/>
  <c r="E40" i="44" s="1"/>
  <c r="AW129" i="40"/>
  <c r="AW128" i="40"/>
  <c r="AN128" i="40"/>
  <c r="AQ128" i="40" s="1"/>
  <c r="AQ129" i="40"/>
  <c r="AK129" i="40"/>
  <c r="AH128" i="40"/>
  <c r="AK128" i="40" s="1"/>
  <c r="AE128" i="40"/>
  <c r="AB133" i="40"/>
  <c r="AE129" i="40"/>
  <c r="Y129" i="40"/>
  <c r="Y128" i="40"/>
  <c r="W180" i="40"/>
  <c r="W179" i="40"/>
  <c r="W178" i="40"/>
  <c r="W177" i="40"/>
  <c r="F51" i="47" l="1"/>
  <c r="F46" i="44"/>
  <c r="F44" i="47"/>
  <c r="AF131" i="40"/>
  <c r="AD131" i="40"/>
  <c r="F40" i="45"/>
  <c r="F40" i="44"/>
  <c r="F39" i="45"/>
  <c r="G49" i="47"/>
  <c r="F38" i="44"/>
  <c r="F44" i="46"/>
  <c r="F49" i="45"/>
  <c r="F45" i="47"/>
  <c r="F47" i="45"/>
  <c r="G51" i="47"/>
  <c r="F47" i="44"/>
  <c r="G49" i="45"/>
  <c r="G50" i="47"/>
  <c r="G48" i="47"/>
  <c r="G46" i="47"/>
  <c r="G44" i="47"/>
  <c r="G47" i="45"/>
  <c r="F49" i="47"/>
  <c r="F38" i="45"/>
  <c r="F39" i="44"/>
  <c r="F45" i="44"/>
  <c r="F46" i="45"/>
  <c r="F44" i="45"/>
  <c r="F48" i="45"/>
  <c r="F51" i="46"/>
  <c r="F49" i="46"/>
  <c r="F47" i="46"/>
  <c r="F45" i="46"/>
  <c r="F40" i="47"/>
  <c r="F39" i="47"/>
  <c r="F38" i="47"/>
  <c r="BD128" i="40"/>
  <c r="E38" i="46" s="1"/>
  <c r="F38" i="46" s="1"/>
  <c r="BD129" i="40"/>
  <c r="BA129" i="40" s="1"/>
  <c r="G40" i="47"/>
  <c r="G39" i="47"/>
  <c r="G38" i="47"/>
  <c r="G51" i="46"/>
  <c r="G50" i="46"/>
  <c r="G49" i="46"/>
  <c r="G48" i="46"/>
  <c r="G47" i="46"/>
  <c r="G45" i="46"/>
  <c r="G44" i="46"/>
  <c r="G48" i="45"/>
  <c r="G46" i="45"/>
  <c r="G44" i="45"/>
  <c r="F48" i="44"/>
  <c r="G47" i="44"/>
  <c r="G46" i="44"/>
  <c r="BA128" i="40" l="1"/>
  <c r="G38" i="46"/>
  <c r="E39" i="46"/>
  <c r="F39" i="46" s="1"/>
  <c r="G39" i="46" l="1"/>
  <c r="BA168" i="40"/>
  <c r="AT173" i="40"/>
  <c r="AT172" i="40"/>
  <c r="AT170" i="40"/>
  <c r="AT169" i="40"/>
  <c r="AT167" i="40"/>
  <c r="AN173" i="40"/>
  <c r="AN172" i="40"/>
  <c r="AN170" i="40"/>
  <c r="BA170" i="40" s="1"/>
  <c r="AN167" i="40"/>
  <c r="AH174" i="40"/>
  <c r="AH169" i="40" s="1"/>
  <c r="AH167" i="40"/>
  <c r="AB173" i="40"/>
  <c r="BA173" i="40" s="1"/>
  <c r="AB172" i="40"/>
  <c r="BA172" i="40" s="1"/>
  <c r="AB171" i="40"/>
  <c r="BA171" i="40" s="1"/>
  <c r="AB169" i="40"/>
  <c r="AB167" i="40"/>
  <c r="AB150" i="40" s="1"/>
  <c r="AE150" i="40" s="1"/>
  <c r="AT150" i="40" l="1"/>
  <c r="AW150" i="40" s="1"/>
  <c r="AH150" i="40"/>
  <c r="AK150" i="40" s="1"/>
  <c r="AB130" i="40"/>
  <c r="AE130" i="40" s="1"/>
  <c r="AN169" i="40"/>
  <c r="AN150" i="40" s="1"/>
  <c r="AQ150" i="40" s="1"/>
  <c r="BA174" i="40"/>
  <c r="AT130" i="40"/>
  <c r="AW130" i="40" s="1"/>
  <c r="AN130" i="40"/>
  <c r="AQ130" i="40" s="1"/>
  <c r="AH130" i="40"/>
  <c r="AK130" i="40" s="1"/>
  <c r="BA167" i="40"/>
  <c r="BC133" i="40"/>
  <c r="E43" i="45" s="1"/>
  <c r="E43" i="46"/>
  <c r="BE133" i="40"/>
  <c r="E43" i="47" s="1"/>
  <c r="BB133" i="40"/>
  <c r="BA169" i="40" l="1"/>
  <c r="BD150" i="40"/>
  <c r="BA150" i="40" s="1"/>
  <c r="E43" i="44"/>
  <c r="Y130" i="40"/>
  <c r="BA133" i="40"/>
  <c r="BD130" i="40" l="1"/>
  <c r="BB44" i="40"/>
  <c r="BC44" i="40"/>
  <c r="BD44" i="40"/>
  <c r="BE44" i="40"/>
  <c r="BA130" i="40" l="1"/>
  <c r="E40" i="46"/>
  <c r="D35" i="47"/>
  <c r="D32" i="47"/>
  <c r="D30" i="47"/>
  <c r="D28" i="47"/>
  <c r="D27" i="47"/>
  <c r="D22" i="47"/>
  <c r="D19" i="47"/>
  <c r="D18" i="47"/>
  <c r="D17" i="47"/>
  <c r="D16" i="47"/>
  <c r="D14" i="47"/>
  <c r="D35" i="45"/>
  <c r="D32" i="45"/>
  <c r="D30" i="45"/>
  <c r="D28" i="45"/>
  <c r="D27" i="45"/>
  <c r="D22" i="45"/>
  <c r="D19" i="45"/>
  <c r="D18" i="45"/>
  <c r="D17" i="45"/>
  <c r="D16" i="45"/>
  <c r="D14" i="45"/>
  <c r="D13" i="45"/>
  <c r="D12" i="45"/>
  <c r="D35" i="44"/>
  <c r="D32" i="44"/>
  <c r="D30" i="44"/>
  <c r="D28" i="44"/>
  <c r="D27" i="44"/>
  <c r="D22" i="44"/>
  <c r="D19" i="44"/>
  <c r="D18" i="44"/>
  <c r="D17" i="44"/>
  <c r="D16" i="44"/>
  <c r="D14" i="44"/>
  <c r="D13" i="44"/>
  <c r="D12" i="44"/>
  <c r="D35" i="43"/>
  <c r="D32" i="43"/>
  <c r="D30" i="43"/>
  <c r="D28" i="43"/>
  <c r="D27" i="43"/>
  <c r="D25" i="43"/>
  <c r="D22" i="43"/>
  <c r="D21" i="43"/>
  <c r="D19" i="43"/>
  <c r="D18" i="43"/>
  <c r="D17" i="43"/>
  <c r="D16" i="43"/>
  <c r="D14" i="43"/>
  <c r="F40" i="46" l="1"/>
  <c r="G40" i="46"/>
  <c r="BD115" i="40"/>
  <c r="BB117" i="40"/>
  <c r="BB29" i="40" l="1"/>
  <c r="BN29" i="40" s="1"/>
  <c r="AC41" i="40" l="1"/>
  <c r="AD41" i="40"/>
  <c r="AE41" i="40"/>
  <c r="AF41" i="40"/>
  <c r="BB32" i="40" l="1"/>
  <c r="BN32" i="40" s="1"/>
  <c r="BD26" i="40" l="1"/>
  <c r="BE137" i="40" l="1"/>
  <c r="BD136" i="40"/>
  <c r="BC135" i="40"/>
  <c r="BB134" i="40"/>
  <c r="BN134" i="40" l="1"/>
  <c r="E44" i="44"/>
  <c r="BB139" i="40"/>
  <c r="BB157" i="40" s="1"/>
  <c r="BO135" i="40"/>
  <c r="E45" i="45"/>
  <c r="BP136" i="40"/>
  <c r="BD157" i="40"/>
  <c r="BD159" i="40" s="1"/>
  <c r="E46" i="46"/>
  <c r="BQ137" i="40"/>
  <c r="BE157" i="40"/>
  <c r="E47" i="47"/>
  <c r="BD38" i="40"/>
  <c r="F46" i="46" l="1"/>
  <c r="G46" i="46"/>
  <c r="G47" i="47"/>
  <c r="F47" i="47"/>
  <c r="F44" i="44"/>
  <c r="F45" i="45"/>
  <c r="BB30" i="40"/>
  <c r="BC30" i="40"/>
  <c r="BD30" i="40"/>
  <c r="BE30" i="40"/>
  <c r="BE29" i="40"/>
  <c r="BQ29" i="40" s="1"/>
  <c r="BD29" i="40"/>
  <c r="BC29" i="40"/>
  <c r="BO29" i="40" s="1"/>
  <c r="BC21" i="40"/>
  <c r="BO21" i="40" s="1"/>
  <c r="BD19" i="40"/>
  <c r="BE125" i="40"/>
  <c r="BQ125" i="40" s="1"/>
  <c r="BD125" i="40"/>
  <c r="BC125" i="40"/>
  <c r="BO125" i="40" s="1"/>
  <c r="BB125" i="40"/>
  <c r="BN125" i="40" s="1"/>
  <c r="BE98" i="40"/>
  <c r="BD98" i="40"/>
  <c r="BC98" i="40"/>
  <c r="BB98" i="40"/>
  <c r="BE97" i="40"/>
  <c r="BQ97" i="40" s="1"/>
  <c r="BD97" i="40"/>
  <c r="BC97" i="40"/>
  <c r="BO97" i="40" s="1"/>
  <c r="BB97" i="40"/>
  <c r="BN97" i="40" s="1"/>
  <c r="BE91" i="40"/>
  <c r="BQ91" i="40" s="1"/>
  <c r="BD91" i="40"/>
  <c r="BC91" i="40"/>
  <c r="BO91" i="40" s="1"/>
  <c r="BB91" i="40"/>
  <c r="BN91" i="40" s="1"/>
  <c r="BE90" i="40"/>
  <c r="BQ90" i="40" s="1"/>
  <c r="BD90" i="40"/>
  <c r="BC90" i="40"/>
  <c r="BO90" i="40" s="1"/>
  <c r="BB90" i="40"/>
  <c r="BN90" i="40" s="1"/>
  <c r="BE89" i="40"/>
  <c r="BQ89" i="40" s="1"/>
  <c r="BD89" i="40"/>
  <c r="BC89" i="40"/>
  <c r="BO89" i="40" s="1"/>
  <c r="BB89" i="40"/>
  <c r="BN89" i="40" s="1"/>
  <c r="BE88" i="40"/>
  <c r="BQ88" i="40" s="1"/>
  <c r="BD88" i="40"/>
  <c r="BC88" i="40"/>
  <c r="BO88" i="40" s="1"/>
  <c r="BB88" i="40"/>
  <c r="BN88" i="40" s="1"/>
  <c r="BE34" i="40"/>
  <c r="BQ34" i="40" s="1"/>
  <c r="BD34" i="40"/>
  <c r="BC34" i="40"/>
  <c r="BO34" i="40" s="1"/>
  <c r="BB34" i="40"/>
  <c r="BN34" i="40" s="1"/>
  <c r="BE33" i="40"/>
  <c r="BQ33" i="40" s="1"/>
  <c r="BD33" i="40"/>
  <c r="BC33" i="40"/>
  <c r="BO33" i="40" s="1"/>
  <c r="BB33" i="40"/>
  <c r="BN33" i="40" s="1"/>
  <c r="BE32" i="40"/>
  <c r="BQ32" i="40" s="1"/>
  <c r="BD32" i="40"/>
  <c r="BC32" i="40"/>
  <c r="BO32" i="40" s="1"/>
  <c r="BE28" i="40"/>
  <c r="BQ28" i="40" s="1"/>
  <c r="BD28" i="40"/>
  <c r="BC28" i="40"/>
  <c r="BO28" i="40" s="1"/>
  <c r="BB28" i="40"/>
  <c r="BN28" i="40" s="1"/>
  <c r="BE27" i="40"/>
  <c r="BQ27" i="40" s="1"/>
  <c r="BD27" i="40"/>
  <c r="BC27" i="40"/>
  <c r="BB27" i="40"/>
  <c r="BE26" i="40"/>
  <c r="BQ26" i="40" s="1"/>
  <c r="BC26" i="40"/>
  <c r="BO26" i="40" s="1"/>
  <c r="BB26" i="40"/>
  <c r="BN26" i="40" s="1"/>
  <c r="BE25" i="40"/>
  <c r="BQ25" i="40" s="1"/>
  <c r="BD25" i="40"/>
  <c r="BC25" i="40"/>
  <c r="BO25" i="40" s="1"/>
  <c r="BB25" i="40"/>
  <c r="BN25" i="40" s="1"/>
  <c r="BE23" i="40"/>
  <c r="BQ23" i="40" s="1"/>
  <c r="BD23" i="40"/>
  <c r="BC23" i="40"/>
  <c r="BO23" i="40" s="1"/>
  <c r="BB23" i="40"/>
  <c r="BN23" i="40" s="1"/>
  <c r="BE124" i="40"/>
  <c r="BD124" i="40"/>
  <c r="BC124" i="40"/>
  <c r="BB124" i="40"/>
  <c r="BE123" i="40"/>
  <c r="BD123" i="40"/>
  <c r="BC123" i="40"/>
  <c r="BB123" i="40"/>
  <c r="BE122" i="40"/>
  <c r="BQ122" i="40" s="1"/>
  <c r="BD122" i="40"/>
  <c r="BC122" i="40"/>
  <c r="BO122" i="40" s="1"/>
  <c r="BB122" i="40"/>
  <c r="BN122" i="40" s="1"/>
  <c r="BE121" i="40"/>
  <c r="BQ121" i="40" s="1"/>
  <c r="BD121" i="40"/>
  <c r="BC121" i="40"/>
  <c r="BO121" i="40" s="1"/>
  <c r="BB121" i="40"/>
  <c r="BN121" i="40" s="1"/>
  <c r="BE120" i="40"/>
  <c r="BQ120" i="40" s="1"/>
  <c r="BD120" i="40"/>
  <c r="BC120" i="40"/>
  <c r="BO120" i="40" s="1"/>
  <c r="BB120" i="40"/>
  <c r="BN120" i="40" s="1"/>
  <c r="BE119" i="40"/>
  <c r="BQ119" i="40" s="1"/>
  <c r="BD119" i="40"/>
  <c r="BC119" i="40"/>
  <c r="BO119" i="40" s="1"/>
  <c r="BB119" i="40"/>
  <c r="BN119" i="40" s="1"/>
  <c r="BE118" i="40"/>
  <c r="BQ118" i="40" s="1"/>
  <c r="BD118" i="40"/>
  <c r="BC118" i="40"/>
  <c r="BO118" i="40" s="1"/>
  <c r="BB118" i="40"/>
  <c r="BN118" i="40" s="1"/>
  <c r="BE117" i="40"/>
  <c r="BQ117" i="40" s="1"/>
  <c r="BD117" i="40"/>
  <c r="BC117" i="40"/>
  <c r="BO117" i="40" s="1"/>
  <c r="BN117" i="40"/>
  <c r="BE116" i="40"/>
  <c r="BQ116" i="40" s="1"/>
  <c r="BD116" i="40"/>
  <c r="BC116" i="40"/>
  <c r="BO116" i="40" s="1"/>
  <c r="BB116" i="40"/>
  <c r="BN116" i="40" s="1"/>
  <c r="BE115" i="40"/>
  <c r="BQ115" i="40" s="1"/>
  <c r="BC115" i="40"/>
  <c r="BO115" i="40" s="1"/>
  <c r="BB115" i="40"/>
  <c r="BN115" i="40" s="1"/>
  <c r="BE114" i="40"/>
  <c r="BQ114" i="40" s="1"/>
  <c r="BD114" i="40"/>
  <c r="BC114" i="40"/>
  <c r="BO114" i="40" s="1"/>
  <c r="BB114" i="40"/>
  <c r="BN114" i="40" s="1"/>
  <c r="BE113" i="40"/>
  <c r="BQ113" i="40" s="1"/>
  <c r="BD113" i="40"/>
  <c r="BC113" i="40"/>
  <c r="BO113" i="40" s="1"/>
  <c r="BB113" i="40"/>
  <c r="BN113" i="40" s="1"/>
  <c r="BE112" i="40"/>
  <c r="BQ112" i="40" s="1"/>
  <c r="BD112" i="40"/>
  <c r="BC112" i="40"/>
  <c r="BO112" i="40" s="1"/>
  <c r="BB112" i="40"/>
  <c r="BN112" i="40" s="1"/>
  <c r="BE111" i="40"/>
  <c r="BQ111" i="40" s="1"/>
  <c r="BD111" i="40"/>
  <c r="BC111" i="40"/>
  <c r="BO111" i="40" s="1"/>
  <c r="BB111" i="40"/>
  <c r="BN111" i="40" s="1"/>
  <c r="BE110" i="40"/>
  <c r="BQ110" i="40" s="1"/>
  <c r="BD110" i="40"/>
  <c r="BC110" i="40"/>
  <c r="BO110" i="40" s="1"/>
  <c r="BB110" i="40"/>
  <c r="BN110" i="40" s="1"/>
  <c r="BE109" i="40"/>
  <c r="BQ109" i="40" s="1"/>
  <c r="BD109" i="40"/>
  <c r="BC109" i="40"/>
  <c r="BO109" i="40" s="1"/>
  <c r="BB109" i="40"/>
  <c r="BN109" i="40" s="1"/>
  <c r="BE108" i="40"/>
  <c r="BQ108" i="40" s="1"/>
  <c r="BD108" i="40"/>
  <c r="BC108" i="40"/>
  <c r="BO108" i="40" s="1"/>
  <c r="BB108" i="40"/>
  <c r="BN108" i="40" s="1"/>
  <c r="BE106" i="40"/>
  <c r="BQ106" i="40" s="1"/>
  <c r="BD106" i="40"/>
  <c r="BC106" i="40"/>
  <c r="BO106" i="40" s="1"/>
  <c r="BB106" i="40"/>
  <c r="BN106" i="40" s="1"/>
  <c r="BE105" i="40"/>
  <c r="BQ105" i="40" s="1"/>
  <c r="BD105" i="40"/>
  <c r="BC105" i="40"/>
  <c r="BO105" i="40" s="1"/>
  <c r="BB105" i="40"/>
  <c r="BN105" i="40" s="1"/>
  <c r="BE101" i="40"/>
  <c r="BQ101" i="40" s="1"/>
  <c r="BD101" i="40"/>
  <c r="BC101" i="40"/>
  <c r="BO101" i="40" s="1"/>
  <c r="BB101" i="40"/>
  <c r="BN101" i="40" s="1"/>
  <c r="BE100" i="40"/>
  <c r="BQ100" i="40" s="1"/>
  <c r="BD100" i="40"/>
  <c r="BC100" i="40"/>
  <c r="BO100" i="40" s="1"/>
  <c r="BB100" i="40"/>
  <c r="BN100" i="40" s="1"/>
  <c r="BE96" i="40"/>
  <c r="BQ96" i="40" s="1"/>
  <c r="BD96" i="40"/>
  <c r="BC96" i="40"/>
  <c r="BO96" i="40" s="1"/>
  <c r="BB96" i="40"/>
  <c r="BN96" i="40" s="1"/>
  <c r="BE95" i="40"/>
  <c r="BD95" i="40"/>
  <c r="BC95" i="40"/>
  <c r="BB95" i="40"/>
  <c r="BE94" i="40"/>
  <c r="BQ94" i="40" s="1"/>
  <c r="BD94" i="40"/>
  <c r="BC94" i="40"/>
  <c r="BO94" i="40" s="1"/>
  <c r="BB94" i="40"/>
  <c r="BN94" i="40" s="1"/>
  <c r="BE93" i="40"/>
  <c r="BQ93" i="40" s="1"/>
  <c r="BD93" i="40"/>
  <c r="BC93" i="40"/>
  <c r="BO93" i="40" s="1"/>
  <c r="BB93" i="40"/>
  <c r="BN93" i="40" s="1"/>
  <c r="BE85" i="40"/>
  <c r="BQ85" i="40" s="1"/>
  <c r="BD85" i="40"/>
  <c r="BC85" i="40"/>
  <c r="BO85" i="40" s="1"/>
  <c r="BB85" i="40"/>
  <c r="BN85" i="40" s="1"/>
  <c r="BE84" i="40"/>
  <c r="BQ84" i="40" s="1"/>
  <c r="BD84" i="40"/>
  <c r="BC84" i="40"/>
  <c r="BO84" i="40" s="1"/>
  <c r="BB84" i="40"/>
  <c r="BN84" i="40" s="1"/>
  <c r="BE83" i="40"/>
  <c r="BQ83" i="40" s="1"/>
  <c r="BD83" i="40"/>
  <c r="BC83" i="40"/>
  <c r="BO83" i="40" s="1"/>
  <c r="BB83" i="40"/>
  <c r="BN83" i="40" s="1"/>
  <c r="BE82" i="40"/>
  <c r="BQ82" i="40" s="1"/>
  <c r="BD82" i="40"/>
  <c r="BC82" i="40"/>
  <c r="BO82" i="40" s="1"/>
  <c r="BB82" i="40"/>
  <c r="BN82" i="40" s="1"/>
  <c r="BE81" i="40"/>
  <c r="BQ81" i="40" s="1"/>
  <c r="BD81" i="40"/>
  <c r="BC81" i="40"/>
  <c r="BO81" i="40" s="1"/>
  <c r="BB81" i="40"/>
  <c r="BN81" i="40" s="1"/>
  <c r="BE80" i="40"/>
  <c r="BQ80" i="40" s="1"/>
  <c r="BD80" i="40"/>
  <c r="BC80" i="40"/>
  <c r="BO80" i="40" s="1"/>
  <c r="BB80" i="40"/>
  <c r="BN80" i="40" s="1"/>
  <c r="BE79" i="40"/>
  <c r="BD79" i="40"/>
  <c r="BC79" i="40"/>
  <c r="BB79" i="40"/>
  <c r="BE78" i="40"/>
  <c r="BQ78" i="40" s="1"/>
  <c r="BD78" i="40"/>
  <c r="BC78" i="40"/>
  <c r="BO78" i="40" s="1"/>
  <c r="BB78" i="40"/>
  <c r="BN78" i="40" s="1"/>
  <c r="BE77" i="40"/>
  <c r="BQ77" i="40" s="1"/>
  <c r="BD77" i="40"/>
  <c r="BC77" i="40"/>
  <c r="BO77" i="40" s="1"/>
  <c r="BB77" i="40"/>
  <c r="BN77" i="40" s="1"/>
  <c r="BE76" i="40"/>
  <c r="BQ76" i="40" s="1"/>
  <c r="BD76" i="40"/>
  <c r="BC76" i="40"/>
  <c r="BO76" i="40" s="1"/>
  <c r="BB76" i="40"/>
  <c r="BN76" i="40" s="1"/>
  <c r="BE75" i="40"/>
  <c r="BQ75" i="40" s="1"/>
  <c r="BD75" i="40"/>
  <c r="BC75" i="40"/>
  <c r="BO75" i="40" s="1"/>
  <c r="BB75" i="40"/>
  <c r="BN75" i="40" s="1"/>
  <c r="BE74" i="40"/>
  <c r="BQ74" i="40" s="1"/>
  <c r="BD74" i="40"/>
  <c r="BC74" i="40"/>
  <c r="BO74" i="40" s="1"/>
  <c r="BB74" i="40"/>
  <c r="BN74" i="40" s="1"/>
  <c r="BE73" i="40"/>
  <c r="BQ73" i="40" s="1"/>
  <c r="BD73" i="40"/>
  <c r="BC73" i="40"/>
  <c r="BO73" i="40" s="1"/>
  <c r="BB73" i="40"/>
  <c r="BN73" i="40" s="1"/>
  <c r="BE72" i="40"/>
  <c r="BQ72" i="40" s="1"/>
  <c r="BD72" i="40"/>
  <c r="BC72" i="40"/>
  <c r="BO72" i="40" s="1"/>
  <c r="BB72" i="40"/>
  <c r="BN72" i="40" s="1"/>
  <c r="BE71" i="40"/>
  <c r="BQ71" i="40" s="1"/>
  <c r="BD71" i="40"/>
  <c r="BC71" i="40"/>
  <c r="BO71" i="40" s="1"/>
  <c r="BB71" i="40"/>
  <c r="BN71" i="40" s="1"/>
  <c r="BE69" i="40"/>
  <c r="BQ69" i="40" s="1"/>
  <c r="BD69" i="40"/>
  <c r="BC69" i="40"/>
  <c r="BO69" i="40" s="1"/>
  <c r="BB69" i="40"/>
  <c r="BN69" i="40" s="1"/>
  <c r="BE68" i="40"/>
  <c r="BQ68" i="40" s="1"/>
  <c r="BD68" i="40"/>
  <c r="BC68" i="40"/>
  <c r="BO68" i="40" s="1"/>
  <c r="BB68" i="40"/>
  <c r="BN68" i="40" s="1"/>
  <c r="BE67" i="40"/>
  <c r="BQ67" i="40" s="1"/>
  <c r="BD67" i="40"/>
  <c r="BC67" i="40"/>
  <c r="BO67" i="40" s="1"/>
  <c r="BB67" i="40"/>
  <c r="BN67" i="40" s="1"/>
  <c r="BE66" i="40"/>
  <c r="BQ66" i="40" s="1"/>
  <c r="BD66" i="40"/>
  <c r="BC66" i="40"/>
  <c r="BO66" i="40" s="1"/>
  <c r="BB66" i="40"/>
  <c r="BN66" i="40" s="1"/>
  <c r="BE64" i="40"/>
  <c r="BD64" i="40"/>
  <c r="BC64" i="40"/>
  <c r="BB64" i="40"/>
  <c r="BE62" i="40"/>
  <c r="BD62" i="40"/>
  <c r="BC62" i="40"/>
  <c r="BB62" i="40"/>
  <c r="BE61" i="40"/>
  <c r="BD61" i="40"/>
  <c r="BC61" i="40"/>
  <c r="BB61" i="40"/>
  <c r="BE60" i="40"/>
  <c r="BD60" i="40"/>
  <c r="BC60" i="40"/>
  <c r="BB60" i="40"/>
  <c r="BE59" i="40"/>
  <c r="BD59" i="40"/>
  <c r="BC59" i="40"/>
  <c r="BB59" i="40"/>
  <c r="BE58" i="40"/>
  <c r="BD58" i="40"/>
  <c r="BC58" i="40"/>
  <c r="BB58" i="40"/>
  <c r="BE57" i="40"/>
  <c r="BD57" i="40"/>
  <c r="BC57" i="40"/>
  <c r="BB57" i="40"/>
  <c r="BE56" i="40"/>
  <c r="BD56" i="40"/>
  <c r="BC56" i="40"/>
  <c r="BB56" i="40"/>
  <c r="BE55" i="40"/>
  <c r="BD55" i="40"/>
  <c r="BC55" i="40"/>
  <c r="BB55" i="40"/>
  <c r="BE54" i="40"/>
  <c r="BD54" i="40"/>
  <c r="BC54" i="40"/>
  <c r="BB54" i="40"/>
  <c r="BE53" i="40"/>
  <c r="BD53" i="40"/>
  <c r="BC53" i="40"/>
  <c r="BB53" i="40"/>
  <c r="BE52" i="40"/>
  <c r="BD52" i="40"/>
  <c r="BC52" i="40"/>
  <c r="BB52" i="40"/>
  <c r="BE51" i="40"/>
  <c r="BD51" i="40"/>
  <c r="BC51" i="40"/>
  <c r="BB51" i="40"/>
  <c r="BE50" i="40"/>
  <c r="BD50" i="40"/>
  <c r="BC50" i="40"/>
  <c r="BB50" i="40"/>
  <c r="BE49" i="40"/>
  <c r="BD49" i="40"/>
  <c r="BC49" i="40"/>
  <c r="BB49" i="40"/>
  <c r="BE48" i="40"/>
  <c r="BD48" i="40"/>
  <c r="BC48" i="40"/>
  <c r="BB48" i="40"/>
  <c r="BE47" i="40"/>
  <c r="BD47" i="40"/>
  <c r="BC47" i="40"/>
  <c r="BB47" i="40"/>
  <c r="BE46" i="40"/>
  <c r="BD46" i="40"/>
  <c r="BC46" i="40"/>
  <c r="BB46" i="40"/>
  <c r="BE45" i="40"/>
  <c r="BD45" i="40"/>
  <c r="BC45" i="40"/>
  <c r="BB45" i="40"/>
  <c r="BE43" i="40"/>
  <c r="BD43" i="40"/>
  <c r="BC43" i="40"/>
  <c r="BB43" i="40"/>
  <c r="BE42" i="40"/>
  <c r="BD42" i="40"/>
  <c r="BC42" i="40"/>
  <c r="BB42" i="40"/>
  <c r="BE40" i="40"/>
  <c r="BQ40" i="40" s="1"/>
  <c r="BD40" i="40"/>
  <c r="BC40" i="40"/>
  <c r="BO40" i="40" s="1"/>
  <c r="BB40" i="40"/>
  <c r="BN40" i="40" s="1"/>
  <c r="BE39" i="40"/>
  <c r="BQ39" i="40" s="1"/>
  <c r="BD39" i="40"/>
  <c r="BC39" i="40"/>
  <c r="BO39" i="40" s="1"/>
  <c r="BB39" i="40"/>
  <c r="BN39" i="40" s="1"/>
  <c r="BE38" i="40"/>
  <c r="BQ38" i="40" s="1"/>
  <c r="BC38" i="40"/>
  <c r="BO38" i="40" s="1"/>
  <c r="BB38" i="40"/>
  <c r="BN38" i="40" s="1"/>
  <c r="BE37" i="40"/>
  <c r="BQ37" i="40" s="1"/>
  <c r="BD37" i="40"/>
  <c r="BC37" i="40"/>
  <c r="BO37" i="40" s="1"/>
  <c r="BB37" i="40"/>
  <c r="BN37" i="40" s="1"/>
  <c r="BE36" i="40"/>
  <c r="BQ36" i="40" s="1"/>
  <c r="BD36" i="40"/>
  <c r="BC36" i="40"/>
  <c r="BO36" i="40" s="1"/>
  <c r="BB36" i="40"/>
  <c r="BN36" i="40" s="1"/>
  <c r="BE22" i="40"/>
  <c r="BQ22" i="40" s="1"/>
  <c r="BD22" i="40"/>
  <c r="BC22" i="40"/>
  <c r="BO22" i="40" s="1"/>
  <c r="BB22" i="40"/>
  <c r="BN22" i="40" s="1"/>
  <c r="BE21" i="40"/>
  <c r="BQ21" i="40" s="1"/>
  <c r="BD21" i="40"/>
  <c r="BB21" i="40"/>
  <c r="BN21" i="40" s="1"/>
  <c r="BB10" i="40"/>
  <c r="BN10" i="40" s="1"/>
  <c r="BC10" i="40"/>
  <c r="BO10" i="40" s="1"/>
  <c r="BD10" i="40"/>
  <c r="BE10" i="40"/>
  <c r="BB11" i="40"/>
  <c r="BN11" i="40" s="1"/>
  <c r="BC11" i="40"/>
  <c r="BO11" i="40" s="1"/>
  <c r="BD11" i="40"/>
  <c r="BE11" i="40"/>
  <c r="BB12" i="40"/>
  <c r="BC12" i="40"/>
  <c r="BD12" i="40"/>
  <c r="BE12" i="40"/>
  <c r="BB13" i="40"/>
  <c r="BC13" i="40"/>
  <c r="BD13" i="40"/>
  <c r="BE13" i="40"/>
  <c r="BB14" i="40"/>
  <c r="BN14" i="40" s="1"/>
  <c r="BC14" i="40"/>
  <c r="BO14" i="40" s="1"/>
  <c r="BD14" i="40"/>
  <c r="BE14" i="40"/>
  <c r="BQ14" i="40" s="1"/>
  <c r="BB15" i="40"/>
  <c r="BN15" i="40" s="1"/>
  <c r="BC15" i="40"/>
  <c r="BO15" i="40" s="1"/>
  <c r="BD15" i="40"/>
  <c r="BE15" i="40"/>
  <c r="BQ15" i="40" s="1"/>
  <c r="BB16" i="40"/>
  <c r="BN16" i="40" s="1"/>
  <c r="BC16" i="40"/>
  <c r="BO16" i="40" s="1"/>
  <c r="BD16" i="40"/>
  <c r="BE16" i="40"/>
  <c r="BQ16" i="40" s="1"/>
  <c r="BB17" i="40"/>
  <c r="BN17" i="40" s="1"/>
  <c r="BC17" i="40"/>
  <c r="BO17" i="40" s="1"/>
  <c r="BD17" i="40"/>
  <c r="BE17" i="40"/>
  <c r="BQ17" i="40" s="1"/>
  <c r="BB18" i="40"/>
  <c r="BN18" i="40" s="1"/>
  <c r="BC18" i="40"/>
  <c r="BD18" i="40"/>
  <c r="BE18" i="40"/>
  <c r="BB19" i="40"/>
  <c r="BN19" i="40" s="1"/>
  <c r="BC19" i="40"/>
  <c r="BO19" i="40" s="1"/>
  <c r="BE19" i="40"/>
  <c r="BQ19" i="40" s="1"/>
  <c r="BE9" i="40"/>
  <c r="BQ9" i="40" s="1"/>
  <c r="BD9" i="40"/>
  <c r="BC9" i="40"/>
  <c r="BO9" i="40" s="1"/>
  <c r="BB9" i="40"/>
  <c r="BN9" i="40" s="1"/>
  <c r="BA9" i="40" l="1"/>
  <c r="BM9" i="40" s="1"/>
  <c r="BB8" i="40"/>
  <c r="BN8" i="40" s="1"/>
  <c r="AT23" i="40"/>
  <c r="AT26" i="40"/>
  <c r="AT27" i="40"/>
  <c r="AT28" i="40"/>
  <c r="AT25" i="40"/>
  <c r="AT29" i="40"/>
  <c r="AT30" i="40"/>
  <c r="AT32" i="40"/>
  <c r="AT33" i="40"/>
  <c r="AT34" i="40"/>
  <c r="AT88" i="40"/>
  <c r="AT89" i="40"/>
  <c r="AT90" i="40"/>
  <c r="AT91" i="40"/>
  <c r="AT97" i="40"/>
  <c r="AT98" i="40"/>
  <c r="AT102" i="40"/>
  <c r="AT103" i="40"/>
  <c r="AT133" i="40"/>
  <c r="AT125" i="40"/>
  <c r="AT124" i="40"/>
  <c r="AT123" i="40"/>
  <c r="AT122" i="40"/>
  <c r="AT121" i="40"/>
  <c r="AT120" i="40"/>
  <c r="AT119" i="40"/>
  <c r="AT118" i="40"/>
  <c r="AT117" i="40"/>
  <c r="AT116" i="40"/>
  <c r="AT115" i="40"/>
  <c r="AT114" i="40"/>
  <c r="AT113" i="40"/>
  <c r="AT112" i="40"/>
  <c r="AT111" i="40"/>
  <c r="AT110" i="40"/>
  <c r="AT109" i="40"/>
  <c r="AT108" i="40"/>
  <c r="AT106" i="40"/>
  <c r="AT105" i="40"/>
  <c r="AT101" i="40"/>
  <c r="AT100" i="40"/>
  <c r="AT96" i="40"/>
  <c r="AT95" i="40"/>
  <c r="AT94" i="40"/>
  <c r="AT93" i="40"/>
  <c r="AT85" i="40"/>
  <c r="AT84" i="40"/>
  <c r="AT83" i="40"/>
  <c r="AT82" i="40"/>
  <c r="AT81" i="40"/>
  <c r="AT80" i="40"/>
  <c r="AT79" i="40"/>
  <c r="AT78" i="40"/>
  <c r="AT77" i="40"/>
  <c r="AT76" i="40"/>
  <c r="AT75" i="40"/>
  <c r="AT74" i="40"/>
  <c r="AT73" i="40"/>
  <c r="AT72" i="40"/>
  <c r="AT71" i="40"/>
  <c r="AT69" i="40"/>
  <c r="AT68" i="40"/>
  <c r="AT67" i="40"/>
  <c r="AT66" i="40"/>
  <c r="AT64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0" i="40"/>
  <c r="AT39" i="40"/>
  <c r="AT38" i="40"/>
  <c r="AT37" i="40"/>
  <c r="AT36" i="40"/>
  <c r="AT22" i="40"/>
  <c r="AT21" i="40"/>
  <c r="AT10" i="40"/>
  <c r="AT11" i="40"/>
  <c r="AT12" i="40"/>
  <c r="AT13" i="40"/>
  <c r="AT14" i="40"/>
  <c r="AT15" i="40"/>
  <c r="AT16" i="40"/>
  <c r="AT17" i="40"/>
  <c r="AT18" i="40"/>
  <c r="AT19" i="40"/>
  <c r="AT9" i="40"/>
  <c r="M143" i="40"/>
  <c r="L143" i="40"/>
  <c r="K143" i="40"/>
  <c r="J143" i="40"/>
  <c r="P143" i="40" s="1"/>
  <c r="N143" i="40"/>
  <c r="N138" i="40"/>
  <c r="M138" i="40"/>
  <c r="L138" i="40"/>
  <c r="K138" i="40"/>
  <c r="J138" i="40"/>
  <c r="P138" i="40" s="1"/>
  <c r="AY104" i="40"/>
  <c r="AY99" i="40"/>
  <c r="AY92" i="40"/>
  <c r="AY70" i="40"/>
  <c r="AY65" i="40"/>
  <c r="AY63" i="40"/>
  <c r="AY41" i="40"/>
  <c r="AY35" i="40"/>
  <c r="AY24" i="40"/>
  <c r="AY20" i="40"/>
  <c r="AY8" i="40"/>
  <c r="AX104" i="40"/>
  <c r="AW104" i="40"/>
  <c r="AV104" i="40"/>
  <c r="AU104" i="40"/>
  <c r="AX99" i="40"/>
  <c r="AW99" i="40"/>
  <c r="AV99" i="40"/>
  <c r="AU99" i="40"/>
  <c r="AX92" i="40"/>
  <c r="AW92" i="40"/>
  <c r="AV92" i="40"/>
  <c r="AU92" i="40"/>
  <c r="AX65" i="40"/>
  <c r="AW65" i="40"/>
  <c r="AV65" i="40"/>
  <c r="AU65" i="40"/>
  <c r="AX63" i="40"/>
  <c r="AW63" i="40"/>
  <c r="AV63" i="40"/>
  <c r="AU63" i="40"/>
  <c r="AX41" i="40"/>
  <c r="AW41" i="40"/>
  <c r="AV41" i="40"/>
  <c r="AU41" i="40"/>
  <c r="AX35" i="40"/>
  <c r="AW35" i="40"/>
  <c r="AV35" i="40"/>
  <c r="AU35" i="40"/>
  <c r="AX24" i="40"/>
  <c r="AW24" i="40"/>
  <c r="AV24" i="40"/>
  <c r="AU24" i="40"/>
  <c r="AX20" i="40"/>
  <c r="AW20" i="40"/>
  <c r="AV20" i="40"/>
  <c r="AU20" i="40"/>
  <c r="AX8" i="40"/>
  <c r="AX7" i="40" s="1"/>
  <c r="AW8" i="40"/>
  <c r="AV8" i="40"/>
  <c r="AV7" i="40" s="1"/>
  <c r="AU8" i="40"/>
  <c r="AU7" i="40" s="1"/>
  <c r="AT63" i="40" l="1"/>
  <c r="AT35" i="40"/>
  <c r="AT99" i="40"/>
  <c r="AT104" i="40"/>
  <c r="AT20" i="40"/>
  <c r="AY7" i="40"/>
  <c r="AT65" i="40"/>
  <c r="AT70" i="40"/>
  <c r="AT24" i="40"/>
  <c r="AW7" i="40"/>
  <c r="AT8" i="40"/>
  <c r="AY87" i="40"/>
  <c r="AY86" i="40" s="1"/>
  <c r="AT41" i="40"/>
  <c r="AV87" i="40"/>
  <c r="AV86" i="40" s="1"/>
  <c r="AT92" i="40"/>
  <c r="AU31" i="40"/>
  <c r="AY31" i="40"/>
  <c r="AX31" i="40"/>
  <c r="AX6" i="40" s="1"/>
  <c r="AW87" i="40"/>
  <c r="AW86" i="40" s="1"/>
  <c r="AX87" i="40"/>
  <c r="AX86" i="40" s="1"/>
  <c r="AU87" i="40"/>
  <c r="AU86" i="40" s="1"/>
  <c r="AT107" i="40"/>
  <c r="AV31" i="40"/>
  <c r="AV6" i="40" s="1"/>
  <c r="AW31" i="40"/>
  <c r="AT7" i="40" l="1"/>
  <c r="AV126" i="40"/>
  <c r="AV132" i="40" s="1"/>
  <c r="AY6" i="40"/>
  <c r="AY126" i="40" s="1"/>
  <c r="AW6" i="40"/>
  <c r="AW126" i="40" s="1"/>
  <c r="AW132" i="40" s="1"/>
  <c r="AT31" i="40"/>
  <c r="AT6" i="40" s="1"/>
  <c r="AU6" i="40"/>
  <c r="AU126" i="40" s="1"/>
  <c r="AU132" i="40" s="1"/>
  <c r="AX126" i="40"/>
  <c r="AX132" i="40" s="1"/>
  <c r="AT87" i="40"/>
  <c r="AT86" i="40" s="1"/>
  <c r="D10" i="47"/>
  <c r="D10" i="46"/>
  <c r="D10" i="45"/>
  <c r="D10" i="44"/>
  <c r="AT132" i="40" l="1"/>
  <c r="AT126" i="40"/>
  <c r="AN29" i="40"/>
  <c r="AX127" i="40" l="1"/>
  <c r="D10" i="43"/>
  <c r="AO20" i="40"/>
  <c r="AP20" i="40"/>
  <c r="AQ20" i="40"/>
  <c r="AR20" i="40"/>
  <c r="AN133" i="40"/>
  <c r="AH93" i="40"/>
  <c r="AH91" i="40"/>
  <c r="AH90" i="40"/>
  <c r="AH89" i="40"/>
  <c r="AH88" i="40"/>
  <c r="AR131" i="40" l="1"/>
  <c r="AQ131" i="40"/>
  <c r="AP131" i="40"/>
  <c r="AO131" i="40"/>
  <c r="AN9" i="40"/>
  <c r="AN10" i="40"/>
  <c r="AN11" i="40"/>
  <c r="AN12" i="40"/>
  <c r="AN13" i="40"/>
  <c r="AN14" i="40"/>
  <c r="AN15" i="40"/>
  <c r="AN16" i="40"/>
  <c r="AN17" i="40"/>
  <c r="AN18" i="40"/>
  <c r="AN19" i="40"/>
  <c r="AN8" i="40" l="1"/>
  <c r="E35" i="47" l="1"/>
  <c r="E35" i="46"/>
  <c r="E35" i="45"/>
  <c r="BA121" i="40"/>
  <c r="BM121" i="40" s="1"/>
  <c r="BA113" i="40"/>
  <c r="BM113" i="40" s="1"/>
  <c r="BA105" i="40"/>
  <c r="BM105" i="40" s="1"/>
  <c r="BE103" i="40"/>
  <c r="BD103" i="40"/>
  <c r="BC103" i="40"/>
  <c r="BB103" i="40"/>
  <c r="BE102" i="40"/>
  <c r="BD102" i="40"/>
  <c r="BC102" i="40"/>
  <c r="BB102" i="40"/>
  <c r="BA101" i="40"/>
  <c r="BM101" i="40" s="1"/>
  <c r="BC99" i="40"/>
  <c r="BA98" i="40"/>
  <c r="E30" i="47"/>
  <c r="E30" i="46"/>
  <c r="E30" i="45"/>
  <c r="E30" i="44"/>
  <c r="E28" i="47"/>
  <c r="E28" i="46"/>
  <c r="E28" i="45"/>
  <c r="E28" i="44"/>
  <c r="E27" i="47"/>
  <c r="E27" i="46"/>
  <c r="E27" i="45"/>
  <c r="E27" i="44"/>
  <c r="BC65" i="40"/>
  <c r="BD63" i="40"/>
  <c r="E22" i="47"/>
  <c r="E22" i="46"/>
  <c r="E22" i="45"/>
  <c r="E22" i="44"/>
  <c r="BC35" i="40"/>
  <c r="E19" i="47"/>
  <c r="E19" i="46"/>
  <c r="E19" i="45"/>
  <c r="E19" i="44"/>
  <c r="E18" i="47"/>
  <c r="E18" i="46"/>
  <c r="E18" i="45"/>
  <c r="E18" i="44"/>
  <c r="E17" i="47"/>
  <c r="E17" i="46"/>
  <c r="E17" i="45"/>
  <c r="E17" i="44"/>
  <c r="E16" i="47"/>
  <c r="E16" i="46"/>
  <c r="E16" i="45"/>
  <c r="BA28" i="40"/>
  <c r="BM28" i="40" s="1"/>
  <c r="BC24" i="40"/>
  <c r="E14" i="47"/>
  <c r="E14" i="46"/>
  <c r="E14" i="45"/>
  <c r="E14" i="44"/>
  <c r="BE107" i="40"/>
  <c r="BD107" i="40"/>
  <c r="BE104" i="40"/>
  <c r="BD104" i="40"/>
  <c r="BE99" i="40"/>
  <c r="BD99" i="40"/>
  <c r="BE92" i="40"/>
  <c r="BD92" i="40"/>
  <c r="BE70" i="40"/>
  <c r="BD70" i="40"/>
  <c r="BE65" i="40"/>
  <c r="BD65" i="40"/>
  <c r="BE63" i="40"/>
  <c r="BE41" i="40"/>
  <c r="BD41" i="40"/>
  <c r="BE35" i="40"/>
  <c r="BD35" i="40"/>
  <c r="BE24" i="40"/>
  <c r="BD24" i="40"/>
  <c r="E20" i="45" l="1"/>
  <c r="E15" i="47"/>
  <c r="E21" i="47"/>
  <c r="E23" i="46"/>
  <c r="E32" i="47"/>
  <c r="BQ103" i="40"/>
  <c r="E15" i="46"/>
  <c r="E20" i="46"/>
  <c r="E23" i="47"/>
  <c r="E32" i="44"/>
  <c r="BN103" i="40"/>
  <c r="E21" i="46"/>
  <c r="E32" i="46"/>
  <c r="E20" i="47"/>
  <c r="E15" i="45"/>
  <c r="E32" i="45"/>
  <c r="BO103" i="40"/>
  <c r="E34" i="47"/>
  <c r="E34" i="46"/>
  <c r="E33" i="47"/>
  <c r="E33" i="46"/>
  <c r="E31" i="45"/>
  <c r="E31" i="47"/>
  <c r="E31" i="46"/>
  <c r="E29" i="47"/>
  <c r="E29" i="46"/>
  <c r="E25" i="46"/>
  <c r="E25" i="47"/>
  <c r="E24" i="47"/>
  <c r="E24" i="45"/>
  <c r="E24" i="46"/>
  <c r="BA125" i="40"/>
  <c r="E35" i="44"/>
  <c r="BA29" i="40"/>
  <c r="E16" i="44"/>
  <c r="BA88" i="40"/>
  <c r="BM88" i="40" s="1"/>
  <c r="BA93" i="40"/>
  <c r="BM93" i="40" s="1"/>
  <c r="BC70" i="40"/>
  <c r="BE87" i="40"/>
  <c r="BD31" i="40"/>
  <c r="BC8" i="40"/>
  <c r="BO8" i="40" s="1"/>
  <c r="BB92" i="40"/>
  <c r="BC104" i="40"/>
  <c r="BC107" i="40"/>
  <c r="BB104" i="40"/>
  <c r="BA109" i="40"/>
  <c r="BM109" i="40" s="1"/>
  <c r="BC92" i="40"/>
  <c r="BA97" i="40"/>
  <c r="BA117" i="40"/>
  <c r="BM117" i="40" s="1"/>
  <c r="BA32" i="40"/>
  <c r="BA34" i="40"/>
  <c r="BA45" i="40"/>
  <c r="BA53" i="40"/>
  <c r="BA61" i="40"/>
  <c r="BA67" i="40"/>
  <c r="BM67" i="40" s="1"/>
  <c r="BA68" i="40"/>
  <c r="BM68" i="40" s="1"/>
  <c r="BA75" i="40"/>
  <c r="BM75" i="40" s="1"/>
  <c r="BA83" i="40"/>
  <c r="BM83" i="40" s="1"/>
  <c r="BA57" i="40"/>
  <c r="BA36" i="40"/>
  <c r="BM36" i="40" s="1"/>
  <c r="BA40" i="40"/>
  <c r="BM40" i="40" s="1"/>
  <c r="BA49" i="40"/>
  <c r="BA66" i="40"/>
  <c r="BM66" i="40" s="1"/>
  <c r="BB65" i="40"/>
  <c r="BA79" i="40"/>
  <c r="BE31" i="40"/>
  <c r="BA69" i="40"/>
  <c r="BM69" i="40" s="1"/>
  <c r="BA71" i="40"/>
  <c r="BM71" i="40" s="1"/>
  <c r="BC41" i="40"/>
  <c r="BC63" i="40"/>
  <c r="BA14" i="40"/>
  <c r="BM14" i="40" s="1"/>
  <c r="BA10" i="40"/>
  <c r="BM10" i="40" s="1"/>
  <c r="BA23" i="40"/>
  <c r="BA13" i="40"/>
  <c r="BM13" i="40" s="1"/>
  <c r="BE8" i="40"/>
  <c r="BA16" i="40"/>
  <c r="BM16" i="40" s="1"/>
  <c r="BA15" i="40"/>
  <c r="BM15" i="40" s="1"/>
  <c r="BA12" i="40"/>
  <c r="BM12" i="40" s="1"/>
  <c r="BA11" i="40"/>
  <c r="BM11" i="40" s="1"/>
  <c r="BA17" i="40"/>
  <c r="BM17" i="40" s="1"/>
  <c r="E12" i="44"/>
  <c r="BA18" i="40"/>
  <c r="BM18" i="40" s="1"/>
  <c r="BB35" i="40"/>
  <c r="BD87" i="40"/>
  <c r="BA21" i="40"/>
  <c r="BM21" i="40" s="1"/>
  <c r="BA22" i="40"/>
  <c r="BM22" i="40" s="1"/>
  <c r="BA25" i="40"/>
  <c r="BM25" i="40" s="1"/>
  <c r="BB24" i="40"/>
  <c r="BA26" i="40"/>
  <c r="BM26" i="40" s="1"/>
  <c r="BA27" i="40"/>
  <c r="BM27" i="40" s="1"/>
  <c r="BA30" i="40"/>
  <c r="BA33" i="40"/>
  <c r="BA19" i="40"/>
  <c r="BM19" i="40" s="1"/>
  <c r="BC20" i="40"/>
  <c r="BD20" i="40"/>
  <c r="BE20" i="40"/>
  <c r="BA37" i="40"/>
  <c r="BM37" i="40" s="1"/>
  <c r="BA38" i="40"/>
  <c r="BM38" i="40" s="1"/>
  <c r="BA39" i="40"/>
  <c r="BM39" i="40" s="1"/>
  <c r="BA42" i="40"/>
  <c r="BA43" i="40"/>
  <c r="BA44" i="40"/>
  <c r="BA46" i="40"/>
  <c r="BA47" i="40"/>
  <c r="BA48" i="40"/>
  <c r="BA50" i="40"/>
  <c r="BA51" i="40"/>
  <c r="BA52" i="40"/>
  <c r="BA54" i="40"/>
  <c r="BA55" i="40"/>
  <c r="BA56" i="40"/>
  <c r="BA58" i="40"/>
  <c r="BA59" i="40"/>
  <c r="BA60" i="40"/>
  <c r="BA62" i="40"/>
  <c r="BA64" i="40"/>
  <c r="BA72" i="40"/>
  <c r="BM72" i="40" s="1"/>
  <c r="BA73" i="40"/>
  <c r="BM73" i="40" s="1"/>
  <c r="BA74" i="40"/>
  <c r="BM74" i="40" s="1"/>
  <c r="BA76" i="40"/>
  <c r="BM76" i="40" s="1"/>
  <c r="BA77" i="40"/>
  <c r="BM77" i="40" s="1"/>
  <c r="BA78" i="40"/>
  <c r="BM78" i="40" s="1"/>
  <c r="BA80" i="40"/>
  <c r="BM80" i="40" s="1"/>
  <c r="BA81" i="40"/>
  <c r="BM81" i="40" s="1"/>
  <c r="BA82" i="40"/>
  <c r="BM82" i="40" s="1"/>
  <c r="BA84" i="40"/>
  <c r="BM84" i="40" s="1"/>
  <c r="BA85" i="40"/>
  <c r="BM85" i="40" s="1"/>
  <c r="BA89" i="40"/>
  <c r="BM89" i="40" s="1"/>
  <c r="BA90" i="40"/>
  <c r="BM90" i="40" s="1"/>
  <c r="BA91" i="40"/>
  <c r="BA94" i="40"/>
  <c r="BM94" i="40" s="1"/>
  <c r="BA95" i="40"/>
  <c r="BA96" i="40"/>
  <c r="BM96" i="40" s="1"/>
  <c r="BA100" i="40"/>
  <c r="BM100" i="40" s="1"/>
  <c r="BA102" i="40"/>
  <c r="BA103" i="40"/>
  <c r="BA106" i="40"/>
  <c r="BM106" i="40" s="1"/>
  <c r="BA108" i="40"/>
  <c r="BM108" i="40" s="1"/>
  <c r="BA110" i="40"/>
  <c r="BM110" i="40" s="1"/>
  <c r="BA111" i="40"/>
  <c r="BM111" i="40" s="1"/>
  <c r="BA112" i="40"/>
  <c r="BM112" i="40" s="1"/>
  <c r="BA114" i="40"/>
  <c r="BM114" i="40" s="1"/>
  <c r="BA115" i="40"/>
  <c r="BM115" i="40" s="1"/>
  <c r="BA116" i="40"/>
  <c r="BM116" i="40" s="1"/>
  <c r="BA118" i="40"/>
  <c r="BM118" i="40" s="1"/>
  <c r="BA119" i="40"/>
  <c r="BM119" i="40" s="1"/>
  <c r="BA120" i="40"/>
  <c r="BM120" i="40" s="1"/>
  <c r="BA122" i="40"/>
  <c r="BM122" i="40" s="1"/>
  <c r="BA123" i="40"/>
  <c r="BA124" i="40"/>
  <c r="BB70" i="40"/>
  <c r="BB41" i="40"/>
  <c r="BB107" i="40"/>
  <c r="BB99" i="40"/>
  <c r="BB63" i="40"/>
  <c r="BB20" i="40"/>
  <c r="BD8" i="40"/>
  <c r="E14" i="43" l="1"/>
  <c r="BM23" i="40"/>
  <c r="E21" i="44"/>
  <c r="E18" i="43"/>
  <c r="BM33" i="40"/>
  <c r="E15" i="44"/>
  <c r="E35" i="43"/>
  <c r="BM125" i="40"/>
  <c r="E20" i="44"/>
  <c r="E19" i="43"/>
  <c r="BM34" i="40"/>
  <c r="E21" i="45"/>
  <c r="E23" i="44"/>
  <c r="E28" i="43"/>
  <c r="BM91" i="40"/>
  <c r="E23" i="45"/>
  <c r="E17" i="43"/>
  <c r="BM32" i="40"/>
  <c r="E16" i="43"/>
  <c r="BM29" i="40"/>
  <c r="E34" i="44"/>
  <c r="E34" i="45"/>
  <c r="E33" i="45"/>
  <c r="E33" i="44"/>
  <c r="E32" i="43"/>
  <c r="BM103" i="40"/>
  <c r="E31" i="44"/>
  <c r="E30" i="43"/>
  <c r="BM97" i="40"/>
  <c r="E29" i="44"/>
  <c r="E29" i="45"/>
  <c r="BE86" i="40"/>
  <c r="E25" i="44"/>
  <c r="E25" i="45"/>
  <c r="E24" i="44"/>
  <c r="E13" i="46"/>
  <c r="E13" i="45"/>
  <c r="BO20" i="40"/>
  <c r="E13" i="44"/>
  <c r="BN20" i="40"/>
  <c r="E13" i="47"/>
  <c r="E12" i="47"/>
  <c r="E12" i="46"/>
  <c r="E12" i="45"/>
  <c r="BC7" i="40"/>
  <c r="BA8" i="40"/>
  <c r="E12" i="43" s="1"/>
  <c r="BA65" i="40"/>
  <c r="E22" i="43"/>
  <c r="E27" i="43"/>
  <c r="BA24" i="40"/>
  <c r="BB31" i="40"/>
  <c r="BA104" i="40"/>
  <c r="BC87" i="40"/>
  <c r="BC31" i="40"/>
  <c r="BA35" i="40"/>
  <c r="BD7" i="40"/>
  <c r="BA99" i="40"/>
  <c r="BA41" i="40"/>
  <c r="BA70" i="40"/>
  <c r="BB7" i="40"/>
  <c r="BA63" i="40"/>
  <c r="BA107" i="40"/>
  <c r="BA92" i="40"/>
  <c r="BA20" i="40"/>
  <c r="BD86" i="40"/>
  <c r="BE7" i="40"/>
  <c r="BB87" i="40"/>
  <c r="AH62" i="40"/>
  <c r="E23" i="43" l="1"/>
  <c r="E20" i="43"/>
  <c r="E21" i="43"/>
  <c r="BM41" i="40"/>
  <c r="E15" i="43"/>
  <c r="E34" i="43"/>
  <c r="E33" i="43"/>
  <c r="E31" i="43"/>
  <c r="BC86" i="40"/>
  <c r="E26" i="47"/>
  <c r="E26" i="46"/>
  <c r="E29" i="43"/>
  <c r="E25" i="43"/>
  <c r="BM70" i="40"/>
  <c r="E24" i="43"/>
  <c r="E13" i="43"/>
  <c r="BA31" i="40"/>
  <c r="BM31" i="40" s="1"/>
  <c r="BB6" i="40"/>
  <c r="BA7" i="40"/>
  <c r="BE6" i="40"/>
  <c r="BB86" i="40"/>
  <c r="BD6" i="40"/>
  <c r="BC6" i="40"/>
  <c r="BA87" i="40"/>
  <c r="BB126" i="40" l="1"/>
  <c r="E26" i="44"/>
  <c r="E26" i="45"/>
  <c r="E11" i="47"/>
  <c r="E11" i="45"/>
  <c r="E11" i="46"/>
  <c r="E11" i="44"/>
  <c r="BA6" i="40"/>
  <c r="BA86" i="40"/>
  <c r="BC126" i="40"/>
  <c r="BD126" i="40"/>
  <c r="BE126" i="40"/>
  <c r="J9" i="40"/>
  <c r="AJ107" i="40"/>
  <c r="AK107" i="40"/>
  <c r="AL107" i="40"/>
  <c r="AN97" i="40"/>
  <c r="AH97" i="40"/>
  <c r="E36" i="46" l="1"/>
  <c r="E36" i="45"/>
  <c r="E36" i="47"/>
  <c r="E36" i="44"/>
  <c r="E26" i="43"/>
  <c r="E11" i="43"/>
  <c r="BA126" i="40"/>
  <c r="P9" i="40"/>
  <c r="BG9" i="40" s="1"/>
  <c r="AN125" i="40"/>
  <c r="AN124" i="40"/>
  <c r="AN123" i="40"/>
  <c r="AN122" i="40"/>
  <c r="AN121" i="40"/>
  <c r="AN120" i="40"/>
  <c r="AN119" i="40"/>
  <c r="AN118" i="40"/>
  <c r="AN117" i="40"/>
  <c r="AN116" i="40"/>
  <c r="AN115" i="40"/>
  <c r="AN114" i="40"/>
  <c r="AN113" i="40"/>
  <c r="AN112" i="40"/>
  <c r="AN111" i="40"/>
  <c r="AN110" i="40"/>
  <c r="AN109" i="40"/>
  <c r="AN108" i="40"/>
  <c r="AN106" i="40"/>
  <c r="AN105" i="40"/>
  <c r="AN103" i="40"/>
  <c r="AN102" i="40"/>
  <c r="AN101" i="40"/>
  <c r="AN100" i="40"/>
  <c r="AN98" i="40"/>
  <c r="AN96" i="40"/>
  <c r="AN95" i="40"/>
  <c r="AN94" i="40"/>
  <c r="AN93" i="40"/>
  <c r="AN91" i="40"/>
  <c r="AN90" i="40"/>
  <c r="AN89" i="40"/>
  <c r="AN88" i="40"/>
  <c r="AN85" i="40"/>
  <c r="AN84" i="40"/>
  <c r="AN83" i="40"/>
  <c r="AN82" i="40"/>
  <c r="AN81" i="40"/>
  <c r="AN80" i="40"/>
  <c r="AN79" i="40"/>
  <c r="AN78" i="40"/>
  <c r="AN77" i="40"/>
  <c r="AN76" i="40"/>
  <c r="AN75" i="40"/>
  <c r="AN74" i="40"/>
  <c r="AN73" i="40"/>
  <c r="AN72" i="40"/>
  <c r="AN71" i="40"/>
  <c r="AN69" i="40"/>
  <c r="AN68" i="40"/>
  <c r="AN67" i="40"/>
  <c r="AN66" i="40"/>
  <c r="AN64" i="40"/>
  <c r="AN62" i="40"/>
  <c r="AN61" i="40"/>
  <c r="AN60" i="40"/>
  <c r="AN59" i="40"/>
  <c r="AN58" i="40"/>
  <c r="AN57" i="40"/>
  <c r="AN56" i="40"/>
  <c r="AN55" i="40"/>
  <c r="AN54" i="40"/>
  <c r="AN53" i="40"/>
  <c r="AN52" i="40"/>
  <c r="AN51" i="40"/>
  <c r="AN50" i="40"/>
  <c r="AN49" i="40"/>
  <c r="AN48" i="40"/>
  <c r="AN47" i="40"/>
  <c r="AN46" i="40"/>
  <c r="AN45" i="40"/>
  <c r="AN44" i="40"/>
  <c r="AN43" i="40"/>
  <c r="AN42" i="40"/>
  <c r="AN40" i="40"/>
  <c r="AN39" i="40"/>
  <c r="AN38" i="40"/>
  <c r="AN37" i="40"/>
  <c r="AN36" i="40"/>
  <c r="AN34" i="40"/>
  <c r="AN33" i="40"/>
  <c r="AN32" i="40"/>
  <c r="AN30" i="40"/>
  <c r="AN28" i="40"/>
  <c r="AN27" i="40"/>
  <c r="AN26" i="40"/>
  <c r="AN25" i="40"/>
  <c r="AN23" i="40"/>
  <c r="AN22" i="40"/>
  <c r="AN21" i="40"/>
  <c r="AH125" i="40"/>
  <c r="AH124" i="40"/>
  <c r="AH123" i="40"/>
  <c r="AH122" i="40"/>
  <c r="AH121" i="40"/>
  <c r="AH120" i="40"/>
  <c r="AH119" i="40"/>
  <c r="AH118" i="40"/>
  <c r="AH117" i="40"/>
  <c r="AH116" i="40"/>
  <c r="AH115" i="40"/>
  <c r="AH114" i="40"/>
  <c r="AH113" i="40"/>
  <c r="AH112" i="40"/>
  <c r="AH111" i="40"/>
  <c r="AH110" i="40"/>
  <c r="AH109" i="40"/>
  <c r="AH106" i="40"/>
  <c r="AH105" i="40"/>
  <c r="AH102" i="40"/>
  <c r="AH101" i="40"/>
  <c r="AH100" i="40"/>
  <c r="AH98" i="40"/>
  <c r="AH96" i="40"/>
  <c r="AH95" i="40"/>
  <c r="AH94" i="40"/>
  <c r="AH85" i="40"/>
  <c r="AH84" i="40"/>
  <c r="AH83" i="40"/>
  <c r="AH82" i="40"/>
  <c r="AH81" i="40"/>
  <c r="AH80" i="40"/>
  <c r="AH79" i="40"/>
  <c r="AH78" i="40"/>
  <c r="AH77" i="40"/>
  <c r="AH76" i="40"/>
  <c r="AH75" i="40"/>
  <c r="AH74" i="40"/>
  <c r="AH73" i="40"/>
  <c r="AH72" i="40"/>
  <c r="AH71" i="40"/>
  <c r="AH69" i="40"/>
  <c r="AH68" i="40"/>
  <c r="AH67" i="40"/>
  <c r="AH66" i="40"/>
  <c r="AH64" i="40"/>
  <c r="AH61" i="40"/>
  <c r="AH60" i="40"/>
  <c r="AH59" i="40"/>
  <c r="AH58" i="40"/>
  <c r="AH57" i="40"/>
  <c r="AH56" i="40"/>
  <c r="AH55" i="40"/>
  <c r="AH54" i="40"/>
  <c r="AH53" i="40"/>
  <c r="AH52" i="40"/>
  <c r="AH51" i="40"/>
  <c r="AH50" i="40"/>
  <c r="AH49" i="40"/>
  <c r="AH48" i="40"/>
  <c r="AH47" i="40"/>
  <c r="AH46" i="40"/>
  <c r="AH45" i="40"/>
  <c r="AH44" i="40"/>
  <c r="AH43" i="40"/>
  <c r="AH42" i="40"/>
  <c r="AH40" i="40"/>
  <c r="AH39" i="40"/>
  <c r="AH38" i="40"/>
  <c r="AH37" i="40"/>
  <c r="AH36" i="40"/>
  <c r="AH34" i="40"/>
  <c r="AH33" i="40"/>
  <c r="AH32" i="40"/>
  <c r="AH30" i="40"/>
  <c r="AH29" i="40"/>
  <c r="AH28" i="40"/>
  <c r="AH27" i="40"/>
  <c r="AH26" i="40"/>
  <c r="AH25" i="40"/>
  <c r="AH23" i="40"/>
  <c r="AH22" i="40"/>
  <c r="AH21" i="40"/>
  <c r="AH19" i="40"/>
  <c r="AH18" i="40"/>
  <c r="AH17" i="40"/>
  <c r="AH16" i="40"/>
  <c r="AH15" i="40"/>
  <c r="AH14" i="40"/>
  <c r="AH13" i="40"/>
  <c r="AH12" i="40"/>
  <c r="AH11" i="40"/>
  <c r="AH10" i="40"/>
  <c r="AH9" i="40"/>
  <c r="AB125" i="40"/>
  <c r="AB124" i="40"/>
  <c r="AB123" i="40"/>
  <c r="AB122" i="40"/>
  <c r="AB121" i="40"/>
  <c r="AB120" i="40"/>
  <c r="AB119" i="40"/>
  <c r="AB118" i="40"/>
  <c r="AB117" i="40"/>
  <c r="AB116" i="40"/>
  <c r="AB115" i="40"/>
  <c r="AB114" i="40"/>
  <c r="AB113" i="40"/>
  <c r="AB112" i="40"/>
  <c r="AB111" i="40"/>
  <c r="AB110" i="40"/>
  <c r="AB109" i="40"/>
  <c r="AB108" i="40"/>
  <c r="AB106" i="40"/>
  <c r="AB105" i="40"/>
  <c r="AB102" i="40"/>
  <c r="AB101" i="40"/>
  <c r="AB100" i="40"/>
  <c r="AB98" i="40"/>
  <c r="AB97" i="40"/>
  <c r="AB96" i="40"/>
  <c r="AB95" i="40"/>
  <c r="AB94" i="40"/>
  <c r="AB93" i="40"/>
  <c r="AB91" i="40"/>
  <c r="AB90" i="40"/>
  <c r="AB89" i="40"/>
  <c r="AB88" i="40"/>
  <c r="AB85" i="40"/>
  <c r="AB84" i="40"/>
  <c r="AB83" i="40"/>
  <c r="AB82" i="40"/>
  <c r="AB81" i="40"/>
  <c r="AB80" i="40"/>
  <c r="AB79" i="40"/>
  <c r="AB78" i="40"/>
  <c r="AB77" i="40"/>
  <c r="AB76" i="40"/>
  <c r="AB75" i="40"/>
  <c r="AB74" i="40"/>
  <c r="AB73" i="40"/>
  <c r="AB72" i="40"/>
  <c r="AB71" i="40"/>
  <c r="AB69" i="40"/>
  <c r="AB68" i="40"/>
  <c r="AB67" i="40"/>
  <c r="AB66" i="40"/>
  <c r="AB64" i="40"/>
  <c r="AB62" i="40"/>
  <c r="AB61" i="40"/>
  <c r="AB60" i="40"/>
  <c r="AB59" i="40"/>
  <c r="AB58" i="40"/>
  <c r="AB57" i="40"/>
  <c r="AB56" i="40"/>
  <c r="AB55" i="40"/>
  <c r="AB54" i="40"/>
  <c r="AB53" i="40"/>
  <c r="AB52" i="40"/>
  <c r="AB51" i="40"/>
  <c r="AB50" i="40"/>
  <c r="AB49" i="40"/>
  <c r="AB48" i="40"/>
  <c r="AB47" i="40"/>
  <c r="AB46" i="40"/>
  <c r="AB45" i="40"/>
  <c r="AB44" i="40"/>
  <c r="AB43" i="40"/>
  <c r="AB42" i="40"/>
  <c r="AB40" i="40"/>
  <c r="AB39" i="40"/>
  <c r="AB38" i="40"/>
  <c r="AB37" i="40"/>
  <c r="AB36" i="40"/>
  <c r="AB34" i="40"/>
  <c r="AB33" i="40"/>
  <c r="AB32" i="40"/>
  <c r="AB30" i="40"/>
  <c r="AB29" i="40"/>
  <c r="AB28" i="40"/>
  <c r="AB27" i="40"/>
  <c r="AB26" i="40"/>
  <c r="AB25" i="40"/>
  <c r="AB23" i="40"/>
  <c r="AB22" i="40"/>
  <c r="AB21" i="40"/>
  <c r="AB19" i="40"/>
  <c r="AB18" i="40"/>
  <c r="AB17" i="40"/>
  <c r="AB16" i="40"/>
  <c r="AB15" i="40"/>
  <c r="AB14" i="40"/>
  <c r="AB13" i="40"/>
  <c r="AB12" i="40"/>
  <c r="AB11" i="40"/>
  <c r="AB10" i="40"/>
  <c r="AB9" i="40"/>
  <c r="V124" i="40"/>
  <c r="V123" i="40"/>
  <c r="V122" i="40"/>
  <c r="V121" i="40"/>
  <c r="V120" i="40"/>
  <c r="V119" i="40"/>
  <c r="V118" i="40"/>
  <c r="V117" i="40"/>
  <c r="V116" i="40"/>
  <c r="V115" i="40"/>
  <c r="V114" i="40"/>
  <c r="V113" i="40"/>
  <c r="V112" i="40"/>
  <c r="V111" i="40"/>
  <c r="V110" i="40"/>
  <c r="V109" i="40"/>
  <c r="V108" i="40"/>
  <c r="V106" i="40"/>
  <c r="V105" i="40"/>
  <c r="V103" i="40"/>
  <c r="V102" i="40"/>
  <c r="V101" i="40"/>
  <c r="V100" i="40"/>
  <c r="V98" i="40"/>
  <c r="V97" i="40"/>
  <c r="V96" i="40"/>
  <c r="V95" i="40"/>
  <c r="V94" i="40"/>
  <c r="V93" i="40"/>
  <c r="V91" i="40"/>
  <c r="V90" i="40"/>
  <c r="V89" i="40"/>
  <c r="V88" i="40"/>
  <c r="V85" i="40"/>
  <c r="V84" i="40"/>
  <c r="V83" i="40"/>
  <c r="V82" i="40"/>
  <c r="V81" i="40"/>
  <c r="V80" i="40"/>
  <c r="V79" i="40"/>
  <c r="V78" i="40"/>
  <c r="V77" i="40"/>
  <c r="V76" i="40"/>
  <c r="V75" i="40"/>
  <c r="V74" i="40"/>
  <c r="V73" i="40"/>
  <c r="V72" i="40"/>
  <c r="V71" i="40"/>
  <c r="V69" i="40"/>
  <c r="V68" i="40"/>
  <c r="V67" i="40"/>
  <c r="V66" i="40"/>
  <c r="V64" i="40"/>
  <c r="V62" i="40"/>
  <c r="V61" i="40"/>
  <c r="V60" i="40"/>
  <c r="V59" i="40"/>
  <c r="V58" i="40"/>
  <c r="V57" i="40"/>
  <c r="V56" i="40"/>
  <c r="V55" i="40"/>
  <c r="V54" i="40"/>
  <c r="V53" i="40"/>
  <c r="V52" i="40"/>
  <c r="V51" i="40"/>
  <c r="V50" i="40"/>
  <c r="V49" i="40"/>
  <c r="V48" i="40"/>
  <c r="V47" i="40"/>
  <c r="V46" i="40"/>
  <c r="V45" i="40"/>
  <c r="V44" i="40"/>
  <c r="V43" i="40"/>
  <c r="V42" i="40"/>
  <c r="V40" i="40"/>
  <c r="V39" i="40"/>
  <c r="V38" i="40"/>
  <c r="V37" i="40"/>
  <c r="V36" i="40"/>
  <c r="V34" i="40"/>
  <c r="V33" i="40"/>
  <c r="V32" i="40"/>
  <c r="V30" i="40"/>
  <c r="V29" i="40"/>
  <c r="V28" i="40"/>
  <c r="V27" i="40"/>
  <c r="V26" i="40"/>
  <c r="V25" i="40"/>
  <c r="V23" i="40"/>
  <c r="V22" i="40"/>
  <c r="V21" i="40"/>
  <c r="V10" i="40"/>
  <c r="V11" i="40"/>
  <c r="V12" i="40"/>
  <c r="V13" i="40"/>
  <c r="V14" i="40"/>
  <c r="V15" i="40"/>
  <c r="V16" i="40"/>
  <c r="V17" i="40"/>
  <c r="V18" i="40"/>
  <c r="V19" i="40"/>
  <c r="V9" i="40"/>
  <c r="AQ24" i="40"/>
  <c r="AK24" i="40"/>
  <c r="AE24" i="40"/>
  <c r="Y24" i="40"/>
  <c r="AH104" i="40" l="1"/>
  <c r="AB20" i="40"/>
  <c r="AH92" i="40"/>
  <c r="AB92" i="40"/>
  <c r="AB107" i="40"/>
  <c r="AN104" i="40"/>
  <c r="AB104" i="40"/>
  <c r="AH8" i="40"/>
  <c r="AH20" i="40"/>
  <c r="AN20" i="40"/>
  <c r="AN7" i="40" s="1"/>
  <c r="AN107" i="40"/>
  <c r="AH107" i="40"/>
  <c r="AN92" i="40"/>
  <c r="AN24" i="40"/>
  <c r="AH24" i="40"/>
  <c r="AB24" i="40"/>
  <c r="AB8" i="40"/>
  <c r="V8" i="40"/>
  <c r="AB7" i="40" l="1"/>
  <c r="AH7" i="40"/>
  <c r="AR8" i="40" l="1"/>
  <c r="AR7" i="40" s="1"/>
  <c r="AQ8" i="40"/>
  <c r="AQ7" i="40" s="1"/>
  <c r="AP8" i="40"/>
  <c r="AP7" i="40" s="1"/>
  <c r="AO8" i="40"/>
  <c r="AO7" i="40" s="1"/>
  <c r="AF8" i="40"/>
  <c r="AE8" i="40"/>
  <c r="AD8" i="40"/>
  <c r="AC8" i="40"/>
  <c r="W8" i="40"/>
  <c r="Y8" i="40"/>
  <c r="X8" i="40"/>
  <c r="Z8" i="40"/>
  <c r="AR107" i="40"/>
  <c r="AQ107" i="40"/>
  <c r="AP107" i="40"/>
  <c r="AO107" i="40"/>
  <c r="AR104" i="40"/>
  <c r="AQ104" i="40"/>
  <c r="AP104" i="40"/>
  <c r="AO104" i="40"/>
  <c r="AR99" i="40"/>
  <c r="AQ99" i="40"/>
  <c r="AP99" i="40"/>
  <c r="AO99" i="40"/>
  <c r="AR92" i="40"/>
  <c r="AQ92" i="40"/>
  <c r="AP92" i="40"/>
  <c r="AP87" i="40" s="1"/>
  <c r="AP86" i="40" s="1"/>
  <c r="AO92" i="40"/>
  <c r="AO87" i="40" s="1"/>
  <c r="AO86" i="40" s="1"/>
  <c r="AR65" i="40"/>
  <c r="AQ65" i="40"/>
  <c r="AP65" i="40"/>
  <c r="AO65" i="40"/>
  <c r="AR63" i="40"/>
  <c r="AQ63" i="40"/>
  <c r="AP63" i="40"/>
  <c r="AO63" i="40"/>
  <c r="AR41" i="40"/>
  <c r="AQ41" i="40"/>
  <c r="AP41" i="40"/>
  <c r="AO41" i="40"/>
  <c r="AR35" i="40"/>
  <c r="AR31" i="40" s="1"/>
  <c r="AQ35" i="40"/>
  <c r="AP35" i="40"/>
  <c r="AO35" i="40"/>
  <c r="AO31" i="40" s="1"/>
  <c r="AR24" i="40"/>
  <c r="AP24" i="40"/>
  <c r="AO24" i="40"/>
  <c r="AI107" i="40"/>
  <c r="AL99" i="40"/>
  <c r="AK99" i="40"/>
  <c r="AJ99" i="40"/>
  <c r="AI99" i="40"/>
  <c r="AL92" i="40"/>
  <c r="AK92" i="40"/>
  <c r="AJ92" i="40"/>
  <c r="AI92" i="40"/>
  <c r="AL63" i="40"/>
  <c r="AK63" i="40"/>
  <c r="AJ63" i="40"/>
  <c r="AI63" i="40"/>
  <c r="AL35" i="40"/>
  <c r="AL31" i="40" s="1"/>
  <c r="AK35" i="40"/>
  <c r="AJ35" i="40"/>
  <c r="AI35" i="40"/>
  <c r="AL24" i="40"/>
  <c r="AJ24" i="40"/>
  <c r="AI24" i="40"/>
  <c r="AL20" i="40"/>
  <c r="AK20" i="40"/>
  <c r="AJ20" i="40"/>
  <c r="AI20" i="40"/>
  <c r="AF107" i="40"/>
  <c r="AE107" i="40"/>
  <c r="AD107" i="40"/>
  <c r="AC107" i="40"/>
  <c r="AF104" i="40"/>
  <c r="AE104" i="40"/>
  <c r="AD104" i="40"/>
  <c r="AC104" i="40"/>
  <c r="AF99" i="40"/>
  <c r="AE99" i="40"/>
  <c r="AD99" i="40"/>
  <c r="AC99" i="40"/>
  <c r="AF92" i="40"/>
  <c r="AF87" i="40" s="1"/>
  <c r="AF86" i="40" s="1"/>
  <c r="AE92" i="40"/>
  <c r="AD92" i="40"/>
  <c r="AD87" i="40" s="1"/>
  <c r="AD86" i="40" s="1"/>
  <c r="AC92" i="40"/>
  <c r="AF65" i="40"/>
  <c r="AE65" i="40"/>
  <c r="AD65" i="40"/>
  <c r="AC65" i="40"/>
  <c r="AF63" i="40"/>
  <c r="AE63" i="40"/>
  <c r="AD63" i="40"/>
  <c r="AC63" i="40"/>
  <c r="AF35" i="40"/>
  <c r="AF31" i="40" s="1"/>
  <c r="AE35" i="40"/>
  <c r="AD35" i="40"/>
  <c r="AC35" i="40"/>
  <c r="AC31" i="40" s="1"/>
  <c r="AF24" i="40"/>
  <c r="AD24" i="40"/>
  <c r="AC24" i="40"/>
  <c r="AF20" i="40"/>
  <c r="AE20" i="40"/>
  <c r="AD20" i="40"/>
  <c r="AC20" i="40"/>
  <c r="Z107" i="40"/>
  <c r="Y107" i="40"/>
  <c r="X107" i="40"/>
  <c r="W107" i="40"/>
  <c r="V107" i="40"/>
  <c r="Z104" i="40"/>
  <c r="Y104" i="40"/>
  <c r="X104" i="40"/>
  <c r="W104" i="40"/>
  <c r="V104" i="40"/>
  <c r="Z99" i="40"/>
  <c r="Y99" i="40"/>
  <c r="X99" i="40"/>
  <c r="W99" i="40"/>
  <c r="Z92" i="40"/>
  <c r="Y92" i="40"/>
  <c r="X92" i="40"/>
  <c r="W92" i="40"/>
  <c r="V92" i="40"/>
  <c r="Y70" i="40"/>
  <c r="Z70" i="40"/>
  <c r="X70" i="40"/>
  <c r="W70" i="40"/>
  <c r="Z65" i="40"/>
  <c r="Y65" i="40"/>
  <c r="X65" i="40"/>
  <c r="W65" i="40"/>
  <c r="Y63" i="40"/>
  <c r="Z63" i="40"/>
  <c r="X63" i="40"/>
  <c r="W63" i="40"/>
  <c r="Y41" i="40"/>
  <c r="Z41" i="40"/>
  <c r="X41" i="40"/>
  <c r="W41" i="40"/>
  <c r="Z35" i="40"/>
  <c r="Y35" i="40"/>
  <c r="X35" i="40"/>
  <c r="X31" i="40" s="1"/>
  <c r="W35" i="40"/>
  <c r="V24" i="40"/>
  <c r="Z24" i="40"/>
  <c r="X24" i="40"/>
  <c r="W24" i="40"/>
  <c r="W20" i="40"/>
  <c r="X20" i="40"/>
  <c r="Y20" i="40"/>
  <c r="Z20" i="40"/>
  <c r="V20" i="40"/>
  <c r="V7" i="40" s="1"/>
  <c r="X7" i="40"/>
  <c r="AJ7" i="40" l="1"/>
  <c r="Y87" i="40"/>
  <c r="Y86" i="40" s="1"/>
  <c r="AF7" i="40"/>
  <c r="AF6" i="40" s="1"/>
  <c r="AF126" i="40" s="1"/>
  <c r="AF132" i="40" s="1"/>
  <c r="Z87" i="40"/>
  <c r="Z86" i="40" s="1"/>
  <c r="AL7" i="40"/>
  <c r="AL6" i="40" s="1"/>
  <c r="AE7" i="40"/>
  <c r="V65" i="40"/>
  <c r="AK7" i="40"/>
  <c r="AN70" i="40"/>
  <c r="AH99" i="40"/>
  <c r="AH87" i="40" s="1"/>
  <c r="AH86" i="40" s="1"/>
  <c r="AL87" i="40"/>
  <c r="AL86" i="40" s="1"/>
  <c r="AQ87" i="40"/>
  <c r="AQ86" i="40" s="1"/>
  <c r="AB35" i="40"/>
  <c r="AB63" i="40"/>
  <c r="AB65" i="40"/>
  <c r="V99" i="40"/>
  <c r="V87" i="40" s="1"/>
  <c r="V86" i="40" s="1"/>
  <c r="AH35" i="40"/>
  <c r="AH63" i="40"/>
  <c r="AH65" i="40"/>
  <c r="AJ87" i="40"/>
  <c r="AJ86" i="40" s="1"/>
  <c r="AN99" i="40"/>
  <c r="AN87" i="40" s="1"/>
  <c r="AN86" i="40" s="1"/>
  <c r="Z31" i="40"/>
  <c r="AR87" i="40"/>
  <c r="AR86" i="40" s="1"/>
  <c r="AN65" i="40"/>
  <c r="AN63" i="40"/>
  <c r="AN41" i="40"/>
  <c r="AN35" i="40"/>
  <c r="AQ31" i="40"/>
  <c r="AQ6" i="40" s="1"/>
  <c r="AO6" i="40"/>
  <c r="AO126" i="40" s="1"/>
  <c r="AO132" i="40" s="1"/>
  <c r="AH41" i="40"/>
  <c r="AK87" i="40"/>
  <c r="AK86" i="40" s="1"/>
  <c r="AH70" i="40"/>
  <c r="AK31" i="40"/>
  <c r="AB99" i="40"/>
  <c r="AB87" i="40" s="1"/>
  <c r="AB86" i="40" s="1"/>
  <c r="AE87" i="40"/>
  <c r="AE86" i="40" s="1"/>
  <c r="AB41" i="40"/>
  <c r="AD31" i="40"/>
  <c r="AE31" i="40"/>
  <c r="AD7" i="40"/>
  <c r="X87" i="40"/>
  <c r="X86" i="40" s="1"/>
  <c r="V35" i="40"/>
  <c r="Z7" i="40"/>
  <c r="Z6" i="40" s="1"/>
  <c r="AI87" i="40"/>
  <c r="AI86" i="40" s="1"/>
  <c r="AC87" i="40"/>
  <c r="AC86" i="40" s="1"/>
  <c r="AC7" i="40"/>
  <c r="W7" i="40"/>
  <c r="AI31" i="40"/>
  <c r="AI7" i="40"/>
  <c r="Y7" i="40"/>
  <c r="X6" i="40"/>
  <c r="AR6" i="40"/>
  <c r="AP31" i="40"/>
  <c r="AP6" i="40" s="1"/>
  <c r="AP126" i="40" s="1"/>
  <c r="AP132" i="40" s="1"/>
  <c r="AJ31" i="40"/>
  <c r="W87" i="40"/>
  <c r="W86" i="40" s="1"/>
  <c r="V63" i="40"/>
  <c r="W31" i="40"/>
  <c r="AB31" i="40" l="1"/>
  <c r="AQ126" i="40"/>
  <c r="AQ132" i="40" s="1"/>
  <c r="Z126" i="40"/>
  <c r="Z132" i="40" s="1"/>
  <c r="AR126" i="40"/>
  <c r="AR132" i="40" s="1"/>
  <c r="AE6" i="40"/>
  <c r="AE126" i="40" s="1"/>
  <c r="AE132" i="40" s="1"/>
  <c r="AC6" i="40"/>
  <c r="AC126" i="40" s="1"/>
  <c r="AC132" i="40" s="1"/>
  <c r="AL126" i="40"/>
  <c r="AL132" i="40" s="1"/>
  <c r="AK6" i="40"/>
  <c r="AK126" i="40" s="1"/>
  <c r="AK132" i="40" s="1"/>
  <c r="W6" i="40"/>
  <c r="W126" i="40" s="1"/>
  <c r="W132" i="40" s="1"/>
  <c r="AI6" i="40"/>
  <c r="AI126" i="40" s="1"/>
  <c r="AI132" i="40" s="1"/>
  <c r="AN31" i="40"/>
  <c r="AJ6" i="40"/>
  <c r="AJ126" i="40" s="1"/>
  <c r="AJ132" i="40" s="1"/>
  <c r="AH31" i="40"/>
  <c r="AH6" i="40" s="1"/>
  <c r="AH126" i="40" s="1"/>
  <c r="AD6" i="40"/>
  <c r="AD126" i="40" s="1"/>
  <c r="AD132" i="40" s="1"/>
  <c r="X126" i="40"/>
  <c r="X132" i="40" s="1"/>
  <c r="BB132" i="40" l="1"/>
  <c r="BB131" i="40" s="1"/>
  <c r="AB6" i="40"/>
  <c r="AB126" i="40" s="1"/>
  <c r="AH132" i="40"/>
  <c r="AB132" i="40"/>
  <c r="AN132" i="40"/>
  <c r="BE132" i="40"/>
  <c r="AE127" i="40"/>
  <c r="BC132" i="40"/>
  <c r="AR127" i="40"/>
  <c r="AP127" i="40"/>
  <c r="AQ127" i="40"/>
  <c r="AN6" i="40"/>
  <c r="AN126" i="40" s="1"/>
  <c r="BB145" i="40" l="1"/>
  <c r="BC145" i="40"/>
  <c r="AV145" i="40" s="1"/>
  <c r="BC131" i="40"/>
  <c r="E42" i="47"/>
  <c r="E42" i="45"/>
  <c r="L139" i="40"/>
  <c r="M139" i="40"/>
  <c r="N139" i="40"/>
  <c r="M140" i="40"/>
  <c r="N140" i="40"/>
  <c r="L141" i="40"/>
  <c r="M141" i="40"/>
  <c r="S141" i="40" s="1"/>
  <c r="N141" i="40"/>
  <c r="L142" i="40"/>
  <c r="M142" i="40"/>
  <c r="K140" i="40"/>
  <c r="K141" i="40"/>
  <c r="K142" i="40"/>
  <c r="J135" i="40"/>
  <c r="P135" i="40" s="1"/>
  <c r="J136" i="40"/>
  <c r="P136" i="40" s="1"/>
  <c r="J137" i="40"/>
  <c r="P137" i="40" s="1"/>
  <c r="J139" i="40"/>
  <c r="P139" i="40" s="1"/>
  <c r="J140" i="40"/>
  <c r="P140" i="40" s="1"/>
  <c r="J141" i="40"/>
  <c r="P141" i="40" s="1"/>
  <c r="J142" i="40"/>
  <c r="P142" i="40" s="1"/>
  <c r="J134" i="40"/>
  <c r="P134" i="40" s="1"/>
  <c r="N137" i="40"/>
  <c r="M137" i="40"/>
  <c r="L137" i="40"/>
  <c r="K137" i="40"/>
  <c r="N136" i="40"/>
  <c r="M136" i="40"/>
  <c r="L136" i="40"/>
  <c r="K136" i="40"/>
  <c r="N135" i="40"/>
  <c r="M135" i="40"/>
  <c r="L135" i="40"/>
  <c r="K135" i="40"/>
  <c r="N134" i="40"/>
  <c r="M134" i="40"/>
  <c r="L134" i="40"/>
  <c r="K134" i="40"/>
  <c r="L131" i="40"/>
  <c r="L127" i="40"/>
  <c r="K127" i="40"/>
  <c r="N125" i="40"/>
  <c r="L125" i="40"/>
  <c r="K125" i="40"/>
  <c r="J125" i="40"/>
  <c r="P125" i="40" s="1"/>
  <c r="N124" i="40"/>
  <c r="T124" i="40" s="1"/>
  <c r="BK124" i="40" s="1"/>
  <c r="M124" i="40"/>
  <c r="S124" i="40" s="1"/>
  <c r="BJ124" i="40" s="1"/>
  <c r="L124" i="40"/>
  <c r="R124" i="40" s="1"/>
  <c r="BI124" i="40" s="1"/>
  <c r="K124" i="40"/>
  <c r="Q124" i="40" s="1"/>
  <c r="BH124" i="40" s="1"/>
  <c r="J124" i="40"/>
  <c r="P124" i="40" s="1"/>
  <c r="BG124" i="40" s="1"/>
  <c r="N123" i="40"/>
  <c r="T123" i="40" s="1"/>
  <c r="BK123" i="40" s="1"/>
  <c r="M123" i="40"/>
  <c r="S123" i="40" s="1"/>
  <c r="BJ123" i="40" s="1"/>
  <c r="L123" i="40"/>
  <c r="R123" i="40" s="1"/>
  <c r="BI123" i="40" s="1"/>
  <c r="K123" i="40"/>
  <c r="Q123" i="40" s="1"/>
  <c r="BH123" i="40" s="1"/>
  <c r="J123" i="40"/>
  <c r="P123" i="40" s="1"/>
  <c r="BG123" i="40" s="1"/>
  <c r="N122" i="40"/>
  <c r="L122" i="40"/>
  <c r="K122" i="40"/>
  <c r="J122" i="40"/>
  <c r="N121" i="40"/>
  <c r="L121" i="40"/>
  <c r="K121" i="40"/>
  <c r="J121" i="40"/>
  <c r="N120" i="40"/>
  <c r="L120" i="40"/>
  <c r="K120" i="40"/>
  <c r="J120" i="40"/>
  <c r="N119" i="40"/>
  <c r="L119" i="40"/>
  <c r="K119" i="40"/>
  <c r="J119" i="40"/>
  <c r="N118" i="40"/>
  <c r="L118" i="40"/>
  <c r="K118" i="40"/>
  <c r="J118" i="40"/>
  <c r="N117" i="40"/>
  <c r="L117" i="40"/>
  <c r="K117" i="40"/>
  <c r="J117" i="40"/>
  <c r="N116" i="40"/>
  <c r="L116" i="40"/>
  <c r="K116" i="40"/>
  <c r="J116" i="40"/>
  <c r="N115" i="40"/>
  <c r="L115" i="40"/>
  <c r="K115" i="40"/>
  <c r="J115" i="40"/>
  <c r="N114" i="40"/>
  <c r="L114" i="40"/>
  <c r="K114" i="40"/>
  <c r="J114" i="40"/>
  <c r="N113" i="40"/>
  <c r="L113" i="40"/>
  <c r="K113" i="40"/>
  <c r="J113" i="40"/>
  <c r="N112" i="40"/>
  <c r="L112" i="40"/>
  <c r="K112" i="40"/>
  <c r="J112" i="40"/>
  <c r="N111" i="40"/>
  <c r="L111" i="40"/>
  <c r="K111" i="40"/>
  <c r="J111" i="40"/>
  <c r="N110" i="40"/>
  <c r="L110" i="40"/>
  <c r="K110" i="40"/>
  <c r="J110" i="40"/>
  <c r="N109" i="40"/>
  <c r="L109" i="40"/>
  <c r="K109" i="40"/>
  <c r="J109" i="40"/>
  <c r="N108" i="40"/>
  <c r="L108" i="40"/>
  <c r="K108" i="40"/>
  <c r="J108" i="40"/>
  <c r="N106" i="40"/>
  <c r="L106" i="40"/>
  <c r="K106" i="40"/>
  <c r="J106" i="40"/>
  <c r="N105" i="40"/>
  <c r="L105" i="40"/>
  <c r="K105" i="40"/>
  <c r="J105" i="40"/>
  <c r="N103" i="40"/>
  <c r="L103" i="40"/>
  <c r="K103" i="40"/>
  <c r="J103" i="40"/>
  <c r="P103" i="40" s="1"/>
  <c r="N102" i="40"/>
  <c r="T102" i="40" s="1"/>
  <c r="M102" i="40"/>
  <c r="S102" i="40" s="1"/>
  <c r="L102" i="40"/>
  <c r="R102" i="40" s="1"/>
  <c r="K102" i="40"/>
  <c r="Q102" i="40" s="1"/>
  <c r="J102" i="40"/>
  <c r="P102" i="40" s="1"/>
  <c r="N101" i="40"/>
  <c r="L101" i="40"/>
  <c r="K101" i="40"/>
  <c r="J101" i="40"/>
  <c r="N100" i="40"/>
  <c r="L100" i="40"/>
  <c r="K100" i="40"/>
  <c r="J100" i="40"/>
  <c r="N98" i="40"/>
  <c r="T98" i="40" s="1"/>
  <c r="M98" i="40"/>
  <c r="S98" i="40" s="1"/>
  <c r="L98" i="40"/>
  <c r="R98" i="40" s="1"/>
  <c r="K98" i="40"/>
  <c r="Q98" i="40" s="1"/>
  <c r="N97" i="40"/>
  <c r="L97" i="40"/>
  <c r="K97" i="40"/>
  <c r="J97" i="40"/>
  <c r="P97" i="40" s="1"/>
  <c r="N96" i="40"/>
  <c r="L96" i="40"/>
  <c r="K96" i="40"/>
  <c r="J96" i="40"/>
  <c r="N95" i="40"/>
  <c r="T95" i="40" s="1"/>
  <c r="L95" i="40"/>
  <c r="R95" i="40" s="1"/>
  <c r="K95" i="40"/>
  <c r="Q95" i="40" s="1"/>
  <c r="J95" i="40"/>
  <c r="P95" i="40" s="1"/>
  <c r="N94" i="40"/>
  <c r="L94" i="40"/>
  <c r="K94" i="40"/>
  <c r="J94" i="40"/>
  <c r="N93" i="40"/>
  <c r="L93" i="40"/>
  <c r="K93" i="40"/>
  <c r="J93" i="40"/>
  <c r="N91" i="40"/>
  <c r="L91" i="40"/>
  <c r="K91" i="40"/>
  <c r="J91" i="40"/>
  <c r="P91" i="40" s="1"/>
  <c r="N90" i="40"/>
  <c r="L90" i="40"/>
  <c r="K90" i="40"/>
  <c r="J90" i="40"/>
  <c r="N89" i="40"/>
  <c r="L89" i="40"/>
  <c r="K89" i="40"/>
  <c r="J89" i="40"/>
  <c r="N88" i="40"/>
  <c r="L88" i="40"/>
  <c r="K88" i="40"/>
  <c r="J88" i="40"/>
  <c r="P88" i="40" s="1"/>
  <c r="N85" i="40"/>
  <c r="L85" i="40"/>
  <c r="K85" i="40"/>
  <c r="J85" i="40"/>
  <c r="N84" i="40"/>
  <c r="L84" i="40"/>
  <c r="K84" i="40"/>
  <c r="J84" i="40"/>
  <c r="N83" i="40"/>
  <c r="L83" i="40"/>
  <c r="K83" i="40"/>
  <c r="J83" i="40"/>
  <c r="N82" i="40"/>
  <c r="L82" i="40"/>
  <c r="K82" i="40"/>
  <c r="J82" i="40"/>
  <c r="N81" i="40"/>
  <c r="L81" i="40"/>
  <c r="K81" i="40"/>
  <c r="J81" i="40"/>
  <c r="N80" i="40"/>
  <c r="L80" i="40"/>
  <c r="K80" i="40"/>
  <c r="J80" i="40"/>
  <c r="N79" i="40"/>
  <c r="T79" i="40" s="1"/>
  <c r="BK79" i="40" s="1"/>
  <c r="L79" i="40"/>
  <c r="R79" i="40" s="1"/>
  <c r="BI79" i="40" s="1"/>
  <c r="K79" i="40"/>
  <c r="Q79" i="40" s="1"/>
  <c r="BH79" i="40" s="1"/>
  <c r="J79" i="40"/>
  <c r="P79" i="40" s="1"/>
  <c r="BG79" i="40" s="1"/>
  <c r="N78" i="40"/>
  <c r="L78" i="40"/>
  <c r="K78" i="40"/>
  <c r="J78" i="40"/>
  <c r="N77" i="40"/>
  <c r="L77" i="40"/>
  <c r="K77" i="40"/>
  <c r="J77" i="40"/>
  <c r="N76" i="40"/>
  <c r="L76" i="40"/>
  <c r="K76" i="40"/>
  <c r="J76" i="40"/>
  <c r="N75" i="40"/>
  <c r="L75" i="40"/>
  <c r="K75" i="40"/>
  <c r="J75" i="40"/>
  <c r="N74" i="40"/>
  <c r="L74" i="40"/>
  <c r="K74" i="40"/>
  <c r="J74" i="40"/>
  <c r="N73" i="40"/>
  <c r="L73" i="40"/>
  <c r="K73" i="40"/>
  <c r="J73" i="40"/>
  <c r="N72" i="40"/>
  <c r="L72" i="40"/>
  <c r="K72" i="40"/>
  <c r="J72" i="40"/>
  <c r="N71" i="40"/>
  <c r="L71" i="40"/>
  <c r="K71" i="40"/>
  <c r="J71" i="40"/>
  <c r="J70" i="40"/>
  <c r="P70" i="40" s="1"/>
  <c r="N69" i="40"/>
  <c r="L69" i="40"/>
  <c r="K69" i="40"/>
  <c r="J69" i="40"/>
  <c r="N68" i="40"/>
  <c r="L68" i="40"/>
  <c r="K68" i="40"/>
  <c r="J68" i="40"/>
  <c r="N67" i="40"/>
  <c r="L67" i="40"/>
  <c r="K67" i="40"/>
  <c r="J67" i="40"/>
  <c r="N66" i="40"/>
  <c r="L66" i="40"/>
  <c r="K66" i="40"/>
  <c r="J66" i="40"/>
  <c r="N64" i="40"/>
  <c r="L64" i="40"/>
  <c r="K64" i="40"/>
  <c r="J64" i="40"/>
  <c r="N62" i="40"/>
  <c r="T62" i="40" s="1"/>
  <c r="L62" i="40"/>
  <c r="R62" i="40" s="1"/>
  <c r="K62" i="40"/>
  <c r="Q62" i="40" s="1"/>
  <c r="J62" i="40"/>
  <c r="N61" i="40"/>
  <c r="T61" i="40" s="1"/>
  <c r="L61" i="40"/>
  <c r="R61" i="40" s="1"/>
  <c r="K61" i="40"/>
  <c r="Q61" i="40" s="1"/>
  <c r="J61" i="40"/>
  <c r="P61" i="40" s="1"/>
  <c r="N60" i="40"/>
  <c r="L60" i="40"/>
  <c r="K60" i="40"/>
  <c r="J60" i="40"/>
  <c r="N59" i="40"/>
  <c r="T59" i="40" s="1"/>
  <c r="M59" i="40"/>
  <c r="S59" i="40" s="1"/>
  <c r="L59" i="40"/>
  <c r="R59" i="40" s="1"/>
  <c r="K59" i="40"/>
  <c r="Q59" i="40" s="1"/>
  <c r="J59" i="40"/>
  <c r="P59" i="40" s="1"/>
  <c r="N58" i="40"/>
  <c r="L58" i="40"/>
  <c r="K58" i="40"/>
  <c r="J58" i="40"/>
  <c r="N57" i="40"/>
  <c r="L57" i="40"/>
  <c r="K57" i="40"/>
  <c r="J57" i="40"/>
  <c r="N56" i="40"/>
  <c r="L56" i="40"/>
  <c r="K56" i="40"/>
  <c r="J56" i="40"/>
  <c r="N55" i="40"/>
  <c r="L55" i="40"/>
  <c r="K55" i="40"/>
  <c r="J55" i="40"/>
  <c r="N54" i="40"/>
  <c r="L54" i="40"/>
  <c r="K54" i="40"/>
  <c r="J54" i="40"/>
  <c r="N53" i="40"/>
  <c r="T53" i="40" s="1"/>
  <c r="L53" i="40"/>
  <c r="K53" i="40"/>
  <c r="J53" i="40"/>
  <c r="N52" i="40"/>
  <c r="L52" i="40"/>
  <c r="K52" i="40"/>
  <c r="J52" i="40"/>
  <c r="N51" i="40"/>
  <c r="L51" i="40"/>
  <c r="K51" i="40"/>
  <c r="J51" i="40"/>
  <c r="N50" i="40"/>
  <c r="L50" i="40"/>
  <c r="K50" i="40"/>
  <c r="J50" i="40"/>
  <c r="N49" i="40"/>
  <c r="L49" i="40"/>
  <c r="K49" i="40"/>
  <c r="J49" i="40"/>
  <c r="N48" i="40"/>
  <c r="T48" i="40" s="1"/>
  <c r="L48" i="40"/>
  <c r="R48" i="40" s="1"/>
  <c r="K48" i="40"/>
  <c r="Q48" i="40" s="1"/>
  <c r="J48" i="40"/>
  <c r="N47" i="40"/>
  <c r="T47" i="40" s="1"/>
  <c r="L47" i="40"/>
  <c r="R47" i="40" s="1"/>
  <c r="K47" i="40"/>
  <c r="Q47" i="40" s="1"/>
  <c r="J47" i="40"/>
  <c r="N46" i="40"/>
  <c r="T46" i="40" s="1"/>
  <c r="L46" i="40"/>
  <c r="R46" i="40" s="1"/>
  <c r="K46" i="40"/>
  <c r="Q46" i="40" s="1"/>
  <c r="J46" i="40"/>
  <c r="N45" i="40"/>
  <c r="T45" i="40" s="1"/>
  <c r="L45" i="40"/>
  <c r="R45" i="40" s="1"/>
  <c r="K45" i="40"/>
  <c r="Q45" i="40" s="1"/>
  <c r="J45" i="40"/>
  <c r="N44" i="40"/>
  <c r="L44" i="40"/>
  <c r="K44" i="40"/>
  <c r="J44" i="40"/>
  <c r="N43" i="40"/>
  <c r="T43" i="40" s="1"/>
  <c r="M43" i="40"/>
  <c r="S43" i="40" s="1"/>
  <c r="L43" i="40"/>
  <c r="R43" i="40" s="1"/>
  <c r="K43" i="40"/>
  <c r="Q43" i="40" s="1"/>
  <c r="J43" i="40"/>
  <c r="P43" i="40" s="1"/>
  <c r="N42" i="40"/>
  <c r="L42" i="40"/>
  <c r="K42" i="40"/>
  <c r="J42" i="40"/>
  <c r="J41" i="40"/>
  <c r="P41" i="40" s="1"/>
  <c r="N40" i="40"/>
  <c r="L40" i="40"/>
  <c r="K40" i="40"/>
  <c r="J40" i="40"/>
  <c r="N39" i="40"/>
  <c r="L39" i="40"/>
  <c r="K39" i="40"/>
  <c r="J39" i="40"/>
  <c r="N38" i="40"/>
  <c r="L38" i="40"/>
  <c r="K38" i="40"/>
  <c r="J38" i="40"/>
  <c r="N37" i="40"/>
  <c r="L37" i="40"/>
  <c r="K37" i="40"/>
  <c r="J37" i="40"/>
  <c r="N36" i="40"/>
  <c r="L36" i="40"/>
  <c r="K36" i="40"/>
  <c r="J36" i="40"/>
  <c r="N34" i="40"/>
  <c r="L34" i="40"/>
  <c r="K34" i="40"/>
  <c r="J34" i="40"/>
  <c r="P34" i="40" s="1"/>
  <c r="N33" i="40"/>
  <c r="L33" i="40"/>
  <c r="K33" i="40"/>
  <c r="J33" i="40"/>
  <c r="P33" i="40" s="1"/>
  <c r="N32" i="40"/>
  <c r="L32" i="40"/>
  <c r="K32" i="40"/>
  <c r="J32" i="40"/>
  <c r="P32" i="40" s="1"/>
  <c r="J31" i="40"/>
  <c r="N30" i="40"/>
  <c r="T30" i="40" s="1"/>
  <c r="M30" i="40"/>
  <c r="S30" i="40" s="1"/>
  <c r="L30" i="40"/>
  <c r="R30" i="40" s="1"/>
  <c r="K30" i="40"/>
  <c r="Q30" i="40" s="1"/>
  <c r="J30" i="40"/>
  <c r="P30" i="40" s="1"/>
  <c r="N29" i="40"/>
  <c r="L29" i="40"/>
  <c r="K29" i="40"/>
  <c r="J29" i="40"/>
  <c r="P29" i="40" s="1"/>
  <c r="N28" i="40"/>
  <c r="L28" i="40"/>
  <c r="K28" i="40"/>
  <c r="J28" i="40"/>
  <c r="N27" i="40"/>
  <c r="L27" i="40"/>
  <c r="R27" i="40" s="1"/>
  <c r="K27" i="40"/>
  <c r="Q27" i="40" s="1"/>
  <c r="J27" i="40"/>
  <c r="N26" i="40"/>
  <c r="L26" i="40"/>
  <c r="K26" i="40"/>
  <c r="J26" i="40"/>
  <c r="N25" i="40"/>
  <c r="L25" i="40"/>
  <c r="K25" i="40"/>
  <c r="J25" i="40"/>
  <c r="N23" i="40"/>
  <c r="T23" i="40" s="1"/>
  <c r="L23" i="40"/>
  <c r="R23" i="40" s="1"/>
  <c r="K23" i="40"/>
  <c r="Q23" i="40" s="1"/>
  <c r="J23" i="40"/>
  <c r="P23" i="40" s="1"/>
  <c r="N22" i="40"/>
  <c r="L22" i="40"/>
  <c r="K22" i="40"/>
  <c r="J22" i="40"/>
  <c r="N21" i="40"/>
  <c r="L21" i="40"/>
  <c r="K21" i="40"/>
  <c r="J21" i="40"/>
  <c r="L20" i="40"/>
  <c r="K20" i="40"/>
  <c r="N19" i="40"/>
  <c r="L19" i="40"/>
  <c r="K19" i="40"/>
  <c r="J19" i="40"/>
  <c r="N18" i="40"/>
  <c r="T18" i="40" s="1"/>
  <c r="L18" i="40"/>
  <c r="R18" i="40" s="1"/>
  <c r="K18" i="40"/>
  <c r="J18" i="40"/>
  <c r="N17" i="40"/>
  <c r="L17" i="40"/>
  <c r="K17" i="40"/>
  <c r="J17" i="40"/>
  <c r="N16" i="40"/>
  <c r="L16" i="40"/>
  <c r="K16" i="40"/>
  <c r="J16" i="40"/>
  <c r="N15" i="40"/>
  <c r="L15" i="40"/>
  <c r="K15" i="40"/>
  <c r="J15" i="40"/>
  <c r="N14" i="40"/>
  <c r="L14" i="40"/>
  <c r="K14" i="40"/>
  <c r="J14" i="40"/>
  <c r="N13" i="40"/>
  <c r="T13" i="40" s="1"/>
  <c r="L13" i="40"/>
  <c r="R13" i="40" s="1"/>
  <c r="K13" i="40"/>
  <c r="Q13" i="40" s="1"/>
  <c r="J13" i="40"/>
  <c r="N12" i="40"/>
  <c r="L12" i="40"/>
  <c r="R12" i="40" s="1"/>
  <c r="K12" i="40"/>
  <c r="Q12" i="40" s="1"/>
  <c r="J12" i="40"/>
  <c r="N11" i="40"/>
  <c r="T11" i="40" s="1"/>
  <c r="L11" i="40"/>
  <c r="K11" i="40"/>
  <c r="J11" i="40"/>
  <c r="N10" i="40"/>
  <c r="T10" i="40" s="1"/>
  <c r="L10" i="40"/>
  <c r="K10" i="40"/>
  <c r="J10" i="40"/>
  <c r="N9" i="40"/>
  <c r="L9" i="40"/>
  <c r="K9" i="40"/>
  <c r="L8" i="40"/>
  <c r="K8" i="40"/>
  <c r="Q10" i="40" l="1"/>
  <c r="BH10" i="40" s="1"/>
  <c r="Q14" i="40"/>
  <c r="BH14" i="40" s="1"/>
  <c r="Q16" i="40"/>
  <c r="BH16" i="40" s="1"/>
  <c r="Q18" i="40"/>
  <c r="BH18" i="40" s="1"/>
  <c r="R20" i="40"/>
  <c r="BK23" i="40"/>
  <c r="T25" i="40"/>
  <c r="BK25" i="40" s="1"/>
  <c r="T27" i="40"/>
  <c r="BK27" i="40" s="1"/>
  <c r="Q33" i="40"/>
  <c r="Q34" i="40"/>
  <c r="Q37" i="40"/>
  <c r="BH37" i="40" s="1"/>
  <c r="Q39" i="40"/>
  <c r="BH39" i="40" s="1"/>
  <c r="T49" i="40"/>
  <c r="BK49" i="40" s="1"/>
  <c r="T51" i="40"/>
  <c r="BK51" i="40" s="1"/>
  <c r="T52" i="40"/>
  <c r="BK52" i="40" s="1"/>
  <c r="T54" i="40"/>
  <c r="BK54" i="40" s="1"/>
  <c r="T56" i="40"/>
  <c r="BK56" i="40" s="1"/>
  <c r="T58" i="40"/>
  <c r="BK58" i="40" s="1"/>
  <c r="R60" i="40"/>
  <c r="BI60" i="40" s="1"/>
  <c r="R66" i="40"/>
  <c r="BI66" i="40" s="1"/>
  <c r="R68" i="40"/>
  <c r="BI68" i="40" s="1"/>
  <c r="Q71" i="40"/>
  <c r="BH71" i="40" s="1"/>
  <c r="Q73" i="40"/>
  <c r="BH73" i="40" s="1"/>
  <c r="Q76" i="40"/>
  <c r="BH76" i="40" s="1"/>
  <c r="Q81" i="40"/>
  <c r="BH81" i="40" s="1"/>
  <c r="Q83" i="40"/>
  <c r="BH83" i="40" s="1"/>
  <c r="Q88" i="40"/>
  <c r="Q90" i="40"/>
  <c r="BH90" i="40" s="1"/>
  <c r="Q93" i="40"/>
  <c r="BH93" i="40" s="1"/>
  <c r="Q94" i="40"/>
  <c r="BH94" i="40" s="1"/>
  <c r="Q96" i="40"/>
  <c r="BH96" i="40" s="1"/>
  <c r="Q97" i="40"/>
  <c r="Q100" i="40"/>
  <c r="BH100" i="40" s="1"/>
  <c r="P105" i="40"/>
  <c r="BG105" i="40" s="1"/>
  <c r="P108" i="40"/>
  <c r="BG108" i="40" s="1"/>
  <c r="P110" i="40"/>
  <c r="BG110" i="40" s="1"/>
  <c r="P112" i="40"/>
  <c r="BG112" i="40" s="1"/>
  <c r="P114" i="40"/>
  <c r="BG114" i="40" s="1"/>
  <c r="P116" i="40"/>
  <c r="BG116" i="40" s="1"/>
  <c r="P118" i="40"/>
  <c r="BG118" i="40" s="1"/>
  <c r="P120" i="40"/>
  <c r="BG120" i="40" s="1"/>
  <c r="P122" i="40"/>
  <c r="BG122" i="40" s="1"/>
  <c r="R125" i="40"/>
  <c r="R9" i="40"/>
  <c r="BI9" i="40" s="1"/>
  <c r="R10" i="40"/>
  <c r="BI10" i="40" s="1"/>
  <c r="R11" i="40"/>
  <c r="BI11" i="40" s="1"/>
  <c r="R14" i="40"/>
  <c r="BI14" i="40" s="1"/>
  <c r="R15" i="40"/>
  <c r="BI15" i="40" s="1"/>
  <c r="R16" i="40"/>
  <c r="BI16" i="40" s="1"/>
  <c r="P26" i="40"/>
  <c r="BG26" i="40" s="1"/>
  <c r="R32" i="40"/>
  <c r="R34" i="40"/>
  <c r="R37" i="40"/>
  <c r="BI37" i="40" s="1"/>
  <c r="R39" i="40"/>
  <c r="BI39" i="40" s="1"/>
  <c r="P45" i="40"/>
  <c r="BG45" i="40" s="1"/>
  <c r="P47" i="40"/>
  <c r="BG47" i="40" s="1"/>
  <c r="P49" i="40"/>
  <c r="BG49" i="40" s="1"/>
  <c r="P51" i="40"/>
  <c r="BG51" i="40" s="1"/>
  <c r="P53" i="40"/>
  <c r="BG53" i="40" s="1"/>
  <c r="P55" i="40"/>
  <c r="BG55" i="40" s="1"/>
  <c r="P58" i="40"/>
  <c r="BG58" i="40" s="1"/>
  <c r="F22" i="47"/>
  <c r="G22" i="47"/>
  <c r="T64" i="40"/>
  <c r="BK64" i="40" s="1"/>
  <c r="T67" i="40"/>
  <c r="BK67" i="40" s="1"/>
  <c r="T69" i="40"/>
  <c r="BK69" i="40" s="1"/>
  <c r="R72" i="40"/>
  <c r="BI72" i="40" s="1"/>
  <c r="R74" i="40"/>
  <c r="BI74" i="40" s="1"/>
  <c r="R76" i="40"/>
  <c r="BI76" i="40" s="1"/>
  <c r="R77" i="40"/>
  <c r="BI77" i="40" s="1"/>
  <c r="R78" i="40"/>
  <c r="BI78" i="40" s="1"/>
  <c r="R80" i="40"/>
  <c r="BI80" i="40" s="1"/>
  <c r="R82" i="40"/>
  <c r="BI82" i="40" s="1"/>
  <c r="R84" i="40"/>
  <c r="BI84" i="40" s="1"/>
  <c r="R88" i="40"/>
  <c r="R90" i="40"/>
  <c r="BI90" i="40" s="1"/>
  <c r="R93" i="40"/>
  <c r="BI93" i="40" s="1"/>
  <c r="R94" i="40"/>
  <c r="BI94" i="40" s="1"/>
  <c r="Q106" i="40"/>
  <c r="BH106" i="40" s="1"/>
  <c r="Q109" i="40"/>
  <c r="BH109" i="40" s="1"/>
  <c r="Q111" i="40"/>
  <c r="BH111" i="40" s="1"/>
  <c r="Q113" i="40"/>
  <c r="BH113" i="40" s="1"/>
  <c r="Q115" i="40"/>
  <c r="BH115" i="40" s="1"/>
  <c r="Q117" i="40"/>
  <c r="BH117" i="40" s="1"/>
  <c r="Q119" i="40"/>
  <c r="BH119" i="40" s="1"/>
  <c r="Q120" i="40"/>
  <c r="BH120" i="40" s="1"/>
  <c r="Q122" i="40"/>
  <c r="BH122" i="40" s="1"/>
  <c r="T125" i="40"/>
  <c r="Q8" i="40"/>
  <c r="T9" i="40"/>
  <c r="BK9" i="40" s="1"/>
  <c r="T12" i="40"/>
  <c r="BK12" i="40" s="1"/>
  <c r="T14" i="40"/>
  <c r="BK14" i="40" s="1"/>
  <c r="T15" i="40"/>
  <c r="BK15" i="40" s="1"/>
  <c r="T16" i="40"/>
  <c r="BK16" i="40" s="1"/>
  <c r="T17" i="40"/>
  <c r="BK17" i="40" s="1"/>
  <c r="T19" i="40"/>
  <c r="BK19" i="40" s="1"/>
  <c r="Q21" i="40"/>
  <c r="BH21" i="40" s="1"/>
  <c r="Q22" i="40"/>
  <c r="BH22" i="40" s="1"/>
  <c r="BH23" i="40"/>
  <c r="Q25" i="40"/>
  <c r="BH25" i="40" s="1"/>
  <c r="Q26" i="40"/>
  <c r="BH26" i="40" s="1"/>
  <c r="Q28" i="40"/>
  <c r="BH28" i="40" s="1"/>
  <c r="Q29" i="40"/>
  <c r="P31" i="40"/>
  <c r="BG31" i="40" s="1"/>
  <c r="T32" i="40"/>
  <c r="T33" i="40"/>
  <c r="T34" i="40"/>
  <c r="T36" i="40"/>
  <c r="BK36" i="40" s="1"/>
  <c r="T37" i="40"/>
  <c r="BK37" i="40" s="1"/>
  <c r="T38" i="40"/>
  <c r="BK38" i="40" s="1"/>
  <c r="T39" i="40"/>
  <c r="BK39" i="40" s="1"/>
  <c r="T40" i="40"/>
  <c r="BK40" i="40" s="1"/>
  <c r="R42" i="40"/>
  <c r="BI42" i="40" s="1"/>
  <c r="Q44" i="40"/>
  <c r="BH44" i="40" s="1"/>
  <c r="Q49" i="40"/>
  <c r="BH49" i="40" s="1"/>
  <c r="Q50" i="40"/>
  <c r="BH50" i="40" s="1"/>
  <c r="Q51" i="40"/>
  <c r="BH51" i="40" s="1"/>
  <c r="Q52" i="40"/>
  <c r="BH52" i="40" s="1"/>
  <c r="Q53" i="40"/>
  <c r="BH53" i="40" s="1"/>
  <c r="Q54" i="40"/>
  <c r="BH54" i="40" s="1"/>
  <c r="Q55" i="40"/>
  <c r="BH55" i="40" s="1"/>
  <c r="Q56" i="40"/>
  <c r="BH56" i="40" s="1"/>
  <c r="Q57" i="40"/>
  <c r="BH57" i="40" s="1"/>
  <c r="Q58" i="40"/>
  <c r="BH58" i="40" s="1"/>
  <c r="P60" i="40"/>
  <c r="BG60" i="40" s="1"/>
  <c r="P62" i="40"/>
  <c r="BG62" i="40" s="1"/>
  <c r="P64" i="40"/>
  <c r="BG64" i="40" s="1"/>
  <c r="P66" i="40"/>
  <c r="BG66" i="40" s="1"/>
  <c r="P67" i="40"/>
  <c r="BG67" i="40" s="1"/>
  <c r="P68" i="40"/>
  <c r="BG68" i="40" s="1"/>
  <c r="P69" i="40"/>
  <c r="BG69" i="40" s="1"/>
  <c r="T71" i="40"/>
  <c r="BK71" i="40" s="1"/>
  <c r="T72" i="40"/>
  <c r="BK72" i="40" s="1"/>
  <c r="T73" i="40"/>
  <c r="BK73" i="40" s="1"/>
  <c r="T74" i="40"/>
  <c r="BK74" i="40" s="1"/>
  <c r="T75" i="40"/>
  <c r="BK75" i="40" s="1"/>
  <c r="T76" i="40"/>
  <c r="BK76" i="40" s="1"/>
  <c r="T77" i="40"/>
  <c r="BK77" i="40" s="1"/>
  <c r="T78" i="40"/>
  <c r="BK78" i="40" s="1"/>
  <c r="T80" i="40"/>
  <c r="BK80" i="40" s="1"/>
  <c r="T81" i="40"/>
  <c r="BK81" i="40" s="1"/>
  <c r="T82" i="40"/>
  <c r="BK82" i="40" s="1"/>
  <c r="T83" i="40"/>
  <c r="BK83" i="40" s="1"/>
  <c r="T84" i="40"/>
  <c r="BK84" i="40" s="1"/>
  <c r="T85" i="40"/>
  <c r="BK85" i="40" s="1"/>
  <c r="T88" i="40"/>
  <c r="BK88" i="40" s="1"/>
  <c r="T89" i="40"/>
  <c r="BK89" i="40" s="1"/>
  <c r="T90" i="40"/>
  <c r="BK90" i="40" s="1"/>
  <c r="T91" i="40"/>
  <c r="T93" i="40"/>
  <c r="BK93" i="40" s="1"/>
  <c r="T94" i="40"/>
  <c r="BK94" i="40" s="1"/>
  <c r="T96" i="40"/>
  <c r="BK96" i="40" s="1"/>
  <c r="T97" i="40"/>
  <c r="T100" i="40"/>
  <c r="BK100" i="40" s="1"/>
  <c r="T101" i="40"/>
  <c r="BK101" i="40" s="1"/>
  <c r="R103" i="40"/>
  <c r="R105" i="40"/>
  <c r="BI105" i="40" s="1"/>
  <c r="R106" i="40"/>
  <c r="BI106" i="40" s="1"/>
  <c r="R108" i="40"/>
  <c r="BI108" i="40" s="1"/>
  <c r="R109" i="40"/>
  <c r="BI109" i="40" s="1"/>
  <c r="R110" i="40"/>
  <c r="BI110" i="40" s="1"/>
  <c r="R111" i="40"/>
  <c r="BI111" i="40" s="1"/>
  <c r="R112" i="40"/>
  <c r="BI112" i="40" s="1"/>
  <c r="R113" i="40"/>
  <c r="BI113" i="40" s="1"/>
  <c r="R114" i="40"/>
  <c r="BI114" i="40" s="1"/>
  <c r="R115" i="40"/>
  <c r="BI115" i="40" s="1"/>
  <c r="R116" i="40"/>
  <c r="BI116" i="40" s="1"/>
  <c r="R117" i="40"/>
  <c r="BI117" i="40" s="1"/>
  <c r="R118" i="40"/>
  <c r="BI118" i="40" s="1"/>
  <c r="R119" i="40"/>
  <c r="BI119" i="40" s="1"/>
  <c r="R120" i="40"/>
  <c r="BI120" i="40" s="1"/>
  <c r="R121" i="40"/>
  <c r="BI121" i="40" s="1"/>
  <c r="R122" i="40"/>
  <c r="BI122" i="40" s="1"/>
  <c r="Q127" i="40"/>
  <c r="R135" i="40"/>
  <c r="BI135" i="40" s="1"/>
  <c r="Q9" i="40"/>
  <c r="BH9" i="40" s="1"/>
  <c r="Q11" i="40"/>
  <c r="BH11" i="40" s="1"/>
  <c r="Q15" i="40"/>
  <c r="BH15" i="40" s="1"/>
  <c r="Q17" i="40"/>
  <c r="BH17" i="40" s="1"/>
  <c r="Q19" i="40"/>
  <c r="BH19" i="40" s="1"/>
  <c r="T21" i="40"/>
  <c r="BK21" i="40" s="1"/>
  <c r="T22" i="40"/>
  <c r="BK22" i="40" s="1"/>
  <c r="T26" i="40"/>
  <c r="BK26" i="40" s="1"/>
  <c r="T28" i="40"/>
  <c r="BK28" i="40" s="1"/>
  <c r="T29" i="40"/>
  <c r="Q32" i="40"/>
  <c r="Q36" i="40"/>
  <c r="BH36" i="40" s="1"/>
  <c r="Q38" i="40"/>
  <c r="BH38" i="40" s="1"/>
  <c r="Q40" i="40"/>
  <c r="BH40" i="40" s="1"/>
  <c r="P42" i="40"/>
  <c r="BG42" i="40" s="1"/>
  <c r="T44" i="40"/>
  <c r="BK44" i="40" s="1"/>
  <c r="T50" i="40"/>
  <c r="BK50" i="40" s="1"/>
  <c r="T55" i="40"/>
  <c r="BK55" i="40" s="1"/>
  <c r="T57" i="40"/>
  <c r="BK57" i="40" s="1"/>
  <c r="F22" i="45"/>
  <c r="R64" i="40"/>
  <c r="BI64" i="40" s="1"/>
  <c r="R67" i="40"/>
  <c r="BI67" i="40" s="1"/>
  <c r="R69" i="40"/>
  <c r="BI69" i="40" s="1"/>
  <c r="Q72" i="40"/>
  <c r="BH72" i="40" s="1"/>
  <c r="Q74" i="40"/>
  <c r="BH74" i="40" s="1"/>
  <c r="Q75" i="40"/>
  <c r="BH75" i="40" s="1"/>
  <c r="Q77" i="40"/>
  <c r="BH77" i="40" s="1"/>
  <c r="Q78" i="40"/>
  <c r="BH78" i="40" s="1"/>
  <c r="Q80" i="40"/>
  <c r="BH80" i="40" s="1"/>
  <c r="Q82" i="40"/>
  <c r="BH82" i="40" s="1"/>
  <c r="Q84" i="40"/>
  <c r="BH84" i="40" s="1"/>
  <c r="Q85" i="40"/>
  <c r="BH85" i="40" s="1"/>
  <c r="Q89" i="40"/>
  <c r="BH89" i="40" s="1"/>
  <c r="Q91" i="40"/>
  <c r="Q101" i="40"/>
  <c r="BH101" i="40" s="1"/>
  <c r="P106" i="40"/>
  <c r="BG106" i="40" s="1"/>
  <c r="P109" i="40"/>
  <c r="BG109" i="40" s="1"/>
  <c r="P111" i="40"/>
  <c r="BG111" i="40" s="1"/>
  <c r="P113" i="40"/>
  <c r="BG113" i="40" s="1"/>
  <c r="P115" i="40"/>
  <c r="BG115" i="40" s="1"/>
  <c r="P117" i="40"/>
  <c r="BG117" i="40" s="1"/>
  <c r="P119" i="40"/>
  <c r="BG119" i="40" s="1"/>
  <c r="P121" i="40"/>
  <c r="BG121" i="40" s="1"/>
  <c r="R131" i="40"/>
  <c r="T137" i="40"/>
  <c r="BK137" i="40" s="1"/>
  <c r="R17" i="40"/>
  <c r="BI17" i="40" s="1"/>
  <c r="R19" i="40"/>
  <c r="BI19" i="40" s="1"/>
  <c r="P21" i="40"/>
  <c r="BG21" i="40" s="1"/>
  <c r="P22" i="40"/>
  <c r="BG22" i="40" s="1"/>
  <c r="P25" i="40"/>
  <c r="BG25" i="40" s="1"/>
  <c r="P27" i="40"/>
  <c r="BG27" i="40" s="1"/>
  <c r="P28" i="40"/>
  <c r="BG28" i="40" s="1"/>
  <c r="R33" i="40"/>
  <c r="R36" i="40"/>
  <c r="BI36" i="40" s="1"/>
  <c r="R38" i="40"/>
  <c r="BI38" i="40" s="1"/>
  <c r="R40" i="40"/>
  <c r="BI40" i="40" s="1"/>
  <c r="Q42" i="40"/>
  <c r="BH42" i="40" s="1"/>
  <c r="P44" i="40"/>
  <c r="BG44" i="40" s="1"/>
  <c r="P46" i="40"/>
  <c r="BG46" i="40" s="1"/>
  <c r="P48" i="40"/>
  <c r="BG48" i="40" s="1"/>
  <c r="P50" i="40"/>
  <c r="BG50" i="40" s="1"/>
  <c r="P52" i="40"/>
  <c r="BG52" i="40" s="1"/>
  <c r="P54" i="40"/>
  <c r="BG54" i="40" s="1"/>
  <c r="P56" i="40"/>
  <c r="BG56" i="40" s="1"/>
  <c r="P57" i="40"/>
  <c r="BG57" i="40" s="1"/>
  <c r="T60" i="40"/>
  <c r="BK60" i="40" s="1"/>
  <c r="T66" i="40"/>
  <c r="BK66" i="40" s="1"/>
  <c r="T68" i="40"/>
  <c r="BK68" i="40" s="1"/>
  <c r="R71" i="40"/>
  <c r="BI71" i="40" s="1"/>
  <c r="R73" i="40"/>
  <c r="BI73" i="40" s="1"/>
  <c r="R75" i="40"/>
  <c r="BI75" i="40" s="1"/>
  <c r="R81" i="40"/>
  <c r="BI81" i="40" s="1"/>
  <c r="R83" i="40"/>
  <c r="BI83" i="40" s="1"/>
  <c r="R85" i="40"/>
  <c r="BI85" i="40" s="1"/>
  <c r="R89" i="40"/>
  <c r="BI89" i="40" s="1"/>
  <c r="R91" i="40"/>
  <c r="R96" i="40"/>
  <c r="BI96" i="40" s="1"/>
  <c r="R97" i="40"/>
  <c r="R100" i="40"/>
  <c r="BI100" i="40" s="1"/>
  <c r="R101" i="40"/>
  <c r="BI101" i="40" s="1"/>
  <c r="Q103" i="40"/>
  <c r="Q105" i="40"/>
  <c r="BH105" i="40" s="1"/>
  <c r="Q108" i="40"/>
  <c r="BH108" i="40" s="1"/>
  <c r="Q110" i="40"/>
  <c r="BH110" i="40" s="1"/>
  <c r="Q112" i="40"/>
  <c r="BH112" i="40" s="1"/>
  <c r="Q114" i="40"/>
  <c r="BH114" i="40" s="1"/>
  <c r="Q116" i="40"/>
  <c r="BH116" i="40" s="1"/>
  <c r="Q118" i="40"/>
  <c r="BH118" i="40" s="1"/>
  <c r="Q121" i="40"/>
  <c r="BH121" i="40" s="1"/>
  <c r="Q134" i="40"/>
  <c r="BH134" i="40" s="1"/>
  <c r="R8" i="40"/>
  <c r="P10" i="40"/>
  <c r="BG10" i="40" s="1"/>
  <c r="P11" i="40"/>
  <c r="BG11" i="40" s="1"/>
  <c r="P12" i="40"/>
  <c r="BG12" i="40" s="1"/>
  <c r="P13" i="40"/>
  <c r="BG13" i="40" s="1"/>
  <c r="P14" i="40"/>
  <c r="BG14" i="40" s="1"/>
  <c r="P15" i="40"/>
  <c r="BG15" i="40" s="1"/>
  <c r="P16" i="40"/>
  <c r="BG16" i="40" s="1"/>
  <c r="P17" i="40"/>
  <c r="BG17" i="40" s="1"/>
  <c r="P18" i="40"/>
  <c r="BG18" i="40" s="1"/>
  <c r="P19" i="40"/>
  <c r="BG19" i="40" s="1"/>
  <c r="Q20" i="40"/>
  <c r="R21" i="40"/>
  <c r="BI21" i="40" s="1"/>
  <c r="R22" i="40"/>
  <c r="BI22" i="40" s="1"/>
  <c r="BI23" i="40"/>
  <c r="R25" i="40"/>
  <c r="BI25" i="40" s="1"/>
  <c r="R26" i="40"/>
  <c r="BI26" i="40" s="1"/>
  <c r="R28" i="40"/>
  <c r="BI28" i="40" s="1"/>
  <c r="R29" i="40"/>
  <c r="P36" i="40"/>
  <c r="BG36" i="40" s="1"/>
  <c r="P37" i="40"/>
  <c r="BG37" i="40" s="1"/>
  <c r="P38" i="40"/>
  <c r="BG38" i="40" s="1"/>
  <c r="P39" i="40"/>
  <c r="BG39" i="40" s="1"/>
  <c r="P40" i="40"/>
  <c r="BG40" i="40" s="1"/>
  <c r="T42" i="40"/>
  <c r="BK42" i="40" s="1"/>
  <c r="R44" i="40"/>
  <c r="BI44" i="40" s="1"/>
  <c r="R49" i="40"/>
  <c r="BI49" i="40" s="1"/>
  <c r="R50" i="40"/>
  <c r="BI50" i="40" s="1"/>
  <c r="R51" i="40"/>
  <c r="BI51" i="40" s="1"/>
  <c r="R52" i="40"/>
  <c r="BI52" i="40" s="1"/>
  <c r="R53" i="40"/>
  <c r="BI53" i="40" s="1"/>
  <c r="R54" i="40"/>
  <c r="BI54" i="40" s="1"/>
  <c r="R55" i="40"/>
  <c r="BI55" i="40" s="1"/>
  <c r="R56" i="40"/>
  <c r="BI56" i="40" s="1"/>
  <c r="R57" i="40"/>
  <c r="BI57" i="40" s="1"/>
  <c r="R58" i="40"/>
  <c r="BI58" i="40" s="1"/>
  <c r="Q60" i="40"/>
  <c r="BH60" i="40" s="1"/>
  <c r="F22" i="44"/>
  <c r="Q64" i="40"/>
  <c r="BH64" i="40" s="1"/>
  <c r="Q66" i="40"/>
  <c r="BH66" i="40" s="1"/>
  <c r="Q67" i="40"/>
  <c r="BH67" i="40" s="1"/>
  <c r="Q68" i="40"/>
  <c r="BH68" i="40" s="1"/>
  <c r="Q69" i="40"/>
  <c r="BH69" i="40" s="1"/>
  <c r="P71" i="40"/>
  <c r="BG71" i="40" s="1"/>
  <c r="P72" i="40"/>
  <c r="BG72" i="40" s="1"/>
  <c r="P73" i="40"/>
  <c r="BG73" i="40" s="1"/>
  <c r="P74" i="40"/>
  <c r="BG74" i="40" s="1"/>
  <c r="P75" i="40"/>
  <c r="BG75" i="40" s="1"/>
  <c r="P76" i="40"/>
  <c r="BG76" i="40" s="1"/>
  <c r="P77" i="40"/>
  <c r="BG77" i="40" s="1"/>
  <c r="P78" i="40"/>
  <c r="BG78" i="40" s="1"/>
  <c r="P80" i="40"/>
  <c r="BG80" i="40" s="1"/>
  <c r="P81" i="40"/>
  <c r="BG81" i="40" s="1"/>
  <c r="P82" i="40"/>
  <c r="BG82" i="40" s="1"/>
  <c r="P83" i="40"/>
  <c r="BG83" i="40" s="1"/>
  <c r="P84" i="40"/>
  <c r="BG84" i="40" s="1"/>
  <c r="P85" i="40"/>
  <c r="BG85" i="40" s="1"/>
  <c r="P89" i="40"/>
  <c r="BG89" i="40" s="1"/>
  <c r="P90" i="40"/>
  <c r="BG90" i="40" s="1"/>
  <c r="P93" i="40"/>
  <c r="BG93" i="40" s="1"/>
  <c r="P94" i="40"/>
  <c r="BG94" i="40" s="1"/>
  <c r="P96" i="40"/>
  <c r="BG96" i="40" s="1"/>
  <c r="P100" i="40"/>
  <c r="BG100" i="40" s="1"/>
  <c r="P101" i="40"/>
  <c r="BG101" i="40" s="1"/>
  <c r="T103" i="40"/>
  <c r="T105" i="40"/>
  <c r="BK105" i="40" s="1"/>
  <c r="T106" i="40"/>
  <c r="BK106" i="40" s="1"/>
  <c r="T108" i="40"/>
  <c r="BK108" i="40" s="1"/>
  <c r="T109" i="40"/>
  <c r="BK109" i="40" s="1"/>
  <c r="T110" i="40"/>
  <c r="BK110" i="40" s="1"/>
  <c r="T111" i="40"/>
  <c r="BK111" i="40" s="1"/>
  <c r="T112" i="40"/>
  <c r="BK112" i="40" s="1"/>
  <c r="T113" i="40"/>
  <c r="BK113" i="40" s="1"/>
  <c r="T114" i="40"/>
  <c r="BK114" i="40" s="1"/>
  <c r="T115" i="40"/>
  <c r="BK115" i="40" s="1"/>
  <c r="T116" i="40"/>
  <c r="BK116" i="40" s="1"/>
  <c r="T117" i="40"/>
  <c r="BK117" i="40" s="1"/>
  <c r="T118" i="40"/>
  <c r="BK118" i="40" s="1"/>
  <c r="T119" i="40"/>
  <c r="BK119" i="40" s="1"/>
  <c r="T120" i="40"/>
  <c r="BK120" i="40" s="1"/>
  <c r="T121" i="40"/>
  <c r="BK121" i="40" s="1"/>
  <c r="T122" i="40"/>
  <c r="BK122" i="40" s="1"/>
  <c r="Q125" i="40"/>
  <c r="R127" i="40"/>
  <c r="S136" i="40"/>
  <c r="BJ136" i="40" s="1"/>
  <c r="BG103" i="40"/>
  <c r="BG23" i="40"/>
  <c r="BG29" i="40"/>
  <c r="BG61" i="40"/>
  <c r="BG70" i="40"/>
  <c r="BG125" i="40"/>
  <c r="BG32" i="40"/>
  <c r="BG33" i="40"/>
  <c r="BG34" i="40"/>
  <c r="F19" i="43"/>
  <c r="BG41" i="40"/>
  <c r="BG88" i="40"/>
  <c r="BG91" i="40"/>
  <c r="BG97" i="40"/>
  <c r="AF20" i="39"/>
  <c r="AF21" i="39"/>
  <c r="AF23" i="39"/>
  <c r="AF24" i="39"/>
  <c r="AF28" i="39"/>
  <c r="AF29" i="39"/>
  <c r="AF36" i="39"/>
  <c r="AF40" i="39"/>
  <c r="AF42" i="39"/>
  <c r="AF43" i="39"/>
  <c r="AF44" i="39"/>
  <c r="AF46" i="39"/>
  <c r="AF48" i="39"/>
  <c r="AF53" i="39"/>
  <c r="AF54" i="39"/>
  <c r="AF55" i="39"/>
  <c r="AF56" i="39"/>
  <c r="AF57" i="39"/>
  <c r="AF58" i="39"/>
  <c r="AF59" i="39"/>
  <c r="AF60" i="39"/>
  <c r="AF61" i="39"/>
  <c r="AF62" i="39"/>
  <c r="AF65" i="39"/>
  <c r="AG66" i="39"/>
  <c r="AH66" i="39"/>
  <c r="AG67" i="39"/>
  <c r="AH67" i="39"/>
  <c r="AG68" i="39"/>
  <c r="AH68" i="39"/>
  <c r="AF69" i="39"/>
  <c r="AF68" i="39" s="1"/>
  <c r="AG70" i="39"/>
  <c r="AH70" i="39"/>
  <c r="AF71" i="39"/>
  <c r="AF72" i="39"/>
  <c r="AF73" i="39"/>
  <c r="AF74" i="39"/>
  <c r="AF76" i="39"/>
  <c r="AF77" i="39"/>
  <c r="AF78" i="39"/>
  <c r="AF79" i="39"/>
  <c r="AF80" i="39"/>
  <c r="AF81" i="39"/>
  <c r="AF82" i="39"/>
  <c r="AF84" i="39"/>
  <c r="AF86" i="39"/>
  <c r="AF87" i="39"/>
  <c r="AF88" i="39"/>
  <c r="AF89" i="39"/>
  <c r="AF93" i="39"/>
  <c r="AF94" i="39"/>
  <c r="AH96" i="39"/>
  <c r="AG97" i="39"/>
  <c r="AH97" i="39"/>
  <c r="AF99" i="39"/>
  <c r="AF100" i="39"/>
  <c r="AF101" i="39"/>
  <c r="AF102" i="39"/>
  <c r="AG104" i="39"/>
  <c r="AH104" i="39"/>
  <c r="AG105" i="39"/>
  <c r="AH105" i="39"/>
  <c r="AF106" i="39"/>
  <c r="AF107" i="39"/>
  <c r="AG108" i="39"/>
  <c r="AH108" i="39"/>
  <c r="AG110" i="39"/>
  <c r="AH110" i="39"/>
  <c r="AF111" i="39"/>
  <c r="AF112" i="39"/>
  <c r="AF114" i="39"/>
  <c r="AF115" i="39"/>
  <c r="AF116" i="39"/>
  <c r="AF117" i="39"/>
  <c r="AF118" i="39"/>
  <c r="AF119" i="39"/>
  <c r="AF120" i="39"/>
  <c r="AF121" i="39"/>
  <c r="AF123" i="39"/>
  <c r="AF124" i="39"/>
  <c r="AF125" i="39"/>
  <c r="AF126" i="39"/>
  <c r="AF127" i="39"/>
  <c r="AF128" i="39"/>
  <c r="AH133" i="39"/>
  <c r="AG137" i="39"/>
  <c r="AH138" i="39"/>
  <c r="AH158" i="39"/>
  <c r="AH159" i="39"/>
  <c r="AH160" i="39"/>
  <c r="AH161" i="39"/>
  <c r="AJ98" i="39"/>
  <c r="AJ33" i="39"/>
  <c r="AK33" i="39" s="1"/>
  <c r="H41" i="40"/>
  <c r="D21" i="47" s="1"/>
  <c r="F41" i="40"/>
  <c r="D21" i="45" s="1"/>
  <c r="L41" i="40" l="1"/>
  <c r="R41" i="40" s="1"/>
  <c r="BO41" i="40"/>
  <c r="N41" i="40"/>
  <c r="T41" i="40" s="1"/>
  <c r="BQ41" i="40"/>
  <c r="BI29" i="40"/>
  <c r="BH125" i="40"/>
  <c r="BK125" i="40"/>
  <c r="BH103" i="40"/>
  <c r="BK103" i="40"/>
  <c r="BH32" i="40"/>
  <c r="BI33" i="40"/>
  <c r="BK33" i="40"/>
  <c r="BI103" i="40"/>
  <c r="BI8" i="40"/>
  <c r="BI32" i="40"/>
  <c r="BK29" i="40"/>
  <c r="BK97" i="40"/>
  <c r="BK32" i="40"/>
  <c r="F19" i="45"/>
  <c r="BI34" i="40"/>
  <c r="F19" i="44"/>
  <c r="BH34" i="40"/>
  <c r="G14" i="47"/>
  <c r="F14" i="47"/>
  <c r="BH20" i="40"/>
  <c r="BI97" i="40"/>
  <c r="F19" i="47"/>
  <c r="BK34" i="40"/>
  <c r="F14" i="44"/>
  <c r="BH8" i="40"/>
  <c r="BH91" i="40"/>
  <c r="BH29" i="40"/>
  <c r="BI91" i="40"/>
  <c r="G27" i="43"/>
  <c r="BK91" i="40"/>
  <c r="BI88" i="40"/>
  <c r="BH97" i="40"/>
  <c r="F35" i="44"/>
  <c r="F32" i="47"/>
  <c r="G32" i="47"/>
  <c r="F16" i="45"/>
  <c r="F14" i="45"/>
  <c r="F12" i="45"/>
  <c r="F32" i="44"/>
  <c r="F18" i="45"/>
  <c r="F17" i="44"/>
  <c r="F32" i="45"/>
  <c r="G18" i="47"/>
  <c r="F18" i="47"/>
  <c r="G35" i="47"/>
  <c r="F35" i="47"/>
  <c r="F17" i="45"/>
  <c r="F35" i="45"/>
  <c r="F18" i="44"/>
  <c r="F13" i="45"/>
  <c r="BI125" i="40"/>
  <c r="BH88" i="40"/>
  <c r="BH33" i="40"/>
  <c r="BI20" i="40"/>
  <c r="AF105" i="39"/>
  <c r="F28" i="43"/>
  <c r="G28" i="43"/>
  <c r="F21" i="43"/>
  <c r="G21" i="43"/>
  <c r="F18" i="43"/>
  <c r="G18" i="43"/>
  <c r="F35" i="43"/>
  <c r="G35" i="43"/>
  <c r="F22" i="43"/>
  <c r="G22" i="43"/>
  <c r="G14" i="43"/>
  <c r="F14" i="43"/>
  <c r="G30" i="43"/>
  <c r="F30" i="43"/>
  <c r="F27" i="43"/>
  <c r="G17" i="43"/>
  <c r="F17" i="43"/>
  <c r="F25" i="43"/>
  <c r="G25" i="43"/>
  <c r="F16" i="43"/>
  <c r="G16" i="43"/>
  <c r="G32" i="43"/>
  <c r="F32" i="43"/>
  <c r="AF110" i="39"/>
  <c r="AF97" i="39"/>
  <c r="AF22" i="39"/>
  <c r="AF70" i="39"/>
  <c r="AH135" i="39"/>
  <c r="AH134" i="39" s="1"/>
  <c r="E132" i="40"/>
  <c r="F132" i="40"/>
  <c r="E92" i="40"/>
  <c r="D29" i="44" s="1"/>
  <c r="L132" i="40" l="1"/>
  <c r="D42" i="45"/>
  <c r="K132" i="40"/>
  <c r="D42" i="44"/>
  <c r="K92" i="40"/>
  <c r="Q92" i="40" s="1"/>
  <c r="BN92" i="40"/>
  <c r="F28" i="47"/>
  <c r="G28" i="47"/>
  <c r="F21" i="47"/>
  <c r="G21" i="47"/>
  <c r="F12" i="44"/>
  <c r="G17" i="47"/>
  <c r="F17" i="47"/>
  <c r="Q132" i="40"/>
  <c r="F27" i="47"/>
  <c r="G27" i="47"/>
  <c r="BK41" i="40"/>
  <c r="F27" i="45"/>
  <c r="F21" i="45"/>
  <c r="F30" i="44"/>
  <c r="R132" i="40"/>
  <c r="F27" i="44"/>
  <c r="F16" i="44"/>
  <c r="F13" i="44"/>
  <c r="F16" i="47"/>
  <c r="G16" i="47"/>
  <c r="F28" i="45"/>
  <c r="F28" i="44"/>
  <c r="F30" i="45"/>
  <c r="F30" i="47"/>
  <c r="G30" i="47"/>
  <c r="BI41" i="40"/>
  <c r="E41" i="40"/>
  <c r="D21" i="44" s="1"/>
  <c r="M95" i="40"/>
  <c r="S95" i="40" s="1"/>
  <c r="G23" i="40"/>
  <c r="D14" i="46" s="1"/>
  <c r="K152" i="42"/>
  <c r="D152" i="42"/>
  <c r="D150" i="42"/>
  <c r="AG148" i="42"/>
  <c r="AG147" i="42"/>
  <c r="AH147" i="42" s="1"/>
  <c r="AG146" i="42"/>
  <c r="AG145" i="42"/>
  <c r="AQ144" i="42"/>
  <c r="AG144" i="42"/>
  <c r="S144" i="42"/>
  <c r="AN143" i="42"/>
  <c r="AG143" i="42"/>
  <c r="S143" i="42"/>
  <c r="G143" i="42"/>
  <c r="AM142" i="42"/>
  <c r="AG142" i="42"/>
  <c r="S142" i="42"/>
  <c r="AL141" i="42"/>
  <c r="AG141" i="42"/>
  <c r="S141" i="42"/>
  <c r="M139" i="42"/>
  <c r="M138" i="42" s="1"/>
  <c r="L139" i="42"/>
  <c r="H139" i="42"/>
  <c r="G139" i="42"/>
  <c r="G138" i="42" s="1"/>
  <c r="F139" i="42"/>
  <c r="F138" i="42" s="1"/>
  <c r="E139" i="42"/>
  <c r="E138" i="42" s="1"/>
  <c r="H138" i="42"/>
  <c r="AQ137" i="42"/>
  <c r="AQ139" i="42" s="1"/>
  <c r="AQ138" i="42" s="1"/>
  <c r="AP137" i="42"/>
  <c r="AP139" i="42" s="1"/>
  <c r="AP138" i="42" s="1"/>
  <c r="AO137" i="42"/>
  <c r="AO139" i="42" s="1"/>
  <c r="AO138" i="42" s="1"/>
  <c r="AN137" i="42"/>
  <c r="AN139" i="42" s="1"/>
  <c r="AN138" i="42" s="1"/>
  <c r="AM137" i="42"/>
  <c r="AM139" i="42" s="1"/>
  <c r="AM138" i="42" s="1"/>
  <c r="AL137" i="42"/>
  <c r="AL139" i="42" s="1"/>
  <c r="AL138" i="42" s="1"/>
  <c r="AK137" i="42"/>
  <c r="AK139" i="42" s="1"/>
  <c r="AK138" i="42" s="1"/>
  <c r="AG137" i="42"/>
  <c r="AG139" i="42" s="1"/>
  <c r="AG138" i="42" s="1"/>
  <c r="D137" i="42"/>
  <c r="D139" i="42" s="1"/>
  <c r="AQ135" i="42"/>
  <c r="AP135" i="42"/>
  <c r="AO135" i="42"/>
  <c r="AN135" i="42"/>
  <c r="AM135" i="42"/>
  <c r="AL135" i="42"/>
  <c r="AK135" i="42" s="1"/>
  <c r="AG135" i="42"/>
  <c r="S135" i="42"/>
  <c r="N135" i="42"/>
  <c r="U135" i="42" s="1"/>
  <c r="D135" i="42"/>
  <c r="AK134" i="42"/>
  <c r="AG134" i="42"/>
  <c r="U134" i="42"/>
  <c r="S134" i="42"/>
  <c r="D134" i="42"/>
  <c r="AH134" i="42" s="1"/>
  <c r="AK133" i="42"/>
  <c r="AG133" i="42"/>
  <c r="U133" i="42"/>
  <c r="S133" i="42"/>
  <c r="D133" i="42"/>
  <c r="AQ132" i="42"/>
  <c r="AP132" i="42"/>
  <c r="AO132" i="42"/>
  <c r="AN132" i="42"/>
  <c r="AM132" i="42"/>
  <c r="AL132" i="42"/>
  <c r="AK132" i="42" s="1"/>
  <c r="AG132" i="42"/>
  <c r="AI132" i="42" s="1"/>
  <c r="S132" i="42"/>
  <c r="N132" i="42"/>
  <c r="U132" i="42" s="1"/>
  <c r="D132" i="42"/>
  <c r="AQ131" i="42"/>
  <c r="AP131" i="42"/>
  <c r="AO131" i="42"/>
  <c r="AN131" i="42"/>
  <c r="AM131" i="42"/>
  <c r="AL131" i="42"/>
  <c r="AK131" i="42"/>
  <c r="AG131" i="42"/>
  <c r="AI131" i="42" s="1"/>
  <c r="S131" i="42"/>
  <c r="N131" i="42"/>
  <c r="U131" i="42" s="1"/>
  <c r="D131" i="42"/>
  <c r="AQ130" i="42"/>
  <c r="AP130" i="42"/>
  <c r="AO130" i="42"/>
  <c r="AN130" i="42"/>
  <c r="AM130" i="42"/>
  <c r="AL130" i="42"/>
  <c r="AK130" i="42"/>
  <c r="AG130" i="42"/>
  <c r="S130" i="42"/>
  <c r="N130" i="42"/>
  <c r="U130" i="42" s="1"/>
  <c r="D130" i="42"/>
  <c r="AH130" i="42" s="1"/>
  <c r="AQ129" i="42"/>
  <c r="AP129" i="42"/>
  <c r="AO129" i="42"/>
  <c r="AN129" i="42"/>
  <c r="AM129" i="42"/>
  <c r="AL129" i="42"/>
  <c r="AK129" i="42" s="1"/>
  <c r="AG129" i="42"/>
  <c r="S129" i="42"/>
  <c r="N129" i="42"/>
  <c r="U129" i="42" s="1"/>
  <c r="D129" i="42"/>
  <c r="AH129" i="42" s="1"/>
  <c r="AQ128" i="42"/>
  <c r="AP128" i="42"/>
  <c r="AO128" i="42"/>
  <c r="AN128" i="42"/>
  <c r="AM128" i="42"/>
  <c r="AL128" i="42"/>
  <c r="AK128" i="42" s="1"/>
  <c r="AG128" i="42"/>
  <c r="S128" i="42"/>
  <c r="N128" i="42"/>
  <c r="U128" i="42" s="1"/>
  <c r="D128" i="42"/>
  <c r="AH128" i="42" s="1"/>
  <c r="AQ127" i="42"/>
  <c r="AP127" i="42"/>
  <c r="AO127" i="42"/>
  <c r="AN127" i="42"/>
  <c r="AM127" i="42"/>
  <c r="AL127" i="42"/>
  <c r="AK127" i="42" s="1"/>
  <c r="AG127" i="42"/>
  <c r="S127" i="42"/>
  <c r="N127" i="42"/>
  <c r="U127" i="42" s="1"/>
  <c r="D127" i="42"/>
  <c r="AH127" i="42" s="1"/>
  <c r="AQ126" i="42"/>
  <c r="AP126" i="42"/>
  <c r="AO126" i="42"/>
  <c r="AN126" i="42"/>
  <c r="AM126" i="42"/>
  <c r="AL126" i="42"/>
  <c r="AK126" i="42" s="1"/>
  <c r="AG126" i="42"/>
  <c r="S126" i="42"/>
  <c r="N126" i="42"/>
  <c r="U126" i="42" s="1"/>
  <c r="D126" i="42"/>
  <c r="AH126" i="42" s="1"/>
  <c r="AQ125" i="42"/>
  <c r="AP125" i="42"/>
  <c r="AO125" i="42"/>
  <c r="AN125" i="42"/>
  <c r="AM125" i="42"/>
  <c r="AL125" i="42"/>
  <c r="AK125" i="42" s="1"/>
  <c r="AG125" i="42"/>
  <c r="S125" i="42"/>
  <c r="N125" i="42"/>
  <c r="U125" i="42" s="1"/>
  <c r="D125" i="42"/>
  <c r="AQ124" i="42"/>
  <c r="AP124" i="42"/>
  <c r="AO124" i="42"/>
  <c r="AN124" i="42"/>
  <c r="AM124" i="42"/>
  <c r="AL124" i="42"/>
  <c r="AK124" i="42"/>
  <c r="AG124" i="42"/>
  <c r="S124" i="42"/>
  <c r="N124" i="42"/>
  <c r="U124" i="42" s="1"/>
  <c r="D124" i="42"/>
  <c r="AQ123" i="42"/>
  <c r="AP123" i="42"/>
  <c r="AO123" i="42"/>
  <c r="AN123" i="42"/>
  <c r="AM123" i="42"/>
  <c r="AL123" i="42"/>
  <c r="AK123" i="42" s="1"/>
  <c r="AG123" i="42"/>
  <c r="S123" i="42"/>
  <c r="N123" i="42"/>
  <c r="U123" i="42" s="1"/>
  <c r="D123" i="42"/>
  <c r="AH123" i="42" s="1"/>
  <c r="AQ122" i="42"/>
  <c r="AP122" i="42"/>
  <c r="AO122" i="42"/>
  <c r="AN122" i="42"/>
  <c r="AM122" i="42"/>
  <c r="AL122" i="42"/>
  <c r="AK122" i="42" s="1"/>
  <c r="AG122" i="42"/>
  <c r="S122" i="42"/>
  <c r="N122" i="42"/>
  <c r="U122" i="42" s="1"/>
  <c r="D122" i="42"/>
  <c r="AQ121" i="42"/>
  <c r="AP121" i="42"/>
  <c r="AO121" i="42"/>
  <c r="AN121" i="42"/>
  <c r="AM121" i="42"/>
  <c r="AL121" i="42"/>
  <c r="AK121" i="42"/>
  <c r="AG121" i="42"/>
  <c r="AI121" i="42" s="1"/>
  <c r="S121" i="42"/>
  <c r="N121" i="42"/>
  <c r="U121" i="42" s="1"/>
  <c r="D121" i="42"/>
  <c r="AQ120" i="42"/>
  <c r="AP120" i="42"/>
  <c r="AO120" i="42"/>
  <c r="AN120" i="42"/>
  <c r="AM120" i="42"/>
  <c r="AL120" i="42"/>
  <c r="AK120" i="42" s="1"/>
  <c r="AG120" i="42"/>
  <c r="S120" i="42"/>
  <c r="N120" i="42"/>
  <c r="U120" i="42" s="1"/>
  <c r="D120" i="42"/>
  <c r="AQ119" i="42"/>
  <c r="AP119" i="42"/>
  <c r="AO119" i="42"/>
  <c r="AN119" i="42"/>
  <c r="AM119" i="42"/>
  <c r="AL119" i="42"/>
  <c r="AK119" i="42" s="1"/>
  <c r="AG119" i="42"/>
  <c r="S119" i="42"/>
  <c r="N119" i="42"/>
  <c r="D119" i="42"/>
  <c r="AH119" i="42" s="1"/>
  <c r="AQ118" i="42"/>
  <c r="AP118" i="42"/>
  <c r="AP117" i="42" s="1"/>
  <c r="AO118" i="42"/>
  <c r="AO117" i="42" s="1"/>
  <c r="AN118" i="42"/>
  <c r="AM118" i="42"/>
  <c r="AM117" i="42" s="1"/>
  <c r="AL118" i="42"/>
  <c r="AL117" i="42" s="1"/>
  <c r="AG118" i="42"/>
  <c r="S118" i="42"/>
  <c r="N118" i="42"/>
  <c r="U118" i="42" s="1"/>
  <c r="D118" i="42"/>
  <c r="AQ117" i="42"/>
  <c r="AN117" i="42"/>
  <c r="O117" i="42"/>
  <c r="M117" i="42"/>
  <c r="L117" i="42"/>
  <c r="K117" i="42"/>
  <c r="H117" i="42"/>
  <c r="G117" i="42"/>
  <c r="F117" i="42"/>
  <c r="E117" i="42"/>
  <c r="AQ116" i="42"/>
  <c r="AP116" i="42"/>
  <c r="AO116" i="42"/>
  <c r="AN116" i="42"/>
  <c r="AM116" i="42"/>
  <c r="AL116" i="42"/>
  <c r="AK116" i="42" s="1"/>
  <c r="AG116" i="42"/>
  <c r="S116" i="42"/>
  <c r="N116" i="42"/>
  <c r="U116" i="42" s="1"/>
  <c r="D116" i="42"/>
  <c r="AH116" i="42" s="1"/>
  <c r="AQ115" i="42"/>
  <c r="AQ114" i="42" s="1"/>
  <c r="AP115" i="42"/>
  <c r="AO115" i="42"/>
  <c r="AN115" i="42"/>
  <c r="AN114" i="42" s="1"/>
  <c r="AM115" i="42"/>
  <c r="AM114" i="42" s="1"/>
  <c r="AL115" i="42"/>
  <c r="AG115" i="42"/>
  <c r="AI115" i="42" s="1"/>
  <c r="S115" i="42"/>
  <c r="N115" i="42"/>
  <c r="D115" i="42"/>
  <c r="AP114" i="42"/>
  <c r="AO114" i="42"/>
  <c r="O114" i="42"/>
  <c r="M114" i="42"/>
  <c r="L114" i="42"/>
  <c r="K114" i="42"/>
  <c r="S114" i="42" s="1"/>
  <c r="H114" i="42"/>
  <c r="G114" i="42"/>
  <c r="F114" i="42"/>
  <c r="E114" i="42"/>
  <c r="AQ113" i="42"/>
  <c r="AP113" i="42"/>
  <c r="AO113" i="42"/>
  <c r="AN113" i="42"/>
  <c r="AM113" i="42"/>
  <c r="AL113" i="42"/>
  <c r="AK113" i="42"/>
  <c r="AG113" i="42"/>
  <c r="S113" i="42"/>
  <c r="N113" i="42"/>
  <c r="U113" i="42" s="1"/>
  <c r="D113" i="42"/>
  <c r="AI113" i="42" s="1"/>
  <c r="AK112" i="42"/>
  <c r="U112" i="42"/>
  <c r="S112" i="42"/>
  <c r="D112" i="42"/>
  <c r="AI112" i="42" s="1"/>
  <c r="AQ111" i="42"/>
  <c r="AP111" i="42"/>
  <c r="AO111" i="42"/>
  <c r="AN111" i="42"/>
  <c r="AM111" i="42"/>
  <c r="AL111" i="42"/>
  <c r="AK111" i="42" s="1"/>
  <c r="AG111" i="42"/>
  <c r="AI111" i="42" s="1"/>
  <c r="S111" i="42"/>
  <c r="N111" i="42"/>
  <c r="D111" i="42"/>
  <c r="AQ110" i="42"/>
  <c r="AQ109" i="42" s="1"/>
  <c r="AP110" i="42"/>
  <c r="AP109" i="42" s="1"/>
  <c r="AO110" i="42"/>
  <c r="AO109" i="42" s="1"/>
  <c r="AN110" i="42"/>
  <c r="AM110" i="42"/>
  <c r="AM109" i="42" s="1"/>
  <c r="AL110" i="42"/>
  <c r="AL109" i="42" s="1"/>
  <c r="AK109" i="42" s="1"/>
  <c r="AG110" i="42"/>
  <c r="S110" i="42"/>
  <c r="N110" i="42"/>
  <c r="U110" i="42" s="1"/>
  <c r="D110" i="42"/>
  <c r="AH110" i="42" s="1"/>
  <c r="AN109" i="42"/>
  <c r="O109" i="42"/>
  <c r="M109" i="42"/>
  <c r="L109" i="42"/>
  <c r="H109" i="42"/>
  <c r="G109" i="42"/>
  <c r="F109" i="42"/>
  <c r="E109" i="42"/>
  <c r="AK108" i="42"/>
  <c r="K108" i="42"/>
  <c r="U108" i="42" s="1"/>
  <c r="D108" i="42"/>
  <c r="AI108" i="42" s="1"/>
  <c r="AQ107" i="42"/>
  <c r="AP107" i="42"/>
  <c r="AO107" i="42"/>
  <c r="AN107" i="42"/>
  <c r="AM107" i="42"/>
  <c r="AL107" i="42"/>
  <c r="AK107" i="42"/>
  <c r="AG107" i="42"/>
  <c r="S107" i="42"/>
  <c r="N107" i="42"/>
  <c r="U107" i="42" s="1"/>
  <c r="D107" i="42"/>
  <c r="AH107" i="42" s="1"/>
  <c r="AQ106" i="42"/>
  <c r="AP106" i="42"/>
  <c r="AO106" i="42"/>
  <c r="AN106" i="42"/>
  <c r="AM106" i="42"/>
  <c r="AL106" i="42"/>
  <c r="AK106" i="42" s="1"/>
  <c r="AG106" i="42"/>
  <c r="S106" i="42"/>
  <c r="N106" i="42"/>
  <c r="U106" i="42" s="1"/>
  <c r="D106" i="42"/>
  <c r="AQ105" i="42"/>
  <c r="AP105" i="42"/>
  <c r="AO105" i="42"/>
  <c r="AN105" i="42"/>
  <c r="AM105" i="42"/>
  <c r="AL105" i="42"/>
  <c r="AK105" i="42"/>
  <c r="AG105" i="42"/>
  <c r="U105" i="42"/>
  <c r="S105" i="42"/>
  <c r="D105" i="42"/>
  <c r="AH105" i="42" s="1"/>
  <c r="AQ104" i="42"/>
  <c r="AP104" i="42"/>
  <c r="AO104" i="42"/>
  <c r="AN104" i="42"/>
  <c r="AM104" i="42"/>
  <c r="AL104" i="42"/>
  <c r="AK104" i="42" s="1"/>
  <c r="AG104" i="42"/>
  <c r="S104" i="42"/>
  <c r="N104" i="42"/>
  <c r="U104" i="42" s="1"/>
  <c r="D104" i="42"/>
  <c r="AH104" i="42" s="1"/>
  <c r="AQ103" i="42"/>
  <c r="AQ101" i="42" s="1"/>
  <c r="AP103" i="42"/>
  <c r="AO103" i="42"/>
  <c r="AO101" i="42" s="1"/>
  <c r="AN103" i="42"/>
  <c r="AN101" i="42" s="1"/>
  <c r="AM103" i="42"/>
  <c r="AM101" i="42" s="1"/>
  <c r="AL103" i="42"/>
  <c r="AK103" i="42" s="1"/>
  <c r="AG103" i="42"/>
  <c r="S103" i="42"/>
  <c r="N103" i="42"/>
  <c r="U103" i="42" s="1"/>
  <c r="D103" i="42"/>
  <c r="D101" i="42" s="1"/>
  <c r="AP101" i="42"/>
  <c r="AL101" i="42"/>
  <c r="AK101" i="42"/>
  <c r="AG101" i="42"/>
  <c r="O101" i="42"/>
  <c r="M101" i="42"/>
  <c r="L101" i="42"/>
  <c r="L95" i="42" s="1"/>
  <c r="L94" i="42" s="1"/>
  <c r="K101" i="42"/>
  <c r="S101" i="42" s="1"/>
  <c r="H101" i="42"/>
  <c r="H95" i="42" s="1"/>
  <c r="G101" i="42"/>
  <c r="F101" i="42"/>
  <c r="F95" i="42" s="1"/>
  <c r="F94" i="42" s="1"/>
  <c r="E101" i="42"/>
  <c r="AQ100" i="42"/>
  <c r="AP100" i="42"/>
  <c r="AO100" i="42"/>
  <c r="AN100" i="42"/>
  <c r="AM100" i="42"/>
  <c r="AL100" i="42"/>
  <c r="AK100" i="42" s="1"/>
  <c r="AG100" i="42"/>
  <c r="AI100" i="42" s="1"/>
  <c r="S100" i="42"/>
  <c r="N100" i="42"/>
  <c r="U100" i="42" s="1"/>
  <c r="D100" i="42"/>
  <c r="AQ99" i="42"/>
  <c r="AP99" i="42"/>
  <c r="AO99" i="42"/>
  <c r="AN99" i="42"/>
  <c r="AM99" i="42"/>
  <c r="AL99" i="42"/>
  <c r="AK99" i="42" s="1"/>
  <c r="AG99" i="42"/>
  <c r="U99" i="42"/>
  <c r="S99" i="42"/>
  <c r="N99" i="42"/>
  <c r="D99" i="42"/>
  <c r="AH99" i="42" s="1"/>
  <c r="AQ98" i="42"/>
  <c r="AP98" i="42"/>
  <c r="AO98" i="42"/>
  <c r="AN98" i="42"/>
  <c r="AM98" i="42"/>
  <c r="AL98" i="42"/>
  <c r="AK98" i="42" s="1"/>
  <c r="AG98" i="42"/>
  <c r="S98" i="42"/>
  <c r="N98" i="42"/>
  <c r="D98" i="42"/>
  <c r="AH98" i="42" s="1"/>
  <c r="AQ97" i="42"/>
  <c r="AP97" i="42"/>
  <c r="AO97" i="42"/>
  <c r="AN97" i="42"/>
  <c r="AM97" i="42"/>
  <c r="AL97" i="42"/>
  <c r="AK97" i="42" s="1"/>
  <c r="AG97" i="42"/>
  <c r="S97" i="42"/>
  <c r="N97" i="42"/>
  <c r="U97" i="42" s="1"/>
  <c r="D97" i="42"/>
  <c r="O95" i="42"/>
  <c r="O94" i="42" s="1"/>
  <c r="H94" i="42"/>
  <c r="AQ93" i="42"/>
  <c r="AP93" i="42"/>
  <c r="AO93" i="42"/>
  <c r="AN93" i="42"/>
  <c r="AM93" i="42"/>
  <c r="AL93" i="42"/>
  <c r="AK93" i="42" s="1"/>
  <c r="U93" i="42"/>
  <c r="K93" i="42"/>
  <c r="S93" i="42" s="1"/>
  <c r="D93" i="42"/>
  <c r="AQ92" i="42"/>
  <c r="AP92" i="42"/>
  <c r="AO92" i="42"/>
  <c r="AN92" i="42"/>
  <c r="AM92" i="42"/>
  <c r="AL92" i="42"/>
  <c r="AK92" i="42" s="1"/>
  <c r="K92" i="42"/>
  <c r="S92" i="42" s="1"/>
  <c r="AQ91" i="42"/>
  <c r="AP91" i="42"/>
  <c r="AO91" i="42"/>
  <c r="AN91" i="42"/>
  <c r="AM91" i="42"/>
  <c r="AL91" i="42"/>
  <c r="AK91" i="42" s="1"/>
  <c r="K91" i="42"/>
  <c r="S91" i="42" s="1"/>
  <c r="AQ90" i="42"/>
  <c r="AP90" i="42"/>
  <c r="AO90" i="42"/>
  <c r="AN90" i="42"/>
  <c r="AM90" i="42"/>
  <c r="AL90" i="42"/>
  <c r="K90" i="42"/>
  <c r="U90" i="42" s="1"/>
  <c r="AQ89" i="42"/>
  <c r="AP89" i="42"/>
  <c r="AO89" i="42"/>
  <c r="AN89" i="42"/>
  <c r="AM89" i="42"/>
  <c r="AL89" i="42"/>
  <c r="AK89" i="42"/>
  <c r="AG89" i="42"/>
  <c r="S89" i="42"/>
  <c r="N89" i="42"/>
  <c r="U89" i="42" s="1"/>
  <c r="D89" i="42"/>
  <c r="AI89" i="42" s="1"/>
  <c r="AQ88" i="42"/>
  <c r="AP88" i="42"/>
  <c r="AO88" i="42"/>
  <c r="AN88" i="42"/>
  <c r="AM88" i="42"/>
  <c r="AL88" i="42"/>
  <c r="AK88" i="42" s="1"/>
  <c r="AG88" i="42"/>
  <c r="U88" i="42"/>
  <c r="S88" i="42"/>
  <c r="N88" i="42"/>
  <c r="D88" i="42"/>
  <c r="AH88" i="42" s="1"/>
  <c r="AQ87" i="42"/>
  <c r="AP87" i="42"/>
  <c r="AO87" i="42"/>
  <c r="AN87" i="42"/>
  <c r="AM87" i="42"/>
  <c r="AL87" i="42"/>
  <c r="AK87" i="42"/>
  <c r="AG87" i="42"/>
  <c r="S87" i="42"/>
  <c r="N87" i="42"/>
  <c r="U87" i="42" s="1"/>
  <c r="D87" i="42"/>
  <c r="AI87" i="42" s="1"/>
  <c r="AQ86" i="42"/>
  <c r="AP86" i="42"/>
  <c r="AO86" i="42"/>
  <c r="AN86" i="42"/>
  <c r="AM86" i="42"/>
  <c r="AL86" i="42"/>
  <c r="AK86" i="42" s="1"/>
  <c r="AG86" i="42"/>
  <c r="S86" i="42"/>
  <c r="N86" i="42"/>
  <c r="U86" i="42" s="1"/>
  <c r="D86" i="42"/>
  <c r="AH86" i="42" s="1"/>
  <c r="AQ85" i="42"/>
  <c r="AP85" i="42"/>
  <c r="AO85" i="42"/>
  <c r="AN85" i="42"/>
  <c r="AM85" i="42"/>
  <c r="AL85" i="42"/>
  <c r="AK85" i="42"/>
  <c r="AG85" i="42"/>
  <c r="S85" i="42"/>
  <c r="N85" i="42"/>
  <c r="U85" i="42" s="1"/>
  <c r="D85" i="42"/>
  <c r="AI85" i="42" s="1"/>
  <c r="AQ84" i="42"/>
  <c r="AP84" i="42"/>
  <c r="AO84" i="42"/>
  <c r="AN84" i="42"/>
  <c r="AM84" i="42"/>
  <c r="AL84" i="42"/>
  <c r="AK84" i="42" s="1"/>
  <c r="AG84" i="42"/>
  <c r="U84" i="42"/>
  <c r="S84" i="42"/>
  <c r="N84" i="42"/>
  <c r="D84" i="42"/>
  <c r="AH84" i="42" s="1"/>
  <c r="AQ83" i="42"/>
  <c r="AP83" i="42"/>
  <c r="AO83" i="42"/>
  <c r="AN83" i="42"/>
  <c r="AM83" i="42"/>
  <c r="AL83" i="42"/>
  <c r="AK83" i="42"/>
  <c r="AG83" i="42"/>
  <c r="S83" i="42"/>
  <c r="N83" i="42"/>
  <c r="U83" i="42" s="1"/>
  <c r="D83" i="42"/>
  <c r="AI83" i="42" s="1"/>
  <c r="AQ82" i="42"/>
  <c r="AP82" i="42"/>
  <c r="AO82" i="42"/>
  <c r="AN82" i="42"/>
  <c r="AM82" i="42"/>
  <c r="AL82" i="42"/>
  <c r="AK82" i="42" s="1"/>
  <c r="AG82" i="42"/>
  <c r="S82" i="42"/>
  <c r="N82" i="42"/>
  <c r="U82" i="42" s="1"/>
  <c r="D82" i="42"/>
  <c r="AH82" i="42" s="1"/>
  <c r="AQ81" i="42"/>
  <c r="AP81" i="42"/>
  <c r="AO81" i="42"/>
  <c r="AN81" i="42"/>
  <c r="AM81" i="42"/>
  <c r="AL81" i="42"/>
  <c r="AK81" i="42"/>
  <c r="AG81" i="42"/>
  <c r="S81" i="42"/>
  <c r="N81" i="42"/>
  <c r="U81" i="42" s="1"/>
  <c r="D81" i="42"/>
  <c r="AI81" i="42" s="1"/>
  <c r="AQ80" i="42"/>
  <c r="AP80" i="42"/>
  <c r="AO80" i="42"/>
  <c r="AN80" i="42"/>
  <c r="AM80" i="42"/>
  <c r="AL80" i="42"/>
  <c r="AK80" i="42" s="1"/>
  <c r="AG80" i="42"/>
  <c r="U80" i="42"/>
  <c r="S80" i="42"/>
  <c r="N80" i="42"/>
  <c r="D80" i="42"/>
  <c r="AH80" i="42" s="1"/>
  <c r="AQ79" i="42"/>
  <c r="AP79" i="42"/>
  <c r="AO79" i="42"/>
  <c r="AN79" i="42"/>
  <c r="AM79" i="42"/>
  <c r="AL79" i="42"/>
  <c r="AK79" i="42"/>
  <c r="AG79" i="42"/>
  <c r="S79" i="42"/>
  <c r="N79" i="42"/>
  <c r="U79" i="42" s="1"/>
  <c r="D79" i="42"/>
  <c r="AI79" i="42" s="1"/>
  <c r="AQ78" i="42"/>
  <c r="AP78" i="42"/>
  <c r="AO78" i="42"/>
  <c r="AN78" i="42"/>
  <c r="AM78" i="42"/>
  <c r="AL78" i="42"/>
  <c r="AK78" i="42" s="1"/>
  <c r="AG78" i="42"/>
  <c r="S78" i="42"/>
  <c r="N78" i="42"/>
  <c r="U78" i="42" s="1"/>
  <c r="D78" i="42"/>
  <c r="AH78" i="42" s="1"/>
  <c r="AQ77" i="42"/>
  <c r="AP77" i="42"/>
  <c r="AO77" i="42"/>
  <c r="AN77" i="42"/>
  <c r="AM77" i="42"/>
  <c r="AL77" i="42"/>
  <c r="AK77" i="42"/>
  <c r="AG77" i="42"/>
  <c r="S77" i="42"/>
  <c r="N77" i="42"/>
  <c r="U77" i="42" s="1"/>
  <c r="D77" i="42"/>
  <c r="AI77" i="42" s="1"/>
  <c r="AQ76" i="42"/>
  <c r="AP76" i="42"/>
  <c r="AP75" i="42" s="1"/>
  <c r="AO76" i="42"/>
  <c r="AO75" i="42" s="1"/>
  <c r="AN76" i="42"/>
  <c r="AN75" i="42" s="1"/>
  <c r="AM76" i="42"/>
  <c r="AL76" i="42"/>
  <c r="AG76" i="42"/>
  <c r="U76" i="42"/>
  <c r="S76" i="42"/>
  <c r="N76" i="42"/>
  <c r="D76" i="42"/>
  <c r="AQ75" i="42"/>
  <c r="AM75" i="42"/>
  <c r="O75" i="42"/>
  <c r="M75" i="42"/>
  <c r="L75" i="42"/>
  <c r="K75" i="42"/>
  <c r="S75" i="42" s="1"/>
  <c r="H75" i="42"/>
  <c r="G75" i="42"/>
  <c r="F75" i="42"/>
  <c r="E75" i="42"/>
  <c r="AQ74" i="42"/>
  <c r="AP74" i="42"/>
  <c r="AO74" i="42"/>
  <c r="AN74" i="42"/>
  <c r="AM74" i="42"/>
  <c r="AL74" i="42"/>
  <c r="AK74" i="42" s="1"/>
  <c r="AG74" i="42"/>
  <c r="S74" i="42"/>
  <c r="N74" i="42"/>
  <c r="U74" i="42" s="1"/>
  <c r="D74" i="42"/>
  <c r="AH74" i="42" s="1"/>
  <c r="AQ73" i="42"/>
  <c r="AP73" i="42"/>
  <c r="AO73" i="42"/>
  <c r="AN73" i="42"/>
  <c r="AM73" i="42"/>
  <c r="AL73" i="42"/>
  <c r="AK73" i="42" s="1"/>
  <c r="AG73" i="42"/>
  <c r="S73" i="42"/>
  <c r="N73" i="42"/>
  <c r="U73" i="42" s="1"/>
  <c r="D73" i="42"/>
  <c r="AH73" i="42" s="1"/>
  <c r="AQ72" i="42"/>
  <c r="AP72" i="42"/>
  <c r="AO72" i="42"/>
  <c r="AN72" i="42"/>
  <c r="AM72" i="42"/>
  <c r="AL72" i="42"/>
  <c r="AK72" i="42" s="1"/>
  <c r="AG72" i="42"/>
  <c r="S72" i="42"/>
  <c r="N72" i="42"/>
  <c r="U72" i="42" s="1"/>
  <c r="D72" i="42"/>
  <c r="AH72" i="42" s="1"/>
  <c r="AQ71" i="42"/>
  <c r="AQ70" i="42" s="1"/>
  <c r="AP71" i="42"/>
  <c r="AO71" i="42"/>
  <c r="AO70" i="42" s="1"/>
  <c r="AN71" i="42"/>
  <c r="AN70" i="42" s="1"/>
  <c r="AM71" i="42"/>
  <c r="AM70" i="42" s="1"/>
  <c r="AL71" i="42"/>
  <c r="AG71" i="42"/>
  <c r="S71" i="42"/>
  <c r="N71" i="42"/>
  <c r="U71" i="42" s="1"/>
  <c r="D71" i="42"/>
  <c r="AP70" i="42"/>
  <c r="O70" i="42"/>
  <c r="M70" i="42"/>
  <c r="L70" i="42"/>
  <c r="H70" i="42"/>
  <c r="G70" i="42"/>
  <c r="F70" i="42"/>
  <c r="E70" i="42"/>
  <c r="D70" i="42" s="1"/>
  <c r="AQ69" i="42"/>
  <c r="AQ68" i="42" s="1"/>
  <c r="AP69" i="42"/>
  <c r="AO69" i="42"/>
  <c r="AO68" i="42" s="1"/>
  <c r="AN69" i="42"/>
  <c r="AN68" i="42" s="1"/>
  <c r="AM69" i="42"/>
  <c r="AM68" i="42" s="1"/>
  <c r="AL69" i="42"/>
  <c r="AK69" i="42" s="1"/>
  <c r="AG69" i="42"/>
  <c r="AG68" i="42" s="1"/>
  <c r="S69" i="42"/>
  <c r="N69" i="42"/>
  <c r="D69" i="42"/>
  <c r="AH69" i="42" s="1"/>
  <c r="AP68" i="42"/>
  <c r="AL68" i="42"/>
  <c r="AK68" i="42" s="1"/>
  <c r="O68" i="42"/>
  <c r="M68" i="42"/>
  <c r="L68" i="42"/>
  <c r="H68" i="42"/>
  <c r="G68" i="42"/>
  <c r="F68" i="42"/>
  <c r="E68" i="42"/>
  <c r="AQ67" i="42"/>
  <c r="AP67" i="42"/>
  <c r="AO67" i="42"/>
  <c r="AN67" i="42"/>
  <c r="AM67" i="42"/>
  <c r="AL67" i="42"/>
  <c r="AK67" i="42" s="1"/>
  <c r="AG67" i="42"/>
  <c r="AI67" i="42" s="1"/>
  <c r="S67" i="42"/>
  <c r="N67" i="42"/>
  <c r="U67" i="42" s="1"/>
  <c r="D67" i="42"/>
  <c r="AQ66" i="42"/>
  <c r="AP66" i="42"/>
  <c r="AO66" i="42"/>
  <c r="AN66" i="42"/>
  <c r="AM66" i="42"/>
  <c r="AL66" i="42"/>
  <c r="AK66" i="42" s="1"/>
  <c r="AG66" i="42"/>
  <c r="S66" i="42"/>
  <c r="N66" i="42"/>
  <c r="U66" i="42" s="1"/>
  <c r="D66" i="42"/>
  <c r="AQ65" i="42"/>
  <c r="AP65" i="42"/>
  <c r="AO65" i="42"/>
  <c r="AN65" i="42"/>
  <c r="AM65" i="42"/>
  <c r="AL65" i="42"/>
  <c r="AK65" i="42"/>
  <c r="AG65" i="42"/>
  <c r="AI65" i="42" s="1"/>
  <c r="S65" i="42"/>
  <c r="N65" i="42"/>
  <c r="U65" i="42" s="1"/>
  <c r="D65" i="42"/>
  <c r="AQ64" i="42"/>
  <c r="AP64" i="42"/>
  <c r="AO64" i="42"/>
  <c r="AN64" i="42"/>
  <c r="AM64" i="42"/>
  <c r="AL64" i="42"/>
  <c r="AK64" i="42" s="1"/>
  <c r="AG64" i="42"/>
  <c r="U64" i="42"/>
  <c r="S64" i="42"/>
  <c r="D64" i="42"/>
  <c r="AQ63" i="42"/>
  <c r="AP63" i="42"/>
  <c r="AO63" i="42"/>
  <c r="AN63" i="42"/>
  <c r="AM63" i="42"/>
  <c r="AL63" i="42"/>
  <c r="AK63" i="42" s="1"/>
  <c r="AG63" i="42"/>
  <c r="AI63" i="42" s="1"/>
  <c r="S63" i="42"/>
  <c r="N63" i="42"/>
  <c r="U63" i="42" s="1"/>
  <c r="D63" i="42"/>
  <c r="AQ62" i="42"/>
  <c r="AP62" i="42"/>
  <c r="AO62" i="42"/>
  <c r="AN62" i="42"/>
  <c r="AM62" i="42"/>
  <c r="AL62" i="42"/>
  <c r="AK62" i="42" s="1"/>
  <c r="AG62" i="42"/>
  <c r="S62" i="42"/>
  <c r="N62" i="42"/>
  <c r="U62" i="42" s="1"/>
  <c r="D62" i="42"/>
  <c r="AH62" i="42" s="1"/>
  <c r="AQ61" i="42"/>
  <c r="AP61" i="42"/>
  <c r="AO61" i="42"/>
  <c r="AN61" i="42"/>
  <c r="AM61" i="42"/>
  <c r="AL61" i="42"/>
  <c r="AK61" i="42" s="1"/>
  <c r="AG61" i="42"/>
  <c r="S61" i="42"/>
  <c r="N61" i="42"/>
  <c r="U61" i="42" s="1"/>
  <c r="D61" i="42"/>
  <c r="AH61" i="42" s="1"/>
  <c r="AQ60" i="42"/>
  <c r="AP60" i="42"/>
  <c r="AO60" i="42"/>
  <c r="AN60" i="42"/>
  <c r="AM60" i="42"/>
  <c r="AL60" i="42"/>
  <c r="AK60" i="42" s="1"/>
  <c r="AG60" i="42"/>
  <c r="U60" i="42"/>
  <c r="S60" i="42"/>
  <c r="N60" i="42"/>
  <c r="D60" i="42"/>
  <c r="AH60" i="42" s="1"/>
  <c r="AQ59" i="42"/>
  <c r="AP59" i="42"/>
  <c r="AO59" i="42"/>
  <c r="AN59" i="42"/>
  <c r="AM59" i="42"/>
  <c r="AL59" i="42"/>
  <c r="AK59" i="42" s="1"/>
  <c r="AG59" i="42"/>
  <c r="AI59" i="42" s="1"/>
  <c r="S59" i="42"/>
  <c r="N59" i="42"/>
  <c r="U59" i="42" s="1"/>
  <c r="D59" i="42"/>
  <c r="AQ58" i="42"/>
  <c r="AP58" i="42"/>
  <c r="AO58" i="42"/>
  <c r="AN58" i="42"/>
  <c r="AM58" i="42"/>
  <c r="AL58" i="42"/>
  <c r="AK58" i="42" s="1"/>
  <c r="AG58" i="42"/>
  <c r="S58" i="42"/>
  <c r="N58" i="42"/>
  <c r="U58" i="42" s="1"/>
  <c r="D58" i="42"/>
  <c r="AH58" i="42" s="1"/>
  <c r="AQ57" i="42"/>
  <c r="AP57" i="42"/>
  <c r="AO57" i="42"/>
  <c r="AN57" i="42"/>
  <c r="AM57" i="42"/>
  <c r="AL57" i="42"/>
  <c r="AK57" i="42" s="1"/>
  <c r="AG57" i="42"/>
  <c r="S57" i="42"/>
  <c r="N57" i="42"/>
  <c r="U57" i="42" s="1"/>
  <c r="D57" i="42"/>
  <c r="AH57" i="42" s="1"/>
  <c r="AQ56" i="42"/>
  <c r="AP56" i="42"/>
  <c r="AO56" i="42"/>
  <c r="AN56" i="42"/>
  <c r="AM56" i="42"/>
  <c r="AL56" i="42"/>
  <c r="AK56" i="42" s="1"/>
  <c r="AG56" i="42"/>
  <c r="S56" i="42"/>
  <c r="N56" i="42"/>
  <c r="U56" i="42" s="1"/>
  <c r="D56" i="42"/>
  <c r="AH56" i="42" s="1"/>
  <c r="AQ55" i="42"/>
  <c r="AP55" i="42"/>
  <c r="AO55" i="42"/>
  <c r="AN55" i="42"/>
  <c r="AM55" i="42"/>
  <c r="AL55" i="42"/>
  <c r="AK55" i="42" s="1"/>
  <c r="AG55" i="42"/>
  <c r="AI55" i="42" s="1"/>
  <c r="S55" i="42"/>
  <c r="N55" i="42"/>
  <c r="U55" i="42" s="1"/>
  <c r="D55" i="42"/>
  <c r="AQ54" i="42"/>
  <c r="AP54" i="42"/>
  <c r="AO54" i="42"/>
  <c r="AN54" i="42"/>
  <c r="AM54" i="42"/>
  <c r="AL54" i="42"/>
  <c r="AK54" i="42"/>
  <c r="AG54" i="42"/>
  <c r="U54" i="42"/>
  <c r="S54" i="42"/>
  <c r="N54" i="42"/>
  <c r="D54" i="42"/>
  <c r="AH54" i="42" s="1"/>
  <c r="AQ53" i="42"/>
  <c r="AP53" i="42"/>
  <c r="AO53" i="42"/>
  <c r="AN53" i="42"/>
  <c r="AM53" i="42"/>
  <c r="AL53" i="42"/>
  <c r="AK53" i="42" s="1"/>
  <c r="AG53" i="42"/>
  <c r="AI53" i="42" s="1"/>
  <c r="S53" i="42"/>
  <c r="N53" i="42"/>
  <c r="U53" i="42" s="1"/>
  <c r="D53" i="42"/>
  <c r="AQ52" i="42"/>
  <c r="AP52" i="42"/>
  <c r="AO52" i="42"/>
  <c r="AN52" i="42"/>
  <c r="AM52" i="42"/>
  <c r="AL52" i="42"/>
  <c r="AK52" i="42"/>
  <c r="AG52" i="42"/>
  <c r="S52" i="42"/>
  <c r="N52" i="42"/>
  <c r="U52" i="42" s="1"/>
  <c r="D52" i="42"/>
  <c r="AH52" i="42" s="1"/>
  <c r="AQ51" i="42"/>
  <c r="AP51" i="42"/>
  <c r="AO51" i="42"/>
  <c r="AN51" i="42"/>
  <c r="AM51" i="42"/>
  <c r="AL51" i="42"/>
  <c r="AK51" i="42" s="1"/>
  <c r="AG51" i="42"/>
  <c r="AI51" i="42" s="1"/>
  <c r="S51" i="42"/>
  <c r="N51" i="42"/>
  <c r="U51" i="42" s="1"/>
  <c r="D51" i="42"/>
  <c r="AQ50" i="42"/>
  <c r="AP50" i="42"/>
  <c r="AO50" i="42"/>
  <c r="AN50" i="42"/>
  <c r="AM50" i="42"/>
  <c r="AL50" i="42"/>
  <c r="AK50" i="42"/>
  <c r="AG50" i="42"/>
  <c r="U50" i="42"/>
  <c r="S50" i="42"/>
  <c r="N50" i="42"/>
  <c r="D50" i="42"/>
  <c r="AH50" i="42" s="1"/>
  <c r="AQ49" i="42"/>
  <c r="AP49" i="42"/>
  <c r="AO49" i="42"/>
  <c r="AN49" i="42"/>
  <c r="AM49" i="42"/>
  <c r="AL49" i="42"/>
  <c r="AK49" i="42" s="1"/>
  <c r="AG49" i="42"/>
  <c r="AI49" i="42" s="1"/>
  <c r="S49" i="42"/>
  <c r="N49" i="42"/>
  <c r="U49" i="42" s="1"/>
  <c r="D49" i="42"/>
  <c r="AQ48" i="42"/>
  <c r="AP48" i="42"/>
  <c r="AO48" i="42"/>
  <c r="AN48" i="42"/>
  <c r="AM48" i="42"/>
  <c r="AL48" i="42"/>
  <c r="AK48" i="42"/>
  <c r="AG48" i="42"/>
  <c r="S48" i="42"/>
  <c r="N48" i="42"/>
  <c r="U48" i="42" s="1"/>
  <c r="D48" i="42"/>
  <c r="AH48" i="42" s="1"/>
  <c r="AQ47" i="42"/>
  <c r="AP47" i="42"/>
  <c r="AO47" i="42"/>
  <c r="AN47" i="42"/>
  <c r="AM47" i="42"/>
  <c r="AL47" i="42"/>
  <c r="AK47" i="42" s="1"/>
  <c r="AG47" i="42"/>
  <c r="U47" i="42"/>
  <c r="S47" i="42"/>
  <c r="D47" i="42"/>
  <c r="AQ46" i="42"/>
  <c r="AQ45" i="42" s="1"/>
  <c r="AP46" i="42"/>
  <c r="AP45" i="42" s="1"/>
  <c r="AO46" i="42"/>
  <c r="AN46" i="42"/>
  <c r="AN45" i="42" s="1"/>
  <c r="AM46" i="42"/>
  <c r="AM45" i="42" s="1"/>
  <c r="AL46" i="42"/>
  <c r="AG46" i="42"/>
  <c r="AI46" i="42" s="1"/>
  <c r="S46" i="42"/>
  <c r="N46" i="42"/>
  <c r="U46" i="42" s="1"/>
  <c r="D46" i="42"/>
  <c r="AO45" i="42"/>
  <c r="O45" i="42"/>
  <c r="M45" i="42"/>
  <c r="L45" i="42"/>
  <c r="H45" i="42"/>
  <c r="G45" i="42"/>
  <c r="G34" i="42" s="1"/>
  <c r="F45" i="42"/>
  <c r="E45" i="42"/>
  <c r="AQ44" i="42"/>
  <c r="AP44" i="42"/>
  <c r="AO44" i="42"/>
  <c r="AN44" i="42"/>
  <c r="AM44" i="42"/>
  <c r="AL44" i="42"/>
  <c r="AK44" i="42" s="1"/>
  <c r="AG44" i="42"/>
  <c r="S44" i="42"/>
  <c r="N44" i="42"/>
  <c r="U44" i="42" s="1"/>
  <c r="D44" i="42"/>
  <c r="AQ43" i="42"/>
  <c r="AP43" i="42"/>
  <c r="AO43" i="42"/>
  <c r="AN43" i="42"/>
  <c r="AM43" i="42"/>
  <c r="AL43" i="42"/>
  <c r="AK43" i="42" s="1"/>
  <c r="AG43" i="42"/>
  <c r="S43" i="42"/>
  <c r="N43" i="42"/>
  <c r="U43" i="42" s="1"/>
  <c r="D43" i="42"/>
  <c r="AH43" i="42" s="1"/>
  <c r="AQ42" i="42"/>
  <c r="AP42" i="42"/>
  <c r="AO42" i="42"/>
  <c r="AN42" i="42"/>
  <c r="AM42" i="42"/>
  <c r="AL42" i="42"/>
  <c r="AK42" i="42" s="1"/>
  <c r="AG42" i="42"/>
  <c r="S42" i="42"/>
  <c r="N42" i="42"/>
  <c r="U42" i="42" s="1"/>
  <c r="D42" i="42"/>
  <c r="AI42" i="42" s="1"/>
  <c r="AQ41" i="42"/>
  <c r="AP41" i="42"/>
  <c r="AO41" i="42"/>
  <c r="AN41" i="42"/>
  <c r="AM41" i="42"/>
  <c r="AL41" i="42"/>
  <c r="AK41" i="42" s="1"/>
  <c r="AG41" i="42"/>
  <c r="S41" i="42"/>
  <c r="N41" i="42"/>
  <c r="U41" i="42" s="1"/>
  <c r="D41" i="42"/>
  <c r="AH41" i="42" s="1"/>
  <c r="AQ40" i="42"/>
  <c r="AQ39" i="42" s="1"/>
  <c r="AP40" i="42"/>
  <c r="AP39" i="42" s="1"/>
  <c r="AO40" i="42"/>
  <c r="AO39" i="42" s="1"/>
  <c r="AN40" i="42"/>
  <c r="AN39" i="42" s="1"/>
  <c r="AM40" i="42"/>
  <c r="AM39" i="42" s="1"/>
  <c r="AL40" i="42"/>
  <c r="AK40" i="42" s="1"/>
  <c r="AG40" i="42"/>
  <c r="AI40" i="42" s="1"/>
  <c r="S40" i="42"/>
  <c r="N40" i="42"/>
  <c r="D40" i="42"/>
  <c r="AG39" i="42"/>
  <c r="O39" i="42"/>
  <c r="M39" i="42"/>
  <c r="L39" i="42"/>
  <c r="H39" i="42"/>
  <c r="G39" i="42"/>
  <c r="F39" i="42"/>
  <c r="E39" i="42"/>
  <c r="AQ38" i="42"/>
  <c r="AP38" i="42"/>
  <c r="AO38" i="42"/>
  <c r="AN38" i="42"/>
  <c r="AM38" i="42"/>
  <c r="AM34" i="42" s="1"/>
  <c r="AL38" i="42"/>
  <c r="AK38" i="42" s="1"/>
  <c r="AG38" i="42"/>
  <c r="S38" i="42"/>
  <c r="N38" i="42"/>
  <c r="U38" i="42" s="1"/>
  <c r="D38" i="42"/>
  <c r="AH38" i="42" s="1"/>
  <c r="AQ37" i="42"/>
  <c r="AP37" i="42"/>
  <c r="AO37" i="42"/>
  <c r="AN37" i="42"/>
  <c r="AM37" i="42"/>
  <c r="AL37" i="42"/>
  <c r="AG37" i="42"/>
  <c r="S37" i="42"/>
  <c r="N37" i="42"/>
  <c r="U37" i="42" s="1"/>
  <c r="D37" i="42"/>
  <c r="AH37" i="42" s="1"/>
  <c r="AQ36" i="42"/>
  <c r="AP36" i="42"/>
  <c r="AO36" i="42"/>
  <c r="AN36" i="42"/>
  <c r="AM36" i="42"/>
  <c r="AL36" i="42"/>
  <c r="AK36" i="42" s="1"/>
  <c r="AG36" i="42"/>
  <c r="S36" i="42"/>
  <c r="N36" i="42"/>
  <c r="D36" i="42"/>
  <c r="AH36" i="42" s="1"/>
  <c r="U35" i="42"/>
  <c r="S35" i="42"/>
  <c r="M34" i="42"/>
  <c r="AK33" i="42"/>
  <c r="U33" i="42"/>
  <c r="S33" i="42"/>
  <c r="D33" i="42"/>
  <c r="AQ32" i="42"/>
  <c r="AP32" i="42"/>
  <c r="AO32" i="42"/>
  <c r="AN32" i="42"/>
  <c r="AM32" i="42"/>
  <c r="AL32" i="42"/>
  <c r="AK32" i="42" s="1"/>
  <c r="AG32" i="42"/>
  <c r="S32" i="42"/>
  <c r="N32" i="42"/>
  <c r="U32" i="42" s="1"/>
  <c r="D32" i="42"/>
  <c r="AH32" i="42" s="1"/>
  <c r="AQ31" i="42"/>
  <c r="AP31" i="42"/>
  <c r="AO31" i="42"/>
  <c r="AN31" i="42"/>
  <c r="AM31" i="42"/>
  <c r="AL31" i="42"/>
  <c r="AK31" i="42" s="1"/>
  <c r="AG31" i="42"/>
  <c r="S31" i="42"/>
  <c r="N31" i="42"/>
  <c r="U31" i="42" s="1"/>
  <c r="D31" i="42"/>
  <c r="AH31" i="42" s="1"/>
  <c r="AQ30" i="42"/>
  <c r="AP30" i="42"/>
  <c r="AO30" i="42"/>
  <c r="AN30" i="42"/>
  <c r="AM30" i="42"/>
  <c r="AL30" i="42"/>
  <c r="AK30" i="42" s="1"/>
  <c r="AG30" i="42"/>
  <c r="S30" i="42"/>
  <c r="N30" i="42"/>
  <c r="U30" i="42" s="1"/>
  <c r="D30" i="42"/>
  <c r="AQ29" i="42"/>
  <c r="AP29" i="42"/>
  <c r="AO29" i="42"/>
  <c r="AN29" i="42"/>
  <c r="AM29" i="42"/>
  <c r="AL29" i="42"/>
  <c r="AK29" i="42" s="1"/>
  <c r="AG29" i="42"/>
  <c r="S29" i="42"/>
  <c r="N29" i="42"/>
  <c r="U29" i="42" s="1"/>
  <c r="D29" i="42"/>
  <c r="AH29" i="42" s="1"/>
  <c r="AQ28" i="42"/>
  <c r="AP28" i="42"/>
  <c r="AP26" i="42" s="1"/>
  <c r="AO28" i="42"/>
  <c r="AO26" i="42" s="1"/>
  <c r="AN28" i="42"/>
  <c r="AN26" i="42" s="1"/>
  <c r="AM28" i="42"/>
  <c r="AL28" i="42"/>
  <c r="AK28" i="42" s="1"/>
  <c r="AK26" i="42" s="1"/>
  <c r="AG28" i="42"/>
  <c r="S28" i="42"/>
  <c r="N28" i="42"/>
  <c r="U28" i="42" s="1"/>
  <c r="D28" i="42"/>
  <c r="AQ26" i="42"/>
  <c r="AM26" i="42"/>
  <c r="O26" i="42"/>
  <c r="N26" i="42"/>
  <c r="M26" i="42"/>
  <c r="L26" i="42"/>
  <c r="K26" i="42"/>
  <c r="S26" i="42" s="1"/>
  <c r="H26" i="42"/>
  <c r="G26" i="42"/>
  <c r="F26" i="42"/>
  <c r="E26" i="42"/>
  <c r="D26" i="42"/>
  <c r="AQ25" i="42"/>
  <c r="AP25" i="42"/>
  <c r="AO25" i="42"/>
  <c r="AN25" i="42"/>
  <c r="AM25" i="42"/>
  <c r="AL25" i="42"/>
  <c r="AK25" i="42" s="1"/>
  <c r="AG25" i="42"/>
  <c r="AI25" i="42" s="1"/>
  <c r="S25" i="42"/>
  <c r="N25" i="42"/>
  <c r="U25" i="42" s="1"/>
  <c r="D25" i="42"/>
  <c r="AQ24" i="42"/>
  <c r="AP24" i="42"/>
  <c r="AO24" i="42"/>
  <c r="AO22" i="42" s="1"/>
  <c r="AN24" i="42"/>
  <c r="AM24" i="42"/>
  <c r="AL24" i="42"/>
  <c r="AK24" i="42" s="1"/>
  <c r="AG24" i="42"/>
  <c r="S24" i="42"/>
  <c r="N24" i="42"/>
  <c r="U24" i="42" s="1"/>
  <c r="D24" i="42"/>
  <c r="AH24" i="42" s="1"/>
  <c r="AQ23" i="42"/>
  <c r="AP23" i="42"/>
  <c r="AP22" i="42" s="1"/>
  <c r="AO23" i="42"/>
  <c r="AN23" i="42"/>
  <c r="AN22" i="42" s="1"/>
  <c r="AM23" i="42"/>
  <c r="AL23" i="42"/>
  <c r="AK23" i="42" s="1"/>
  <c r="AG23" i="42"/>
  <c r="S23" i="42"/>
  <c r="N23" i="42"/>
  <c r="D23" i="42"/>
  <c r="AH23" i="42" s="1"/>
  <c r="AL22" i="42"/>
  <c r="AK22" i="42" s="1"/>
  <c r="AG22" i="42"/>
  <c r="O22" i="42"/>
  <c r="M22" i="42"/>
  <c r="L22" i="42"/>
  <c r="K22" i="42"/>
  <c r="S22" i="42" s="1"/>
  <c r="H22" i="42"/>
  <c r="G22" i="42"/>
  <c r="F22" i="42"/>
  <c r="D22" i="42" s="1"/>
  <c r="AH22" i="42" s="1"/>
  <c r="E22" i="42"/>
  <c r="AQ21" i="42"/>
  <c r="AP21" i="42"/>
  <c r="AO21" i="42"/>
  <c r="AN21" i="42"/>
  <c r="AM21" i="42"/>
  <c r="AL21" i="42"/>
  <c r="AK21" i="42" s="1"/>
  <c r="AG21" i="42"/>
  <c r="S21" i="42"/>
  <c r="N21" i="42"/>
  <c r="U21" i="42" s="1"/>
  <c r="D21" i="42"/>
  <c r="AQ20" i="42"/>
  <c r="AP20" i="42"/>
  <c r="AO20" i="42"/>
  <c r="AN20" i="42"/>
  <c r="AM20" i="42"/>
  <c r="AL20" i="42"/>
  <c r="AK20" i="42" s="1"/>
  <c r="AG20" i="42"/>
  <c r="S20" i="42"/>
  <c r="N20" i="42"/>
  <c r="U20" i="42" s="1"/>
  <c r="D20" i="42"/>
  <c r="AH20" i="42" s="1"/>
  <c r="AQ19" i="42"/>
  <c r="AP19" i="42"/>
  <c r="AO19" i="42"/>
  <c r="AN19" i="42"/>
  <c r="AM19" i="42"/>
  <c r="AL19" i="42"/>
  <c r="AK19" i="42" s="1"/>
  <c r="AG19" i="42"/>
  <c r="S19" i="42"/>
  <c r="N19" i="42"/>
  <c r="U19" i="42" s="1"/>
  <c r="D19" i="42"/>
  <c r="AH19" i="42" s="1"/>
  <c r="AQ18" i="42"/>
  <c r="AP18" i="42"/>
  <c r="AO18" i="42"/>
  <c r="AN18" i="42"/>
  <c r="AM18" i="42"/>
  <c r="AL18" i="42"/>
  <c r="AK18" i="42" s="1"/>
  <c r="AG18" i="42"/>
  <c r="U18" i="42"/>
  <c r="S18" i="42"/>
  <c r="N18" i="42"/>
  <c r="D18" i="42"/>
  <c r="AH18" i="42" s="1"/>
  <c r="AQ17" i="42"/>
  <c r="AP17" i="42"/>
  <c r="AO17" i="42"/>
  <c r="AN17" i="42"/>
  <c r="AM17" i="42"/>
  <c r="AL17" i="42"/>
  <c r="AK17" i="42" s="1"/>
  <c r="AG17" i="42"/>
  <c r="S17" i="42"/>
  <c r="N17" i="42"/>
  <c r="U17" i="42" s="1"/>
  <c r="D17" i="42"/>
  <c r="AQ16" i="42"/>
  <c r="AP16" i="42"/>
  <c r="AO16" i="42"/>
  <c r="AN16" i="42"/>
  <c r="AM16" i="42"/>
  <c r="AL16" i="42"/>
  <c r="AK16" i="42" s="1"/>
  <c r="AG16" i="42"/>
  <c r="AI16" i="42" s="1"/>
  <c r="S16" i="42"/>
  <c r="N16" i="42"/>
  <c r="U16" i="42" s="1"/>
  <c r="D16" i="42"/>
  <c r="AQ15" i="42"/>
  <c r="AP15" i="42"/>
  <c r="AO15" i="42"/>
  <c r="AN15" i="42"/>
  <c r="AM15" i="42"/>
  <c r="AL15" i="42"/>
  <c r="AK15" i="42" s="1"/>
  <c r="AG15" i="42"/>
  <c r="AI15" i="42" s="1"/>
  <c r="S15" i="42"/>
  <c r="N15" i="42"/>
  <c r="U15" i="42" s="1"/>
  <c r="D15" i="42"/>
  <c r="AQ14" i="42"/>
  <c r="AP14" i="42"/>
  <c r="AO14" i="42"/>
  <c r="AN14" i="42"/>
  <c r="AM14" i="42"/>
  <c r="AL14" i="42"/>
  <c r="AK14" i="42" s="1"/>
  <c r="AG14" i="42"/>
  <c r="S14" i="42"/>
  <c r="N14" i="42"/>
  <c r="U14" i="42" s="1"/>
  <c r="D14" i="42"/>
  <c r="AH14" i="42" s="1"/>
  <c r="AQ13" i="42"/>
  <c r="AP13" i="42"/>
  <c r="AO13" i="42"/>
  <c r="AN13" i="42"/>
  <c r="AM13" i="42"/>
  <c r="AL13" i="42"/>
  <c r="AK13" i="42" s="1"/>
  <c r="AG13" i="42"/>
  <c r="S13" i="42"/>
  <c r="N13" i="42"/>
  <c r="U13" i="42" s="1"/>
  <c r="D13" i="42"/>
  <c r="AH13" i="42" s="1"/>
  <c r="AQ12" i="42"/>
  <c r="AP12" i="42"/>
  <c r="AO12" i="42"/>
  <c r="AN12" i="42"/>
  <c r="AM12" i="42"/>
  <c r="AL12" i="42"/>
  <c r="AK12" i="42" s="1"/>
  <c r="AG12" i="42"/>
  <c r="S12" i="42"/>
  <c r="N12" i="42"/>
  <c r="U12" i="42" s="1"/>
  <c r="D12" i="42"/>
  <c r="AH12" i="42" s="1"/>
  <c r="AQ11" i="42"/>
  <c r="AQ10" i="42" s="1"/>
  <c r="AP11" i="42"/>
  <c r="AO11" i="42"/>
  <c r="AO10" i="42" s="1"/>
  <c r="AN11" i="42"/>
  <c r="AN10" i="42" s="1"/>
  <c r="AM11" i="42"/>
  <c r="AM10" i="42" s="1"/>
  <c r="AL11" i="42"/>
  <c r="AK11" i="42" s="1"/>
  <c r="AK10" i="42" s="1"/>
  <c r="AG11" i="42"/>
  <c r="AI11" i="42" s="1"/>
  <c r="S11" i="42"/>
  <c r="N11" i="42"/>
  <c r="U11" i="42" s="1"/>
  <c r="D11" i="42"/>
  <c r="AP10" i="42"/>
  <c r="O10" i="42"/>
  <c r="M10" i="42"/>
  <c r="L10" i="42"/>
  <c r="K10" i="42"/>
  <c r="S10" i="42" s="1"/>
  <c r="H10" i="42"/>
  <c r="H8" i="42" s="1"/>
  <c r="G10" i="42"/>
  <c r="F10" i="42"/>
  <c r="E10" i="42"/>
  <c r="E8" i="42" s="1"/>
  <c r="O8" i="42"/>
  <c r="L8" i="42"/>
  <c r="F42" i="45" l="1"/>
  <c r="M23" i="40"/>
  <c r="S23" i="40" s="1"/>
  <c r="BJ23" i="40" s="1"/>
  <c r="BP23" i="40"/>
  <c r="K41" i="40"/>
  <c r="Q41" i="40" s="1"/>
  <c r="BN41" i="40"/>
  <c r="M96" i="40"/>
  <c r="S96" i="40" s="1"/>
  <c r="BJ96" i="40" s="1"/>
  <c r="BP96" i="40"/>
  <c r="F29" i="44"/>
  <c r="BH92" i="40"/>
  <c r="D10" i="42"/>
  <c r="D8" i="42" s="1"/>
  <c r="AK8" i="42"/>
  <c r="AI13" i="42"/>
  <c r="AH21" i="42"/>
  <c r="AM22" i="42"/>
  <c r="AQ22" i="42"/>
  <c r="AH25" i="42"/>
  <c r="D39" i="42"/>
  <c r="AI39" i="42" s="1"/>
  <c r="AL39" i="42"/>
  <c r="AK39" i="42" s="1"/>
  <c r="AG45" i="42"/>
  <c r="AH47" i="42"/>
  <c r="AI57" i="42"/>
  <c r="AH65" i="42"/>
  <c r="AH66" i="42"/>
  <c r="AI73" i="42"/>
  <c r="AM95" i="42"/>
  <c r="AM94" i="42" s="1"/>
  <c r="AH106" i="42"/>
  <c r="AH120" i="42"/>
  <c r="AI124" i="42"/>
  <c r="AH125" i="42"/>
  <c r="AI127" i="42"/>
  <c r="AH131" i="42"/>
  <c r="AH135" i="42"/>
  <c r="AI36" i="42"/>
  <c r="AI69" i="42"/>
  <c r="AG10" i="42"/>
  <c r="AI23" i="42"/>
  <c r="AI38" i="42"/>
  <c r="F34" i="42"/>
  <c r="O34" i="42"/>
  <c r="AI98" i="42"/>
  <c r="AH112" i="42"/>
  <c r="AI119" i="42"/>
  <c r="AI123" i="42"/>
  <c r="AI129" i="42"/>
  <c r="AP8" i="42"/>
  <c r="AQ34" i="42"/>
  <c r="F8" i="42"/>
  <c r="AH15" i="42"/>
  <c r="AH17" i="42"/>
  <c r="AI19" i="42"/>
  <c r="AI30" i="42"/>
  <c r="E34" i="42"/>
  <c r="D34" i="42" s="1"/>
  <c r="G91" i="42" s="1"/>
  <c r="AH40" i="42"/>
  <c r="AI44" i="42"/>
  <c r="AH46" i="42"/>
  <c r="AI61" i="42"/>
  <c r="AH67" i="42"/>
  <c r="U92" i="42"/>
  <c r="AI107" i="42"/>
  <c r="D114" i="42"/>
  <c r="AH121" i="42"/>
  <c r="AH122" i="42"/>
  <c r="AH133" i="42"/>
  <c r="AI62" i="42"/>
  <c r="AH81" i="42"/>
  <c r="AH89" i="42"/>
  <c r="AH103" i="42"/>
  <c r="AH11" i="42"/>
  <c r="AH30" i="42"/>
  <c r="U40" i="42"/>
  <c r="N39" i="42"/>
  <c r="AI48" i="42"/>
  <c r="AH49" i="42"/>
  <c r="AI52" i="42"/>
  <c r="AH53" i="42"/>
  <c r="AI56" i="42"/>
  <c r="AH59" i="42"/>
  <c r="AH79" i="42"/>
  <c r="AH87" i="42"/>
  <c r="AK90" i="42"/>
  <c r="AG90" i="42"/>
  <c r="AH100" i="42"/>
  <c r="AH115" i="42"/>
  <c r="AK115" i="42"/>
  <c r="AK114" i="42" s="1"/>
  <c r="AL114" i="42"/>
  <c r="AH124" i="42"/>
  <c r="AH132" i="42"/>
  <c r="H90" i="42"/>
  <c r="AI28" i="42"/>
  <c r="AG26" i="42"/>
  <c r="AI26" i="42" s="1"/>
  <c r="AH28" i="42"/>
  <c r="AH44" i="42"/>
  <c r="N45" i="42"/>
  <c r="AK46" i="42"/>
  <c r="AL45" i="42"/>
  <c r="AK45" i="42" s="1"/>
  <c r="G8" i="42"/>
  <c r="G6" i="42" s="1"/>
  <c r="G136" i="42" s="1"/>
  <c r="G140" i="42" s="1"/>
  <c r="G147" i="42" s="1"/>
  <c r="AL10" i="42"/>
  <c r="AL8" i="42" s="1"/>
  <c r="AN8" i="42"/>
  <c r="AL26" i="42"/>
  <c r="AI58" i="42"/>
  <c r="AI71" i="42"/>
  <c r="AG70" i="42"/>
  <c r="AH70" i="42" s="1"/>
  <c r="AH77" i="42"/>
  <c r="AH85" i="42"/>
  <c r="AI105" i="42"/>
  <c r="AG114" i="42"/>
  <c r="AI10" i="42"/>
  <c r="AQ95" i="42"/>
  <c r="AQ94" i="42" s="1"/>
  <c r="AP34" i="42"/>
  <c r="O6" i="42"/>
  <c r="O136" i="42" s="1"/>
  <c r="O140" i="42" s="1"/>
  <c r="AI12" i="42"/>
  <c r="AI14" i="42"/>
  <c r="AH16" i="42"/>
  <c r="AI24" i="42"/>
  <c r="AO8" i="42"/>
  <c r="AI17" i="42"/>
  <c r="AI21" i="42"/>
  <c r="U23" i="42"/>
  <c r="N22" i="42"/>
  <c r="U22" i="42" s="1"/>
  <c r="K39" i="42"/>
  <c r="U39" i="42" s="1"/>
  <c r="D45" i="42"/>
  <c r="AH45" i="42" s="1"/>
  <c r="AI50" i="42"/>
  <c r="AH51" i="42"/>
  <c r="AI54" i="42"/>
  <c r="AH55" i="42"/>
  <c r="AI60" i="42"/>
  <c r="AH63" i="42"/>
  <c r="U69" i="42"/>
  <c r="N68" i="42"/>
  <c r="K68" i="42" s="1"/>
  <c r="AH71" i="42"/>
  <c r="AK71" i="42"/>
  <c r="AL70" i="42"/>
  <c r="AK70" i="42" s="1"/>
  <c r="AH83" i="42"/>
  <c r="AI103" i="42"/>
  <c r="AH111" i="42"/>
  <c r="AI125" i="42"/>
  <c r="AI133" i="42"/>
  <c r="AI18" i="42"/>
  <c r="AI20" i="42"/>
  <c r="AI31" i="42"/>
  <c r="AI47" i="42"/>
  <c r="AI82" i="42"/>
  <c r="AI86" i="42"/>
  <c r="AG93" i="42"/>
  <c r="AO95" i="42"/>
  <c r="AO94" i="42" s="1"/>
  <c r="G95" i="42"/>
  <c r="G94" i="42" s="1"/>
  <c r="AH108" i="42"/>
  <c r="AI110" i="42"/>
  <c r="D117" i="42"/>
  <c r="AI118" i="42"/>
  <c r="AI126" i="42"/>
  <c r="AI134" i="42"/>
  <c r="AH137" i="42"/>
  <c r="AI29" i="42"/>
  <c r="AH42" i="42"/>
  <c r="D68" i="42"/>
  <c r="AH68" i="42" s="1"/>
  <c r="L34" i="42"/>
  <c r="L6" i="42" s="1"/>
  <c r="L136" i="42" s="1"/>
  <c r="L140" i="42" s="1"/>
  <c r="L145" i="42" s="1"/>
  <c r="N75" i="42"/>
  <c r="AG91" i="42"/>
  <c r="AK110" i="42"/>
  <c r="AH113" i="42"/>
  <c r="AI116" i="42"/>
  <c r="E95" i="42"/>
  <c r="E94" i="42" s="1"/>
  <c r="AK118" i="42"/>
  <c r="AK117" i="42" s="1"/>
  <c r="AI120" i="42"/>
  <c r="AI128" i="42"/>
  <c r="AI22" i="42"/>
  <c r="U26" i="42"/>
  <c r="AN34" i="42"/>
  <c r="AI64" i="42"/>
  <c r="N70" i="42"/>
  <c r="K70" i="42" s="1"/>
  <c r="U91" i="42"/>
  <c r="AG92" i="42"/>
  <c r="AI101" i="42"/>
  <c r="D109" i="42"/>
  <c r="AI122" i="42"/>
  <c r="AI130" i="42"/>
  <c r="AI135" i="42"/>
  <c r="K8" i="42"/>
  <c r="S8" i="42" s="1"/>
  <c r="N10" i="42"/>
  <c r="AM8" i="42"/>
  <c r="AM6" i="42" s="1"/>
  <c r="AM136" i="42" s="1"/>
  <c r="AM140" i="42" s="1"/>
  <c r="AM146" i="42" s="1"/>
  <c r="AQ8" i="42"/>
  <c r="AQ6" i="42" s="1"/>
  <c r="O148" i="42"/>
  <c r="S148" i="42" s="1"/>
  <c r="O139" i="42"/>
  <c r="AI72" i="42"/>
  <c r="AI74" i="42"/>
  <c r="D75" i="42"/>
  <c r="AH76" i="42"/>
  <c r="AI84" i="42"/>
  <c r="M8" i="42"/>
  <c r="M6" i="42" s="1"/>
  <c r="AH10" i="42"/>
  <c r="E90" i="42"/>
  <c r="AH64" i="42"/>
  <c r="AI68" i="42"/>
  <c r="AK76" i="42"/>
  <c r="AK75" i="42" s="1"/>
  <c r="AL75" i="42"/>
  <c r="U98" i="42"/>
  <c r="AN95" i="42"/>
  <c r="AN94" i="42" s="1"/>
  <c r="AI99" i="42"/>
  <c r="M95" i="42"/>
  <c r="M94" i="42" s="1"/>
  <c r="AH139" i="42"/>
  <c r="D138" i="42"/>
  <c r="AH138" i="42" s="1"/>
  <c r="AK37" i="42"/>
  <c r="AI66" i="42"/>
  <c r="AI76" i="42"/>
  <c r="AG75" i="42"/>
  <c r="AI78" i="42"/>
  <c r="AI88" i="42"/>
  <c r="F6" i="42"/>
  <c r="F136" i="42" s="1"/>
  <c r="F140" i="42" s="1"/>
  <c r="F146" i="42" s="1"/>
  <c r="AH146" i="42" s="1"/>
  <c r="AG8" i="42"/>
  <c r="F90" i="42"/>
  <c r="F92" i="42"/>
  <c r="E92" i="42"/>
  <c r="H92" i="42"/>
  <c r="G92" i="42"/>
  <c r="AI32" i="42"/>
  <c r="AH39" i="42"/>
  <c r="H34" i="42"/>
  <c r="AI43" i="42"/>
  <c r="K45" i="42"/>
  <c r="AI45" i="42"/>
  <c r="U115" i="42"/>
  <c r="N114" i="42"/>
  <c r="U114" i="42" s="1"/>
  <c r="S117" i="42"/>
  <c r="AI80" i="42"/>
  <c r="G90" i="42"/>
  <c r="U36" i="42"/>
  <c r="AI37" i="42"/>
  <c r="AG34" i="42"/>
  <c r="AO34" i="42"/>
  <c r="AI41" i="42"/>
  <c r="U75" i="42"/>
  <c r="AL95" i="42"/>
  <c r="AL94" i="42" s="1"/>
  <c r="AP95" i="42"/>
  <c r="AP94" i="42" s="1"/>
  <c r="AH101" i="42"/>
  <c r="N101" i="42"/>
  <c r="N95" i="42" s="1"/>
  <c r="N94" i="42" s="1"/>
  <c r="AI106" i="42"/>
  <c r="N117" i="42"/>
  <c r="U117" i="42" s="1"/>
  <c r="U119" i="42"/>
  <c r="S90" i="42"/>
  <c r="AI104" i="42"/>
  <c r="D95" i="42"/>
  <c r="AH97" i="42"/>
  <c r="AI97" i="42"/>
  <c r="N109" i="42"/>
  <c r="K109" i="42" s="1"/>
  <c r="U111" i="42"/>
  <c r="S108" i="42"/>
  <c r="AH118" i="42"/>
  <c r="L138" i="42"/>
  <c r="AG109" i="42"/>
  <c r="AI109" i="42" s="1"/>
  <c r="AG117" i="42"/>
  <c r="G14" i="46" l="1"/>
  <c r="F21" i="44"/>
  <c r="F14" i="46"/>
  <c r="BH41" i="40"/>
  <c r="N34" i="42"/>
  <c r="N8" i="42"/>
  <c r="AP6" i="42"/>
  <c r="AI114" i="42"/>
  <c r="AN6" i="42"/>
  <c r="E6" i="42"/>
  <c r="E136" i="42" s="1"/>
  <c r="E140" i="42" s="1"/>
  <c r="E145" i="42" s="1"/>
  <c r="AH145" i="42" s="1"/>
  <c r="AO6" i="42"/>
  <c r="AO136" i="42" s="1"/>
  <c r="AO140" i="42" s="1"/>
  <c r="AI34" i="42"/>
  <c r="H91" i="42"/>
  <c r="AQ136" i="42"/>
  <c r="AQ140" i="42" s="1"/>
  <c r="AQ148" i="42" s="1"/>
  <c r="AK95" i="42"/>
  <c r="AK94" i="42" s="1"/>
  <c r="S68" i="42"/>
  <c r="U68" i="42"/>
  <c r="S70" i="42"/>
  <c r="U70" i="42"/>
  <c r="N6" i="42"/>
  <c r="K34" i="42"/>
  <c r="K6" i="42" s="1"/>
  <c r="AI70" i="42"/>
  <c r="AH75" i="42"/>
  <c r="U10" i="42"/>
  <c r="AH114" i="42"/>
  <c r="AP136" i="42"/>
  <c r="AP140" i="42" s="1"/>
  <c r="M136" i="42"/>
  <c r="M140" i="42" s="1"/>
  <c r="M146" i="42" s="1"/>
  <c r="S146" i="42" s="1"/>
  <c r="S39" i="42"/>
  <c r="AH26" i="42"/>
  <c r="AG95" i="42"/>
  <c r="AI95" i="42" s="1"/>
  <c r="AL34" i="42"/>
  <c r="AK34" i="42" s="1"/>
  <c r="AK6" i="42" s="1"/>
  <c r="AK136" i="42" s="1"/>
  <c r="AK140" i="42" s="1"/>
  <c r="U101" i="42"/>
  <c r="U6" i="42"/>
  <c r="S6" i="42"/>
  <c r="N136" i="42"/>
  <c r="N140" i="42" s="1"/>
  <c r="AI117" i="42"/>
  <c r="AH117" i="42"/>
  <c r="E91" i="42"/>
  <c r="AG6" i="42"/>
  <c r="AI8" i="42"/>
  <c r="AI75" i="42"/>
  <c r="D6" i="42"/>
  <c r="H6" i="42"/>
  <c r="H136" i="42" s="1"/>
  <c r="H140" i="42" s="1"/>
  <c r="H148" i="42" s="1"/>
  <c r="AH148" i="42" s="1"/>
  <c r="U34" i="42"/>
  <c r="S34" i="42"/>
  <c r="O138" i="42"/>
  <c r="O137" i="42" s="1"/>
  <c r="AH109" i="42"/>
  <c r="D92" i="42"/>
  <c r="D90" i="42"/>
  <c r="L155" i="42"/>
  <c r="S145" i="42"/>
  <c r="AH8" i="42"/>
  <c r="U109" i="42"/>
  <c r="S109" i="42"/>
  <c r="K95" i="42"/>
  <c r="AH95" i="42"/>
  <c r="D94" i="42"/>
  <c r="AH34" i="42"/>
  <c r="U45" i="42"/>
  <c r="S45" i="42"/>
  <c r="F91" i="42"/>
  <c r="AN136" i="42"/>
  <c r="AN140" i="42" s="1"/>
  <c r="AN147" i="42" s="1"/>
  <c r="U8" i="42"/>
  <c r="M98" i="36"/>
  <c r="L98" i="36"/>
  <c r="M97" i="36"/>
  <c r="L97" i="36"/>
  <c r="M29" i="36"/>
  <c r="L29" i="36"/>
  <c r="M28" i="36"/>
  <c r="L28" i="36"/>
  <c r="M155" i="42" l="1"/>
  <c r="AL6" i="42"/>
  <c r="AL136" i="42" s="1"/>
  <c r="AL140" i="42" s="1"/>
  <c r="AL145" i="42" s="1"/>
  <c r="AG94" i="42"/>
  <c r="AG136" i="42" s="1"/>
  <c r="K140" i="42"/>
  <c r="U140" i="42" s="1"/>
  <c r="K153" i="42"/>
  <c r="S140" i="42"/>
  <c r="U95" i="42"/>
  <c r="K94" i="42"/>
  <c r="S95" i="42"/>
  <c r="D136" i="42"/>
  <c r="AH6" i="42"/>
  <c r="D91" i="42"/>
  <c r="AI6" i="42"/>
  <c r="AI94" i="42"/>
  <c r="N147" i="42"/>
  <c r="N139" i="42"/>
  <c r="AH94" i="42" l="1"/>
  <c r="D140" i="42"/>
  <c r="AH136" i="42"/>
  <c r="N138" i="42"/>
  <c r="K138" i="42" s="1"/>
  <c r="K139" i="42"/>
  <c r="AG140" i="42"/>
  <c r="AI136" i="42"/>
  <c r="S147" i="42"/>
  <c r="N155" i="42"/>
  <c r="K155" i="42" s="1"/>
  <c r="S94" i="42"/>
  <c r="U94" i="42"/>
  <c r="K136" i="42"/>
  <c r="N137" i="42" l="1"/>
  <c r="K137" i="42" s="1"/>
  <c r="U138" i="42"/>
  <c r="S138" i="42"/>
  <c r="U136" i="42"/>
  <c r="S136" i="42"/>
  <c r="S139" i="42"/>
  <c r="U139" i="42"/>
  <c r="D153" i="42"/>
  <c r="AH140" i="42"/>
  <c r="U137" i="42" l="1"/>
  <c r="S137" i="42"/>
  <c r="N134" i="41"/>
  <c r="N133" i="41"/>
  <c r="N112" i="41"/>
  <c r="N108" i="41"/>
  <c r="N105" i="41"/>
  <c r="N102" i="41"/>
  <c r="N97" i="41"/>
  <c r="N96" i="41"/>
  <c r="N83" i="41"/>
  <c r="N67" i="41"/>
  <c r="N66" i="41"/>
  <c r="N64" i="41"/>
  <c r="N52" i="41"/>
  <c r="N51" i="41"/>
  <c r="N50" i="41"/>
  <c r="N49" i="41"/>
  <c r="N47" i="41"/>
  <c r="N30" i="41"/>
  <c r="N29" i="41"/>
  <c r="N28" i="41"/>
  <c r="N15" i="41"/>
  <c r="N14" i="41"/>
  <c r="E135" i="41"/>
  <c r="E134" i="41"/>
  <c r="E133" i="41"/>
  <c r="E132" i="41"/>
  <c r="E131" i="41"/>
  <c r="E130" i="41"/>
  <c r="E129" i="41"/>
  <c r="E128" i="41"/>
  <c r="E127" i="41"/>
  <c r="E126" i="41"/>
  <c r="E125" i="41"/>
  <c r="E124" i="41"/>
  <c r="E123" i="41"/>
  <c r="E122" i="41"/>
  <c r="E121" i="41"/>
  <c r="E120" i="41"/>
  <c r="E119" i="41"/>
  <c r="E118" i="41"/>
  <c r="E116" i="41"/>
  <c r="E115" i="41"/>
  <c r="E113" i="41"/>
  <c r="E112" i="41"/>
  <c r="E111" i="41"/>
  <c r="E110" i="41"/>
  <c r="E108" i="41"/>
  <c r="E107" i="41"/>
  <c r="E106" i="41"/>
  <c r="E105" i="41"/>
  <c r="E103" i="41"/>
  <c r="E102" i="41"/>
  <c r="E100" i="41"/>
  <c r="E99" i="41"/>
  <c r="E97" i="41"/>
  <c r="E96" i="41"/>
  <c r="E89" i="41"/>
  <c r="E88" i="41"/>
  <c r="E87" i="41"/>
  <c r="E86" i="41"/>
  <c r="E85" i="41"/>
  <c r="E84" i="41"/>
  <c r="E83" i="41"/>
  <c r="E82" i="41"/>
  <c r="E81" i="41"/>
  <c r="E80" i="41"/>
  <c r="E79" i="41"/>
  <c r="E78" i="41"/>
  <c r="E77" i="41"/>
  <c r="E76" i="41"/>
  <c r="E74" i="41"/>
  <c r="E73" i="41"/>
  <c r="E72" i="41"/>
  <c r="E71" i="41"/>
  <c r="E69" i="41"/>
  <c r="E67" i="41"/>
  <c r="E66" i="41"/>
  <c r="E65" i="41"/>
  <c r="E64" i="41"/>
  <c r="E63" i="41"/>
  <c r="E62" i="41"/>
  <c r="E61" i="41"/>
  <c r="E60" i="41"/>
  <c r="E59" i="41"/>
  <c r="E58" i="41"/>
  <c r="E57" i="41"/>
  <c r="E56" i="41"/>
  <c r="E55" i="41"/>
  <c r="E54" i="41"/>
  <c r="E53" i="41"/>
  <c r="E52" i="41"/>
  <c r="E51" i="41"/>
  <c r="E50" i="41"/>
  <c r="E49" i="41"/>
  <c r="E48" i="41"/>
  <c r="E47" i="41"/>
  <c r="E46" i="41"/>
  <c r="E44" i="41"/>
  <c r="E43" i="41"/>
  <c r="E42" i="41"/>
  <c r="E41" i="41"/>
  <c r="E40" i="41"/>
  <c r="E38" i="41"/>
  <c r="E37" i="41"/>
  <c r="E36" i="41"/>
  <c r="E32" i="41"/>
  <c r="E31" i="41"/>
  <c r="E30" i="41"/>
  <c r="E29" i="41"/>
  <c r="E28" i="41"/>
  <c r="E25" i="41"/>
  <c r="E24" i="41"/>
  <c r="E23" i="41"/>
  <c r="E21" i="41"/>
  <c r="E20" i="41"/>
  <c r="E19" i="41"/>
  <c r="E18" i="41"/>
  <c r="E17" i="41"/>
  <c r="E16" i="41"/>
  <c r="E15" i="41"/>
  <c r="E14" i="41"/>
  <c r="E13" i="41"/>
  <c r="E12" i="41"/>
  <c r="E11" i="41"/>
  <c r="M13" i="41"/>
  <c r="M152" i="41"/>
  <c r="D152" i="41"/>
  <c r="D150" i="41"/>
  <c r="AQ148" i="41"/>
  <c r="AQ147" i="41"/>
  <c r="AR147" i="41" s="1"/>
  <c r="AQ146" i="41"/>
  <c r="AQ145" i="41"/>
  <c r="BA144" i="41"/>
  <c r="AQ144" i="41"/>
  <c r="AX143" i="41"/>
  <c r="AQ143" i="41"/>
  <c r="H143" i="41"/>
  <c r="AW142" i="41"/>
  <c r="AQ142" i="41"/>
  <c r="AV141" i="41"/>
  <c r="AQ141" i="41"/>
  <c r="I139" i="41"/>
  <c r="I138" i="41" s="1"/>
  <c r="H139" i="41"/>
  <c r="H138" i="41" s="1"/>
  <c r="G139" i="41"/>
  <c r="G138" i="41" s="1"/>
  <c r="F139" i="41"/>
  <c r="F138" i="41" s="1"/>
  <c r="BA137" i="41"/>
  <c r="BA139" i="41" s="1"/>
  <c r="BA138" i="41" s="1"/>
  <c r="AZ137" i="41"/>
  <c r="AZ139" i="41" s="1"/>
  <c r="AZ138" i="41" s="1"/>
  <c r="AY137" i="41"/>
  <c r="AY139" i="41" s="1"/>
  <c r="AY138" i="41" s="1"/>
  <c r="AX137" i="41"/>
  <c r="AX139" i="41" s="1"/>
  <c r="AX138" i="41" s="1"/>
  <c r="AW137" i="41"/>
  <c r="AW139" i="41" s="1"/>
  <c r="AW138" i="41" s="1"/>
  <c r="AV137" i="41"/>
  <c r="AV139" i="41" s="1"/>
  <c r="AV138" i="41" s="1"/>
  <c r="AU137" i="41"/>
  <c r="AU139" i="41" s="1"/>
  <c r="AU138" i="41" s="1"/>
  <c r="AQ137" i="41"/>
  <c r="AQ139" i="41" s="1"/>
  <c r="AQ138" i="41" s="1"/>
  <c r="D137" i="41"/>
  <c r="BA135" i="41"/>
  <c r="AZ135" i="41"/>
  <c r="AY135" i="41"/>
  <c r="AX135" i="41"/>
  <c r="AW135" i="41"/>
  <c r="AV135" i="41"/>
  <c r="AU135" i="41" s="1"/>
  <c r="AQ135" i="41"/>
  <c r="M135" i="41"/>
  <c r="D135" i="41"/>
  <c r="AU134" i="41"/>
  <c r="AQ134" i="41"/>
  <c r="D134" i="41"/>
  <c r="AU133" i="41"/>
  <c r="AQ133" i="41"/>
  <c r="D133" i="41"/>
  <c r="BA132" i="41"/>
  <c r="AZ132" i="41"/>
  <c r="AY132" i="41"/>
  <c r="AX132" i="41"/>
  <c r="AW132" i="41"/>
  <c r="AV132" i="41"/>
  <c r="AU132" i="41" s="1"/>
  <c r="AQ132" i="41"/>
  <c r="M132" i="41"/>
  <c r="D132" i="41"/>
  <c r="AR132" i="41" s="1"/>
  <c r="BA131" i="41"/>
  <c r="AZ131" i="41"/>
  <c r="AY131" i="41"/>
  <c r="AX131" i="41"/>
  <c r="AW131" i="41"/>
  <c r="AV131" i="41"/>
  <c r="AU131" i="41" s="1"/>
  <c r="AQ131" i="41"/>
  <c r="M131" i="41"/>
  <c r="D131" i="41"/>
  <c r="BA130" i="41"/>
  <c r="AZ130" i="41"/>
  <c r="AY130" i="41"/>
  <c r="AX130" i="41"/>
  <c r="AW130" i="41"/>
  <c r="AV130" i="41"/>
  <c r="AU130" i="41" s="1"/>
  <c r="AQ130" i="41"/>
  <c r="M130" i="41"/>
  <c r="D130" i="41"/>
  <c r="BA129" i="41"/>
  <c r="AZ129" i="41"/>
  <c r="AY129" i="41"/>
  <c r="AX129" i="41"/>
  <c r="AW129" i="41"/>
  <c r="AV129" i="41"/>
  <c r="AU129" i="41" s="1"/>
  <c r="AQ129" i="41"/>
  <c r="M129" i="41"/>
  <c r="D129" i="41"/>
  <c r="BA128" i="41"/>
  <c r="AZ128" i="41"/>
  <c r="AY128" i="41"/>
  <c r="AX128" i="41"/>
  <c r="AW128" i="41"/>
  <c r="AV128" i="41"/>
  <c r="AU128" i="41" s="1"/>
  <c r="AQ128" i="41"/>
  <c r="M128" i="41"/>
  <c r="D128" i="41"/>
  <c r="BA127" i="41"/>
  <c r="AZ127" i="41"/>
  <c r="AY127" i="41"/>
  <c r="AX127" i="41"/>
  <c r="AW127" i="41"/>
  <c r="AV127" i="41"/>
  <c r="AU127" i="41" s="1"/>
  <c r="AQ127" i="41"/>
  <c r="M127" i="41"/>
  <c r="D127" i="41"/>
  <c r="BA126" i="41"/>
  <c r="AZ126" i="41"/>
  <c r="AY126" i="41"/>
  <c r="AX126" i="41"/>
  <c r="AW126" i="41"/>
  <c r="AV126" i="41"/>
  <c r="AU126" i="41" s="1"/>
  <c r="AQ126" i="41"/>
  <c r="M126" i="41"/>
  <c r="D126" i="41"/>
  <c r="BA125" i="41"/>
  <c r="AZ125" i="41"/>
  <c r="AY125" i="41"/>
  <c r="AX125" i="41"/>
  <c r="AW125" i="41"/>
  <c r="AV125" i="41"/>
  <c r="AU125" i="41" s="1"/>
  <c r="AQ125" i="41"/>
  <c r="M125" i="41"/>
  <c r="D125" i="41"/>
  <c r="BA124" i="41"/>
  <c r="AZ124" i="41"/>
  <c r="AY124" i="41"/>
  <c r="AX124" i="41"/>
  <c r="AW124" i="41"/>
  <c r="AV124" i="41"/>
  <c r="AU124" i="41" s="1"/>
  <c r="AQ124" i="41"/>
  <c r="M124" i="41"/>
  <c r="D124" i="41"/>
  <c r="AR124" i="41" s="1"/>
  <c r="BA123" i="41"/>
  <c r="AZ123" i="41"/>
  <c r="AY123" i="41"/>
  <c r="AX123" i="41"/>
  <c r="AW123" i="41"/>
  <c r="AV123" i="41"/>
  <c r="AU123" i="41"/>
  <c r="AQ123" i="41"/>
  <c r="M123" i="41"/>
  <c r="D123" i="41"/>
  <c r="BA122" i="41"/>
  <c r="AZ122" i="41"/>
  <c r="AY122" i="41"/>
  <c r="AX122" i="41"/>
  <c r="AW122" i="41"/>
  <c r="AV122" i="41"/>
  <c r="AU122" i="41" s="1"/>
  <c r="AQ122" i="41"/>
  <c r="M122" i="41"/>
  <c r="D122" i="41"/>
  <c r="BA121" i="41"/>
  <c r="AZ121" i="41"/>
  <c r="AY121" i="41"/>
  <c r="AX121" i="41"/>
  <c r="AW121" i="41"/>
  <c r="AV121" i="41"/>
  <c r="AU121" i="41" s="1"/>
  <c r="AQ121" i="41"/>
  <c r="M121" i="41"/>
  <c r="D121" i="41"/>
  <c r="BA120" i="41"/>
  <c r="AZ120" i="41"/>
  <c r="AY120" i="41"/>
  <c r="AX120" i="41"/>
  <c r="AW120" i="41"/>
  <c r="AV120" i="41"/>
  <c r="AU120" i="41" s="1"/>
  <c r="AQ120" i="41"/>
  <c r="M120" i="41"/>
  <c r="D120" i="41"/>
  <c r="BA119" i="41"/>
  <c r="AZ119" i="41"/>
  <c r="AY119" i="41"/>
  <c r="AX119" i="41"/>
  <c r="AW119" i="41"/>
  <c r="AV119" i="41"/>
  <c r="AU119" i="41" s="1"/>
  <c r="AQ119" i="41"/>
  <c r="M119" i="41"/>
  <c r="D119" i="41"/>
  <c r="BA118" i="41"/>
  <c r="BA117" i="41" s="1"/>
  <c r="AZ118" i="41"/>
  <c r="AZ117" i="41" s="1"/>
  <c r="AY118" i="41"/>
  <c r="AY117" i="41" s="1"/>
  <c r="AX118" i="41"/>
  <c r="AX117" i="41" s="1"/>
  <c r="AW118" i="41"/>
  <c r="AW117" i="41" s="1"/>
  <c r="AV118" i="41"/>
  <c r="AQ118" i="41"/>
  <c r="M118" i="41"/>
  <c r="D118" i="41"/>
  <c r="AQ117" i="41"/>
  <c r="I117" i="41"/>
  <c r="H117" i="41"/>
  <c r="G117" i="41"/>
  <c r="F117" i="41"/>
  <c r="E117" i="41" s="1"/>
  <c r="BA116" i="41"/>
  <c r="AZ116" i="41"/>
  <c r="AY116" i="41"/>
  <c r="AX116" i="41"/>
  <c r="AW116" i="41"/>
  <c r="AV116" i="41"/>
  <c r="AU116" i="41" s="1"/>
  <c r="AQ116" i="41"/>
  <c r="M116" i="41"/>
  <c r="D116" i="41"/>
  <c r="BA115" i="41"/>
  <c r="BA114" i="41" s="1"/>
  <c r="AZ115" i="41"/>
  <c r="AZ114" i="41" s="1"/>
  <c r="AY115" i="41"/>
  <c r="AY114" i="41" s="1"/>
  <c r="AX115" i="41"/>
  <c r="AX114" i="41" s="1"/>
  <c r="AW115" i="41"/>
  <c r="AW114" i="41" s="1"/>
  <c r="AV115" i="41"/>
  <c r="AV114" i="41" s="1"/>
  <c r="AQ115" i="41"/>
  <c r="AQ114" i="41" s="1"/>
  <c r="M115" i="41"/>
  <c r="D115" i="41"/>
  <c r="I114" i="41"/>
  <c r="H114" i="41"/>
  <c r="G114" i="41"/>
  <c r="F114" i="41"/>
  <c r="BA113" i="41"/>
  <c r="AZ113" i="41"/>
  <c r="AY113" i="41"/>
  <c r="AX113" i="41"/>
  <c r="AW113" i="41"/>
  <c r="AV113" i="41"/>
  <c r="AU113" i="41" s="1"/>
  <c r="AQ113" i="41"/>
  <c r="M113" i="41"/>
  <c r="D113" i="41"/>
  <c r="AU112" i="41"/>
  <c r="M112" i="41"/>
  <c r="D112" i="41"/>
  <c r="AS112" i="41" s="1"/>
  <c r="BA111" i="41"/>
  <c r="AZ111" i="41"/>
  <c r="AY111" i="41"/>
  <c r="AX111" i="41"/>
  <c r="AW111" i="41"/>
  <c r="AV111" i="41"/>
  <c r="AU111" i="41" s="1"/>
  <c r="AQ111" i="41"/>
  <c r="M111" i="41"/>
  <c r="D111" i="41"/>
  <c r="BA110" i="41"/>
  <c r="BA109" i="41" s="1"/>
  <c r="AZ110" i="41"/>
  <c r="AZ109" i="41" s="1"/>
  <c r="AY110" i="41"/>
  <c r="AY109" i="41" s="1"/>
  <c r="AX110" i="41"/>
  <c r="AW110" i="41"/>
  <c r="AW109" i="41" s="1"/>
  <c r="AV110" i="41"/>
  <c r="AQ110" i="41"/>
  <c r="AQ109" i="41" s="1"/>
  <c r="M110" i="41"/>
  <c r="D110" i="41"/>
  <c r="AX109" i="41"/>
  <c r="I109" i="41"/>
  <c r="H109" i="41"/>
  <c r="G109" i="41"/>
  <c r="F109" i="41"/>
  <c r="AU108" i="41"/>
  <c r="M108" i="41"/>
  <c r="D108" i="41"/>
  <c r="AS108" i="41" s="1"/>
  <c r="BA107" i="41"/>
  <c r="AZ107" i="41"/>
  <c r="AY107" i="41"/>
  <c r="AX107" i="41"/>
  <c r="AW107" i="41"/>
  <c r="AV107" i="41"/>
  <c r="AU107" i="41" s="1"/>
  <c r="AQ107" i="41"/>
  <c r="AS107" i="41" s="1"/>
  <c r="M107" i="41"/>
  <c r="D107" i="41"/>
  <c r="BA106" i="41"/>
  <c r="AZ106" i="41"/>
  <c r="AY106" i="41"/>
  <c r="AX106" i="41"/>
  <c r="AW106" i="41"/>
  <c r="AV106" i="41"/>
  <c r="AU106" i="41" s="1"/>
  <c r="AQ106" i="41"/>
  <c r="M106" i="41"/>
  <c r="D106" i="41"/>
  <c r="BA105" i="41"/>
  <c r="AZ105" i="41"/>
  <c r="AY105" i="41"/>
  <c r="AX105" i="41"/>
  <c r="AW105" i="41"/>
  <c r="AV105" i="41"/>
  <c r="AU105" i="41" s="1"/>
  <c r="AQ105" i="41"/>
  <c r="D105" i="41"/>
  <c r="AR105" i="41" s="1"/>
  <c r="BA104" i="41"/>
  <c r="AZ104" i="41"/>
  <c r="AY104" i="41"/>
  <c r="AX104" i="41"/>
  <c r="AW104" i="41"/>
  <c r="AV104" i="41"/>
  <c r="AU104" i="41" s="1"/>
  <c r="AQ104" i="41"/>
  <c r="M104" i="41"/>
  <c r="D104" i="41"/>
  <c r="AS104" i="41" s="1"/>
  <c r="BA103" i="41"/>
  <c r="BA101" i="41" s="1"/>
  <c r="AZ103" i="41"/>
  <c r="AY103" i="41"/>
  <c r="AY101" i="41" s="1"/>
  <c r="AX103" i="41"/>
  <c r="AX101" i="41" s="1"/>
  <c r="AW103" i="41"/>
  <c r="AV103" i="41"/>
  <c r="AU103" i="41"/>
  <c r="AU101" i="41" s="1"/>
  <c r="AQ103" i="41"/>
  <c r="AQ101" i="41" s="1"/>
  <c r="M103" i="41"/>
  <c r="D103" i="41"/>
  <c r="AZ101" i="41"/>
  <c r="AW101" i="41"/>
  <c r="AV101" i="41"/>
  <c r="I101" i="41"/>
  <c r="H101" i="41"/>
  <c r="G101" i="41"/>
  <c r="F101" i="41"/>
  <c r="BA100" i="41"/>
  <c r="AZ100" i="41"/>
  <c r="AY100" i="41"/>
  <c r="AX100" i="41"/>
  <c r="AW100" i="41"/>
  <c r="AV100" i="41"/>
  <c r="AU100" i="41" s="1"/>
  <c r="AQ100" i="41"/>
  <c r="M100" i="41"/>
  <c r="D100" i="41"/>
  <c r="BA99" i="41"/>
  <c r="AZ99" i="41"/>
  <c r="AY99" i="41"/>
  <c r="AX99" i="41"/>
  <c r="AW99" i="41"/>
  <c r="AV99" i="41"/>
  <c r="AU99" i="41" s="1"/>
  <c r="AQ99" i="41"/>
  <c r="Y99" i="41"/>
  <c r="X99" i="41"/>
  <c r="M99" i="41"/>
  <c r="D99" i="41"/>
  <c r="BA98" i="41"/>
  <c r="AZ98" i="41"/>
  <c r="AY98" i="41"/>
  <c r="AX98" i="41"/>
  <c r="AW98" i="41"/>
  <c r="AV98" i="41"/>
  <c r="AU98" i="41" s="1"/>
  <c r="AQ98" i="41"/>
  <c r="Y98" i="41"/>
  <c r="X98" i="41"/>
  <c r="M98" i="41"/>
  <c r="D98" i="41"/>
  <c r="AR98" i="41" s="1"/>
  <c r="BA97" i="41"/>
  <c r="AZ97" i="41"/>
  <c r="AY97" i="41"/>
  <c r="AX97" i="41"/>
  <c r="AW97" i="41"/>
  <c r="AV97" i="41"/>
  <c r="AU97" i="41" s="1"/>
  <c r="AQ97" i="41"/>
  <c r="M97" i="41"/>
  <c r="D97" i="41"/>
  <c r="BA93" i="41"/>
  <c r="AZ93" i="41"/>
  <c r="AY93" i="41"/>
  <c r="AX93" i="41"/>
  <c r="AW93" i="41"/>
  <c r="AV93" i="41"/>
  <c r="AU93" i="41" s="1"/>
  <c r="R93" i="41"/>
  <c r="Q93" i="41"/>
  <c r="Q13" i="41" s="1"/>
  <c r="P93" i="41"/>
  <c r="O93" i="41"/>
  <c r="N93" i="41" s="1"/>
  <c r="D93" i="41"/>
  <c r="BA92" i="41"/>
  <c r="AZ92" i="41"/>
  <c r="AY92" i="41"/>
  <c r="AX92" i="41"/>
  <c r="AW92" i="41"/>
  <c r="AV92" i="41"/>
  <c r="R92" i="41"/>
  <c r="Q92" i="41"/>
  <c r="P92" i="41"/>
  <c r="O92" i="41"/>
  <c r="BA91" i="41"/>
  <c r="AZ91" i="41"/>
  <c r="AY91" i="41"/>
  <c r="AX91" i="41"/>
  <c r="AW91" i="41"/>
  <c r="AV91" i="41"/>
  <c r="AU91" i="41" s="1"/>
  <c r="BA90" i="41"/>
  <c r="AZ90" i="41"/>
  <c r="AY90" i="41"/>
  <c r="AX90" i="41"/>
  <c r="AW90" i="41"/>
  <c r="AV90" i="41"/>
  <c r="AU90" i="41" s="1"/>
  <c r="R90" i="41"/>
  <c r="Q90" i="41"/>
  <c r="P90" i="41"/>
  <c r="O90" i="41"/>
  <c r="BA89" i="41"/>
  <c r="AZ89" i="41"/>
  <c r="AY89" i="41"/>
  <c r="AX89" i="41"/>
  <c r="AW89" i="41"/>
  <c r="AV89" i="41"/>
  <c r="AU89" i="41" s="1"/>
  <c r="AQ89" i="41"/>
  <c r="M89" i="41"/>
  <c r="D89" i="41"/>
  <c r="BA88" i="41"/>
  <c r="AZ88" i="41"/>
  <c r="AY88" i="41"/>
  <c r="AX88" i="41"/>
  <c r="AW88" i="41"/>
  <c r="AV88" i="41"/>
  <c r="AU88" i="41" s="1"/>
  <c r="AQ88" i="41"/>
  <c r="M88" i="41"/>
  <c r="D88" i="41"/>
  <c r="BA87" i="41"/>
  <c r="AZ87" i="41"/>
  <c r="AY87" i="41"/>
  <c r="AX87" i="41"/>
  <c r="AW87" i="41"/>
  <c r="AV87" i="41"/>
  <c r="AU87" i="41" s="1"/>
  <c r="AQ87" i="41"/>
  <c r="M87" i="41"/>
  <c r="D87" i="41"/>
  <c r="BA86" i="41"/>
  <c r="AZ86" i="41"/>
  <c r="AY86" i="41"/>
  <c r="AX86" i="41"/>
  <c r="AW86" i="41"/>
  <c r="AV86" i="41"/>
  <c r="AU86" i="41" s="1"/>
  <c r="AQ86" i="41"/>
  <c r="M86" i="41"/>
  <c r="D86" i="41"/>
  <c r="BA85" i="41"/>
  <c r="AZ85" i="41"/>
  <c r="AY85" i="41"/>
  <c r="AX85" i="41"/>
  <c r="AW85" i="41"/>
  <c r="AV85" i="41"/>
  <c r="AU85" i="41" s="1"/>
  <c r="AQ85" i="41"/>
  <c r="M85" i="41"/>
  <c r="D85" i="41"/>
  <c r="BA84" i="41"/>
  <c r="AZ84" i="41"/>
  <c r="AY84" i="41"/>
  <c r="AX84" i="41"/>
  <c r="AW84" i="41"/>
  <c r="AV84" i="41"/>
  <c r="AU84" i="41" s="1"/>
  <c r="AQ84" i="41"/>
  <c r="M84" i="41"/>
  <c r="D84" i="41"/>
  <c r="BA83" i="41"/>
  <c r="AZ83" i="41"/>
  <c r="AY83" i="41"/>
  <c r="AX83" i="41"/>
  <c r="AW83" i="41"/>
  <c r="AV83" i="41"/>
  <c r="AU83" i="41" s="1"/>
  <c r="AQ83" i="41"/>
  <c r="M83" i="41"/>
  <c r="D83" i="41"/>
  <c r="BA82" i="41"/>
  <c r="AZ82" i="41"/>
  <c r="AY82" i="41"/>
  <c r="AX82" i="41"/>
  <c r="AW82" i="41"/>
  <c r="AV82" i="41"/>
  <c r="AU82" i="41" s="1"/>
  <c r="AQ82" i="41"/>
  <c r="M82" i="41"/>
  <c r="D82" i="41"/>
  <c r="BA81" i="41"/>
  <c r="AZ81" i="41"/>
  <c r="AY81" i="41"/>
  <c r="AX81" i="41"/>
  <c r="AW81" i="41"/>
  <c r="AV81" i="41"/>
  <c r="AU81" i="41" s="1"/>
  <c r="AQ81" i="41"/>
  <c r="M81" i="41"/>
  <c r="D81" i="41"/>
  <c r="BA80" i="41"/>
  <c r="AZ80" i="41"/>
  <c r="AY80" i="41"/>
  <c r="AX80" i="41"/>
  <c r="AW80" i="41"/>
  <c r="AV80" i="41"/>
  <c r="AU80" i="41" s="1"/>
  <c r="AQ80" i="41"/>
  <c r="R80" i="41"/>
  <c r="Q80" i="41"/>
  <c r="P80" i="41"/>
  <c r="O80" i="41"/>
  <c r="N80" i="41" s="1"/>
  <c r="D80" i="41"/>
  <c r="BA79" i="41"/>
  <c r="AZ79" i="41"/>
  <c r="AY79" i="41"/>
  <c r="AX79" i="41"/>
  <c r="AW79" i="41"/>
  <c r="AV79" i="41"/>
  <c r="AU79" i="41" s="1"/>
  <c r="AQ79" i="41"/>
  <c r="M79" i="41"/>
  <c r="D79" i="41"/>
  <c r="BA78" i="41"/>
  <c r="AZ78" i="41"/>
  <c r="AY78" i="41"/>
  <c r="AX78" i="41"/>
  <c r="AW78" i="41"/>
  <c r="AV78" i="41"/>
  <c r="AU78" i="41" s="1"/>
  <c r="AQ78" i="41"/>
  <c r="M78" i="41"/>
  <c r="D78" i="41"/>
  <c r="BA77" i="41"/>
  <c r="AZ77" i="41"/>
  <c r="AY77" i="41"/>
  <c r="AX77" i="41"/>
  <c r="AW77" i="41"/>
  <c r="AV77" i="41"/>
  <c r="AU77" i="41" s="1"/>
  <c r="AQ77" i="41"/>
  <c r="M77" i="41"/>
  <c r="D77" i="41"/>
  <c r="BA76" i="41"/>
  <c r="BA75" i="41" s="1"/>
  <c r="AZ76" i="41"/>
  <c r="AY76" i="41"/>
  <c r="AY75" i="41" s="1"/>
  <c r="AX76" i="41"/>
  <c r="AX75" i="41" s="1"/>
  <c r="AW76" i="41"/>
  <c r="AV76" i="41"/>
  <c r="AU76" i="41"/>
  <c r="AQ76" i="41"/>
  <c r="AQ75" i="41" s="1"/>
  <c r="M76" i="41"/>
  <c r="D76" i="41"/>
  <c r="AZ75" i="41"/>
  <c r="AW75" i="41"/>
  <c r="AV75" i="41"/>
  <c r="AU75" i="41"/>
  <c r="I75" i="41"/>
  <c r="H75" i="41"/>
  <c r="G75" i="41"/>
  <c r="F75" i="41"/>
  <c r="E75" i="41" s="1"/>
  <c r="BA74" i="41"/>
  <c r="AZ74" i="41"/>
  <c r="AY74" i="41"/>
  <c r="AX74" i="41"/>
  <c r="AW74" i="41"/>
  <c r="AV74" i="41"/>
  <c r="AU74" i="41" s="1"/>
  <c r="AQ74" i="41"/>
  <c r="M74" i="41"/>
  <c r="Q74" i="41" s="1"/>
  <c r="D74" i="41"/>
  <c r="BA73" i="41"/>
  <c r="AZ73" i="41"/>
  <c r="AY73" i="41"/>
  <c r="AX73" i="41"/>
  <c r="AW73" i="41"/>
  <c r="AV73" i="41"/>
  <c r="AU73" i="41" s="1"/>
  <c r="AQ73" i="41"/>
  <c r="M73" i="41"/>
  <c r="D73" i="41"/>
  <c r="BA72" i="41"/>
  <c r="AZ72" i="41"/>
  <c r="AY72" i="41"/>
  <c r="AX72" i="41"/>
  <c r="AW72" i="41"/>
  <c r="AV72" i="41"/>
  <c r="AU72" i="41" s="1"/>
  <c r="AQ72" i="41"/>
  <c r="R72" i="41"/>
  <c r="Q72" i="41"/>
  <c r="P72" i="41"/>
  <c r="O72" i="41"/>
  <c r="D72" i="41"/>
  <c r="BA71" i="41"/>
  <c r="BA70" i="41" s="1"/>
  <c r="AZ71" i="41"/>
  <c r="AZ70" i="41" s="1"/>
  <c r="AY71" i="41"/>
  <c r="AY70" i="41" s="1"/>
  <c r="AX71" i="41"/>
  <c r="AX70" i="41" s="1"/>
  <c r="AW71" i="41"/>
  <c r="AW70" i="41" s="1"/>
  <c r="AV71" i="41"/>
  <c r="AU71" i="41" s="1"/>
  <c r="AQ71" i="41"/>
  <c r="R71" i="41"/>
  <c r="Q71" i="41"/>
  <c r="P71" i="41"/>
  <c r="O71" i="41"/>
  <c r="D71" i="41"/>
  <c r="AQ70" i="41"/>
  <c r="I70" i="41"/>
  <c r="H70" i="41"/>
  <c r="G70" i="41"/>
  <c r="F70" i="41"/>
  <c r="BA69" i="41"/>
  <c r="BA68" i="41" s="1"/>
  <c r="AZ69" i="41"/>
  <c r="AY69" i="41"/>
  <c r="AX69" i="41"/>
  <c r="AW69" i="41"/>
  <c r="AW68" i="41" s="1"/>
  <c r="AV69" i="41"/>
  <c r="AU69" i="41" s="1"/>
  <c r="AQ69" i="41"/>
  <c r="M69" i="41"/>
  <c r="D69" i="41"/>
  <c r="AZ68" i="41"/>
  <c r="AY68" i="41"/>
  <c r="AX68" i="41"/>
  <c r="AQ68" i="41"/>
  <c r="I68" i="41"/>
  <c r="H68" i="41"/>
  <c r="G68" i="41"/>
  <c r="F68" i="41"/>
  <c r="BA67" i="41"/>
  <c r="AZ67" i="41"/>
  <c r="AY67" i="41"/>
  <c r="AX67" i="41"/>
  <c r="AW67" i="41"/>
  <c r="AV67" i="41"/>
  <c r="AU67" i="41" s="1"/>
  <c r="AQ67" i="41"/>
  <c r="Q67" i="41"/>
  <c r="M67" i="41" s="1"/>
  <c r="D67" i="41"/>
  <c r="BA66" i="41"/>
  <c r="AZ66" i="41"/>
  <c r="AY66" i="41"/>
  <c r="AX66" i="41"/>
  <c r="AW66" i="41"/>
  <c r="AV66" i="41"/>
  <c r="AU66" i="41" s="1"/>
  <c r="AQ66" i="41"/>
  <c r="Q66" i="41"/>
  <c r="M66" i="41" s="1"/>
  <c r="D66" i="41"/>
  <c r="BA65" i="41"/>
  <c r="AZ65" i="41"/>
  <c r="AY65" i="41"/>
  <c r="AX65" i="41"/>
  <c r="AW65" i="41"/>
  <c r="AV65" i="41"/>
  <c r="AU65" i="41" s="1"/>
  <c r="AQ65" i="41"/>
  <c r="M65" i="41"/>
  <c r="D65" i="41"/>
  <c r="BA64" i="41"/>
  <c r="AZ64" i="41"/>
  <c r="AY64" i="41"/>
  <c r="AX64" i="41"/>
  <c r="AW64" i="41"/>
  <c r="AV64" i="41"/>
  <c r="AU64" i="41" s="1"/>
  <c r="AQ64" i="41"/>
  <c r="M64" i="41"/>
  <c r="D64" i="41"/>
  <c r="BA63" i="41"/>
  <c r="AZ63" i="41"/>
  <c r="AY63" i="41"/>
  <c r="AX63" i="41"/>
  <c r="AW63" i="41"/>
  <c r="AV63" i="41"/>
  <c r="AU63" i="41" s="1"/>
  <c r="AQ63" i="41"/>
  <c r="M63" i="41"/>
  <c r="D63" i="41"/>
  <c r="BA62" i="41"/>
  <c r="AZ62" i="41"/>
  <c r="AY62" i="41"/>
  <c r="AX62" i="41"/>
  <c r="AW62" i="41"/>
  <c r="AV62" i="41"/>
  <c r="AU62" i="41" s="1"/>
  <c r="AQ62" i="41"/>
  <c r="M62" i="41"/>
  <c r="D62" i="41"/>
  <c r="BA61" i="41"/>
  <c r="AZ61" i="41"/>
  <c r="AY61" i="41"/>
  <c r="AX61" i="41"/>
  <c r="AW61" i="41"/>
  <c r="AV61" i="41"/>
  <c r="AU61" i="41" s="1"/>
  <c r="AQ61" i="41"/>
  <c r="M61" i="41"/>
  <c r="D61" i="41"/>
  <c r="AR61" i="41" s="1"/>
  <c r="BA60" i="41"/>
  <c r="AZ60" i="41"/>
  <c r="AY60" i="41"/>
  <c r="AX60" i="41"/>
  <c r="AW60" i="41"/>
  <c r="AV60" i="41"/>
  <c r="AU60" i="41"/>
  <c r="AQ60" i="41"/>
  <c r="M60" i="41"/>
  <c r="D60" i="41"/>
  <c r="BA59" i="41"/>
  <c r="AZ59" i="41"/>
  <c r="AY59" i="41"/>
  <c r="AX59" i="41"/>
  <c r="AW59" i="41"/>
  <c r="AV59" i="41"/>
  <c r="AU59" i="41" s="1"/>
  <c r="AQ59" i="41"/>
  <c r="M59" i="41"/>
  <c r="D59" i="41"/>
  <c r="BA58" i="41"/>
  <c r="AZ58" i="41"/>
  <c r="AY58" i="41"/>
  <c r="AX58" i="41"/>
  <c r="AW58" i="41"/>
  <c r="AV58" i="41"/>
  <c r="AU58" i="41" s="1"/>
  <c r="AQ58" i="41"/>
  <c r="M58" i="41"/>
  <c r="D58" i="41"/>
  <c r="BA57" i="41"/>
  <c r="AZ57" i="41"/>
  <c r="AY57" i="41"/>
  <c r="AX57" i="41"/>
  <c r="AW57" i="41"/>
  <c r="AV57" i="41"/>
  <c r="AU57" i="41" s="1"/>
  <c r="AQ57" i="41"/>
  <c r="M57" i="41"/>
  <c r="D57" i="41"/>
  <c r="BA56" i="41"/>
  <c r="AZ56" i="41"/>
  <c r="AY56" i="41"/>
  <c r="AX56" i="41"/>
  <c r="AW56" i="41"/>
  <c r="AV56" i="41"/>
  <c r="AU56" i="41" s="1"/>
  <c r="AQ56" i="41"/>
  <c r="M56" i="41"/>
  <c r="D56" i="41"/>
  <c r="BA55" i="41"/>
  <c r="AZ55" i="41"/>
  <c r="AY55" i="41"/>
  <c r="AX55" i="41"/>
  <c r="AW55" i="41"/>
  <c r="AV55" i="41"/>
  <c r="AU55" i="41" s="1"/>
  <c r="AQ55" i="41"/>
  <c r="R55" i="41"/>
  <c r="Q55" i="41"/>
  <c r="P55" i="41"/>
  <c r="O55" i="41"/>
  <c r="D55" i="41"/>
  <c r="BA54" i="41"/>
  <c r="AZ54" i="41"/>
  <c r="AY54" i="41"/>
  <c r="AX54" i="41"/>
  <c r="AW54" i="41"/>
  <c r="AV54" i="41"/>
  <c r="AU54" i="41" s="1"/>
  <c r="AQ54" i="41"/>
  <c r="M54" i="41"/>
  <c r="D54" i="41"/>
  <c r="BA53" i="41"/>
  <c r="AZ53" i="41"/>
  <c r="AY53" i="41"/>
  <c r="AX53" i="41"/>
  <c r="AW53" i="41"/>
  <c r="AV53" i="41"/>
  <c r="AU53" i="41" s="1"/>
  <c r="AQ53" i="41"/>
  <c r="M53" i="41"/>
  <c r="D53" i="41"/>
  <c r="BA52" i="41"/>
  <c r="AZ52" i="41"/>
  <c r="AY52" i="41"/>
  <c r="AX52" i="41"/>
  <c r="AW52" i="41"/>
  <c r="AV52" i="41"/>
  <c r="AU52" i="41" s="1"/>
  <c r="AQ52" i="41"/>
  <c r="Q52" i="41"/>
  <c r="M52" i="41" s="1"/>
  <c r="D52" i="41"/>
  <c r="BA51" i="41"/>
  <c r="AZ51" i="41"/>
  <c r="AY51" i="41"/>
  <c r="AX51" i="41"/>
  <c r="AW51" i="41"/>
  <c r="AV51" i="41"/>
  <c r="AU51" i="41" s="1"/>
  <c r="AQ51" i="41"/>
  <c r="Q51" i="41"/>
  <c r="M51" i="41" s="1"/>
  <c r="D51" i="41"/>
  <c r="BA50" i="41"/>
  <c r="AZ50" i="41"/>
  <c r="AY50" i="41"/>
  <c r="AX50" i="41"/>
  <c r="AW50" i="41"/>
  <c r="AV50" i="41"/>
  <c r="AU50" i="41" s="1"/>
  <c r="AQ50" i="41"/>
  <c r="Q50" i="41"/>
  <c r="M50" i="41" s="1"/>
  <c r="D50" i="41"/>
  <c r="BA49" i="41"/>
  <c r="AZ49" i="41"/>
  <c r="AY49" i="41"/>
  <c r="AX49" i="41"/>
  <c r="AW49" i="41"/>
  <c r="AV49" i="41"/>
  <c r="AU49" i="41" s="1"/>
  <c r="AQ49" i="41"/>
  <c r="Q49" i="41"/>
  <c r="M49" i="41" s="1"/>
  <c r="D49" i="41"/>
  <c r="BA48" i="41"/>
  <c r="AZ48" i="41"/>
  <c r="AY48" i="41"/>
  <c r="AX48" i="41"/>
  <c r="AW48" i="41"/>
  <c r="AV48" i="41"/>
  <c r="AU48" i="41" s="1"/>
  <c r="AQ48" i="41"/>
  <c r="R48" i="41"/>
  <c r="Q48" i="41"/>
  <c r="P48" i="41"/>
  <c r="O48" i="41"/>
  <c r="D48" i="41"/>
  <c r="BA47" i="41"/>
  <c r="AZ47" i="41"/>
  <c r="AY47" i="41"/>
  <c r="AX47" i="41"/>
  <c r="AW47" i="41"/>
  <c r="AV47" i="41"/>
  <c r="AU47" i="41" s="1"/>
  <c r="AQ47" i="41"/>
  <c r="M47" i="41"/>
  <c r="D47" i="41"/>
  <c r="BA46" i="41"/>
  <c r="BA45" i="41" s="1"/>
  <c r="AZ46" i="41"/>
  <c r="AZ45" i="41" s="1"/>
  <c r="AY46" i="41"/>
  <c r="AY45" i="41" s="1"/>
  <c r="AX46" i="41"/>
  <c r="AX45" i="41" s="1"/>
  <c r="AW46" i="41"/>
  <c r="AW45" i="41" s="1"/>
  <c r="AV46" i="41"/>
  <c r="AQ46" i="41"/>
  <c r="M46" i="41"/>
  <c r="D46" i="41"/>
  <c r="AQ45" i="41"/>
  <c r="I45" i="41"/>
  <c r="H45" i="41"/>
  <c r="G45" i="41"/>
  <c r="F45" i="41"/>
  <c r="E45" i="41" s="1"/>
  <c r="BA44" i="41"/>
  <c r="AZ44" i="41"/>
  <c r="AY44" i="41"/>
  <c r="AX44" i="41"/>
  <c r="AW44" i="41"/>
  <c r="AV44" i="41"/>
  <c r="AU44" i="41" s="1"/>
  <c r="AQ44" i="41"/>
  <c r="M44" i="41"/>
  <c r="P44" i="41" s="1"/>
  <c r="D44" i="41"/>
  <c r="BA43" i="41"/>
  <c r="AZ43" i="41"/>
  <c r="AY43" i="41"/>
  <c r="AX43" i="41"/>
  <c r="AW43" i="41"/>
  <c r="AV43" i="41"/>
  <c r="AU43" i="41" s="1"/>
  <c r="AQ43" i="41"/>
  <c r="R43" i="41"/>
  <c r="Q43" i="41"/>
  <c r="P43" i="41"/>
  <c r="O43" i="41"/>
  <c r="N43" i="41" s="1"/>
  <c r="D43" i="41"/>
  <c r="BA42" i="41"/>
  <c r="AZ42" i="41"/>
  <c r="AY42" i="41"/>
  <c r="AX42" i="41"/>
  <c r="AW42" i="41"/>
  <c r="AV42" i="41"/>
  <c r="AU42" i="41"/>
  <c r="AQ42" i="41"/>
  <c r="R42" i="41"/>
  <c r="Q42" i="41"/>
  <c r="P42" i="41"/>
  <c r="O42" i="41"/>
  <c r="D42" i="41"/>
  <c r="BA41" i="41"/>
  <c r="AZ41" i="41"/>
  <c r="AY41" i="41"/>
  <c r="AX41" i="41"/>
  <c r="AW41" i="41"/>
  <c r="AV41" i="41"/>
  <c r="AU41" i="41" s="1"/>
  <c r="AQ41" i="41"/>
  <c r="M41" i="41"/>
  <c r="D41" i="41"/>
  <c r="BA40" i="41"/>
  <c r="BA39" i="41" s="1"/>
  <c r="AZ40" i="41"/>
  <c r="AY40" i="41"/>
  <c r="AY39" i="41" s="1"/>
  <c r="AX40" i="41"/>
  <c r="AX39" i="41" s="1"/>
  <c r="AW40" i="41"/>
  <c r="AW39" i="41" s="1"/>
  <c r="AV40" i="41"/>
  <c r="AU40" i="41"/>
  <c r="AQ40" i="41"/>
  <c r="AQ39" i="41" s="1"/>
  <c r="M40" i="41"/>
  <c r="P40" i="41" s="1"/>
  <c r="D40" i="41"/>
  <c r="AZ39" i="41"/>
  <c r="AV39" i="41"/>
  <c r="AU39" i="41" s="1"/>
  <c r="I39" i="41"/>
  <c r="H39" i="41"/>
  <c r="G39" i="41"/>
  <c r="F39" i="41"/>
  <c r="E39" i="41" s="1"/>
  <c r="BA38" i="41"/>
  <c r="AZ38" i="41"/>
  <c r="AY38" i="41"/>
  <c r="AX38" i="41"/>
  <c r="AW38" i="41"/>
  <c r="AV38" i="41"/>
  <c r="AU38" i="41" s="1"/>
  <c r="AQ38" i="41"/>
  <c r="M38" i="41"/>
  <c r="D38" i="41"/>
  <c r="BA37" i="41"/>
  <c r="AZ37" i="41"/>
  <c r="AY37" i="41"/>
  <c r="AX37" i="41"/>
  <c r="AW37" i="41"/>
  <c r="AV37" i="41"/>
  <c r="AU37" i="41" s="1"/>
  <c r="AQ37" i="41"/>
  <c r="M37" i="41"/>
  <c r="D37" i="41"/>
  <c r="BA36" i="41"/>
  <c r="AZ36" i="41"/>
  <c r="AY36" i="41"/>
  <c r="AX36" i="41"/>
  <c r="AW36" i="41"/>
  <c r="AV36" i="41"/>
  <c r="AU36" i="41" s="1"/>
  <c r="AQ36" i="41"/>
  <c r="M36" i="41"/>
  <c r="D36" i="41"/>
  <c r="AU33" i="41"/>
  <c r="M33" i="41"/>
  <c r="D33" i="41"/>
  <c r="BA32" i="41"/>
  <c r="AZ32" i="41"/>
  <c r="AY32" i="41"/>
  <c r="AX32" i="41"/>
  <c r="AW32" i="41"/>
  <c r="AV32" i="41"/>
  <c r="AU32" i="41" s="1"/>
  <c r="AQ32" i="41"/>
  <c r="R32" i="41"/>
  <c r="Q32" i="41"/>
  <c r="P32" i="41"/>
  <c r="O32" i="41"/>
  <c r="D32" i="41"/>
  <c r="BA31" i="41"/>
  <c r="AZ31" i="41"/>
  <c r="AY31" i="41"/>
  <c r="AX31" i="41"/>
  <c r="AW31" i="41"/>
  <c r="AV31" i="41"/>
  <c r="AU31" i="41" s="1"/>
  <c r="AQ31" i="41"/>
  <c r="M31" i="41"/>
  <c r="D31" i="41"/>
  <c r="BA30" i="41"/>
  <c r="AZ30" i="41"/>
  <c r="AY30" i="41"/>
  <c r="AX30" i="41"/>
  <c r="AW30" i="41"/>
  <c r="AV30" i="41"/>
  <c r="AU30" i="41" s="1"/>
  <c r="AQ30" i="41"/>
  <c r="Y30" i="41"/>
  <c r="X30" i="41"/>
  <c r="R30" i="41"/>
  <c r="Q30" i="41"/>
  <c r="D30" i="41"/>
  <c r="BA29" i="41"/>
  <c r="AZ29" i="41"/>
  <c r="AY29" i="41"/>
  <c r="AX29" i="41"/>
  <c r="AW29" i="41"/>
  <c r="AV29" i="41"/>
  <c r="AU29" i="41" s="1"/>
  <c r="AQ29" i="41"/>
  <c r="Y29" i="41"/>
  <c r="X29" i="41"/>
  <c r="R29" i="41"/>
  <c r="Q29" i="41"/>
  <c r="D29" i="41"/>
  <c r="BA28" i="41"/>
  <c r="BA26" i="41" s="1"/>
  <c r="AZ28" i="41"/>
  <c r="AZ26" i="41" s="1"/>
  <c r="AY28" i="41"/>
  <c r="AX28" i="41"/>
  <c r="AW28" i="41"/>
  <c r="AW26" i="41" s="1"/>
  <c r="AV28" i="41"/>
  <c r="AU28" i="41" s="1"/>
  <c r="AU26" i="41" s="1"/>
  <c r="AQ28" i="41"/>
  <c r="R28" i="41"/>
  <c r="Q28" i="41"/>
  <c r="D28" i="41"/>
  <c r="AR28" i="41" s="1"/>
  <c r="AY26" i="41"/>
  <c r="AX26" i="41"/>
  <c r="I26" i="41"/>
  <c r="H26" i="41"/>
  <c r="G26" i="41"/>
  <c r="F26" i="41"/>
  <c r="BA25" i="41"/>
  <c r="AZ25" i="41"/>
  <c r="AY25" i="41"/>
  <c r="AX25" i="41"/>
  <c r="AW25" i="41"/>
  <c r="AV25" i="41"/>
  <c r="AU25" i="41" s="1"/>
  <c r="AQ25" i="41"/>
  <c r="R25" i="41"/>
  <c r="Q25" i="41"/>
  <c r="P25" i="41"/>
  <c r="O25" i="41"/>
  <c r="D25" i="41"/>
  <c r="AS25" i="41" s="1"/>
  <c r="BA24" i="41"/>
  <c r="AZ24" i="41"/>
  <c r="AY24" i="41"/>
  <c r="AX24" i="41"/>
  <c r="AW24" i="41"/>
  <c r="AV24" i="41"/>
  <c r="AQ24" i="41"/>
  <c r="R24" i="41"/>
  <c r="Q24" i="41"/>
  <c r="P24" i="41"/>
  <c r="O24" i="41"/>
  <c r="D24" i="41"/>
  <c r="BA23" i="41"/>
  <c r="BA22" i="41" s="1"/>
  <c r="AZ23" i="41"/>
  <c r="AY23" i="41"/>
  <c r="AX23" i="41"/>
  <c r="AX22" i="41" s="1"/>
  <c r="AW23" i="41"/>
  <c r="AW22" i="41" s="1"/>
  <c r="AV23" i="41"/>
  <c r="AU23" i="41" s="1"/>
  <c r="AQ23" i="41"/>
  <c r="R23" i="41"/>
  <c r="R22" i="41" s="1"/>
  <c r="Q23" i="41"/>
  <c r="P23" i="41"/>
  <c r="P22" i="41" s="1"/>
  <c r="O23" i="41"/>
  <c r="D23" i="41"/>
  <c r="AS23" i="41" s="1"/>
  <c r="AY22" i="41"/>
  <c r="AQ22" i="41"/>
  <c r="I22" i="41"/>
  <c r="H22" i="41"/>
  <c r="G22" i="41"/>
  <c r="F22" i="41"/>
  <c r="E22" i="41" s="1"/>
  <c r="BA21" i="41"/>
  <c r="AZ21" i="41"/>
  <c r="AY21" i="41"/>
  <c r="AX21" i="41"/>
  <c r="AW21" i="41"/>
  <c r="AV21" i="41"/>
  <c r="AU21" i="41" s="1"/>
  <c r="AQ21" i="41"/>
  <c r="R21" i="41"/>
  <c r="Q21" i="41"/>
  <c r="P21" i="41"/>
  <c r="O21" i="41"/>
  <c r="D21" i="41"/>
  <c r="AS21" i="41" s="1"/>
  <c r="BA20" i="41"/>
  <c r="AZ20" i="41"/>
  <c r="AY20" i="41"/>
  <c r="AX20" i="41"/>
  <c r="AW20" i="41"/>
  <c r="AV20" i="41"/>
  <c r="AU20" i="41" s="1"/>
  <c r="AQ20" i="41"/>
  <c r="O20" i="41"/>
  <c r="M20" i="41" s="1"/>
  <c r="D20" i="41"/>
  <c r="BA19" i="41"/>
  <c r="AZ19" i="41"/>
  <c r="AY19" i="41"/>
  <c r="AX19" i="41"/>
  <c r="AW19" i="41"/>
  <c r="AV19" i="41"/>
  <c r="AU19" i="41" s="1"/>
  <c r="AQ19" i="41"/>
  <c r="M19" i="41"/>
  <c r="D19" i="41"/>
  <c r="BA18" i="41"/>
  <c r="AZ18" i="41"/>
  <c r="AY18" i="41"/>
  <c r="AX18" i="41"/>
  <c r="AW18" i="41"/>
  <c r="AV18" i="41"/>
  <c r="AU18" i="41" s="1"/>
  <c r="AQ18" i="41"/>
  <c r="M18" i="41"/>
  <c r="O18" i="41" s="1"/>
  <c r="D18" i="41"/>
  <c r="BA17" i="41"/>
  <c r="AZ17" i="41"/>
  <c r="AY17" i="41"/>
  <c r="AX17" i="41"/>
  <c r="AW17" i="41"/>
  <c r="AV17" i="41"/>
  <c r="AU17" i="41" s="1"/>
  <c r="AQ17" i="41"/>
  <c r="R17" i="41"/>
  <c r="Q17" i="41"/>
  <c r="P17" i="41"/>
  <c r="O17" i="41"/>
  <c r="D17" i="41"/>
  <c r="BA16" i="41"/>
  <c r="AZ16" i="41"/>
  <c r="AY16" i="41"/>
  <c r="AX16" i="41"/>
  <c r="AW16" i="41"/>
  <c r="AV16" i="41"/>
  <c r="AU16" i="41" s="1"/>
  <c r="AQ16" i="41"/>
  <c r="M16" i="41"/>
  <c r="D16" i="41"/>
  <c r="BA15" i="41"/>
  <c r="AZ15" i="41"/>
  <c r="AY15" i="41"/>
  <c r="AX15" i="41"/>
  <c r="AW15" i="41"/>
  <c r="AV15" i="41"/>
  <c r="AU15" i="41" s="1"/>
  <c r="AQ15" i="41"/>
  <c r="Q15" i="41"/>
  <c r="M15" i="41" s="1"/>
  <c r="D15" i="41"/>
  <c r="BA14" i="41"/>
  <c r="AZ14" i="41"/>
  <c r="AY14" i="41"/>
  <c r="AX14" i="41"/>
  <c r="AW14" i="41"/>
  <c r="AV14" i="41"/>
  <c r="AU14" i="41" s="1"/>
  <c r="AQ14" i="41"/>
  <c r="R14" i="41"/>
  <c r="Q14" i="41"/>
  <c r="D14" i="41"/>
  <c r="BA13" i="41"/>
  <c r="AZ13" i="41"/>
  <c r="AY13" i="41"/>
  <c r="AX13" i="41"/>
  <c r="AW13" i="41"/>
  <c r="AV13" i="41"/>
  <c r="AU13" i="41"/>
  <c r="AQ13" i="41"/>
  <c r="R13" i="41"/>
  <c r="D13" i="41"/>
  <c r="BA12" i="41"/>
  <c r="AZ12" i="41"/>
  <c r="AY12" i="41"/>
  <c r="AX12" i="41"/>
  <c r="AW12" i="41"/>
  <c r="AV12" i="41"/>
  <c r="AU12" i="41" s="1"/>
  <c r="AQ12" i="41"/>
  <c r="Q12" i="41"/>
  <c r="P12" i="41"/>
  <c r="O12" i="41"/>
  <c r="D12" i="41"/>
  <c r="AR12" i="41" s="1"/>
  <c r="BA11" i="41"/>
  <c r="BA10" i="41" s="1"/>
  <c r="BA8" i="41" s="1"/>
  <c r="AZ11" i="41"/>
  <c r="AZ10" i="41" s="1"/>
  <c r="AY11" i="41"/>
  <c r="AY10" i="41" s="1"/>
  <c r="AX11" i="41"/>
  <c r="AX10" i="41" s="1"/>
  <c r="AX8" i="41" s="1"/>
  <c r="AW11" i="41"/>
  <c r="AW10" i="41" s="1"/>
  <c r="AW8" i="41" s="1"/>
  <c r="AV11" i="41"/>
  <c r="AU11" i="41" s="1"/>
  <c r="AU10" i="41" s="1"/>
  <c r="AQ11" i="41"/>
  <c r="AQ10" i="41" s="1"/>
  <c r="AQ8" i="41" s="1"/>
  <c r="M11" i="41"/>
  <c r="D11" i="41"/>
  <c r="I10" i="41"/>
  <c r="H10" i="41"/>
  <c r="H8" i="41" s="1"/>
  <c r="G10" i="41"/>
  <c r="F10" i="41"/>
  <c r="AA99" i="36"/>
  <c r="AB99" i="36"/>
  <c r="AB98" i="36"/>
  <c r="AA98" i="36"/>
  <c r="E10" i="41" l="1"/>
  <c r="AR17" i="41"/>
  <c r="AS41" i="41"/>
  <c r="E68" i="41"/>
  <c r="E70" i="41"/>
  <c r="AS135" i="41"/>
  <c r="AS11" i="41"/>
  <c r="AS46" i="41"/>
  <c r="AR59" i="41"/>
  <c r="AS81" i="41"/>
  <c r="AS85" i="41"/>
  <c r="AR89" i="41"/>
  <c r="AS106" i="41"/>
  <c r="AX95" i="41"/>
  <c r="AX94" i="41" s="1"/>
  <c r="I95" i="41"/>
  <c r="I94" i="41" s="1"/>
  <c r="P58" i="41"/>
  <c r="P54" i="41"/>
  <c r="N23" i="41"/>
  <c r="N24" i="41"/>
  <c r="N12" i="41"/>
  <c r="AR14" i="41"/>
  <c r="N25" i="41"/>
  <c r="M29" i="41"/>
  <c r="AV70" i="41"/>
  <c r="AU70" i="41" s="1"/>
  <c r="R119" i="41"/>
  <c r="AS12" i="41"/>
  <c r="AX34" i="41"/>
  <c r="AX6" i="41" s="1"/>
  <c r="AX136" i="41" s="1"/>
  <c r="AX140" i="41" s="1"/>
  <c r="AX147" i="41" s="1"/>
  <c r="AS37" i="41"/>
  <c r="AR49" i="41"/>
  <c r="AR53" i="41"/>
  <c r="AR57" i="41"/>
  <c r="N71" i="41"/>
  <c r="AS73" i="41"/>
  <c r="AQ92" i="41"/>
  <c r="AR100" i="41"/>
  <c r="E109" i="41"/>
  <c r="AR113" i="41"/>
  <c r="AR120" i="41"/>
  <c r="AR126" i="41"/>
  <c r="AY34" i="41"/>
  <c r="AS74" i="41"/>
  <c r="AS87" i="41"/>
  <c r="E101" i="41"/>
  <c r="F95" i="41"/>
  <c r="E114" i="41"/>
  <c r="N55" i="41"/>
  <c r="N17" i="41"/>
  <c r="N21" i="41"/>
  <c r="N42" i="41"/>
  <c r="N48" i="41"/>
  <c r="N32" i="41"/>
  <c r="N90" i="41"/>
  <c r="N92" i="41"/>
  <c r="N72" i="41"/>
  <c r="N20" i="41"/>
  <c r="AR32" i="41"/>
  <c r="E26" i="41"/>
  <c r="O22" i="41"/>
  <c r="N22" i="41" s="1"/>
  <c r="P56" i="41"/>
  <c r="P65" i="41"/>
  <c r="P59" i="41"/>
  <c r="P62" i="41"/>
  <c r="P61" i="41"/>
  <c r="M101" i="41"/>
  <c r="M117" i="41"/>
  <c r="P53" i="41"/>
  <c r="P60" i="41"/>
  <c r="P63" i="41"/>
  <c r="AY95" i="41"/>
  <c r="AY94" i="41" s="1"/>
  <c r="I8" i="41"/>
  <c r="AS18" i="41"/>
  <c r="AR19" i="41"/>
  <c r="AS43" i="41"/>
  <c r="AS48" i="41"/>
  <c r="AS79" i="41"/>
  <c r="AS83" i="41"/>
  <c r="AU92" i="41"/>
  <c r="AU115" i="41"/>
  <c r="AU114" i="41" s="1"/>
  <c r="AR137" i="41"/>
  <c r="D26" i="41"/>
  <c r="H90" i="41" s="1"/>
  <c r="AW34" i="41"/>
  <c r="BA34" i="41"/>
  <c r="I34" i="41"/>
  <c r="P57" i="41"/>
  <c r="AR66" i="41"/>
  <c r="AV68" i="41"/>
  <c r="AU68" i="41" s="1"/>
  <c r="AS69" i="41"/>
  <c r="AS100" i="41"/>
  <c r="AS111" i="41"/>
  <c r="AR122" i="41"/>
  <c r="AR130" i="41"/>
  <c r="AR15" i="41"/>
  <c r="AS16" i="41"/>
  <c r="AS20" i="41"/>
  <c r="G8" i="41"/>
  <c r="AZ22" i="41"/>
  <c r="AZ8" i="41" s="1"/>
  <c r="M30" i="41"/>
  <c r="AS36" i="41"/>
  <c r="AS50" i="41"/>
  <c r="AR55" i="41"/>
  <c r="AR63" i="41"/>
  <c r="AR65" i="41"/>
  <c r="AS67" i="41"/>
  <c r="AS88" i="41"/>
  <c r="AQ91" i="41"/>
  <c r="AS105" i="41"/>
  <c r="D109" i="41"/>
  <c r="AR109" i="41" s="1"/>
  <c r="AR110" i="41"/>
  <c r="AR128" i="41"/>
  <c r="G34" i="41"/>
  <c r="G6" i="41" s="1"/>
  <c r="M55" i="41"/>
  <c r="G95" i="41"/>
  <c r="G94" i="41" s="1"/>
  <c r="H34" i="41"/>
  <c r="H6" i="41" s="1"/>
  <c r="I6" i="41"/>
  <c r="I136" i="41" s="1"/>
  <c r="I140" i="41" s="1"/>
  <c r="I148" i="41" s="1"/>
  <c r="AR148" i="41" s="1"/>
  <c r="M80" i="41"/>
  <c r="M75" i="41" s="1"/>
  <c r="AQ95" i="41"/>
  <c r="AQ94" i="41" s="1"/>
  <c r="M14" i="41"/>
  <c r="R16" i="41"/>
  <c r="D68" i="41"/>
  <c r="AS68" i="41" s="1"/>
  <c r="H95" i="41"/>
  <c r="H94" i="41" s="1"/>
  <c r="R69" i="41"/>
  <c r="R68" i="41" s="1"/>
  <c r="O38" i="41"/>
  <c r="O44" i="41"/>
  <c r="N44" i="41" s="1"/>
  <c r="M114" i="41"/>
  <c r="M72" i="41"/>
  <c r="M92" i="41"/>
  <c r="O11" i="41"/>
  <c r="O19" i="41"/>
  <c r="M24" i="41"/>
  <c r="O36" i="41"/>
  <c r="P38" i="41"/>
  <c r="O46" i="41"/>
  <c r="D10" i="41"/>
  <c r="AU24" i="41"/>
  <c r="AV22" i="41"/>
  <c r="AU22" i="41" s="1"/>
  <c r="AU46" i="41"/>
  <c r="AV45" i="41"/>
  <c r="AU45" i="41" s="1"/>
  <c r="AS134" i="41"/>
  <c r="AR134" i="41"/>
  <c r="AU8" i="41"/>
  <c r="AZ34" i="41"/>
  <c r="AS97" i="41"/>
  <c r="AR97" i="41"/>
  <c r="AZ95" i="41"/>
  <c r="AZ94" i="41" s="1"/>
  <c r="AR118" i="41"/>
  <c r="D117" i="41"/>
  <c r="AR117" i="41" s="1"/>
  <c r="AR11" i="41"/>
  <c r="O37" i="41"/>
  <c r="P37" i="41"/>
  <c r="AU118" i="41"/>
  <c r="AU117" i="41" s="1"/>
  <c r="AV117" i="41"/>
  <c r="AV10" i="41"/>
  <c r="P11" i="41"/>
  <c r="AS14" i="41"/>
  <c r="AS17" i="41"/>
  <c r="D22" i="41"/>
  <c r="AS22" i="41" s="1"/>
  <c r="D45" i="41"/>
  <c r="AS45" i="41" s="1"/>
  <c r="F34" i="41"/>
  <c r="AS77" i="41"/>
  <c r="D75" i="41"/>
  <c r="AS75" i="41" s="1"/>
  <c r="AW95" i="41"/>
  <c r="AW94" i="41" s="1"/>
  <c r="BA95" i="41"/>
  <c r="BA94" i="41" s="1"/>
  <c r="AU110" i="41"/>
  <c r="AV109" i="41"/>
  <c r="AS99" i="41"/>
  <c r="AR99" i="41"/>
  <c r="AS15" i="41"/>
  <c r="AR16" i="41"/>
  <c r="AQ34" i="41"/>
  <c r="M71" i="41"/>
  <c r="AR116" i="41"/>
  <c r="D114" i="41"/>
  <c r="AR114" i="41" s="1"/>
  <c r="AY8" i="41"/>
  <c r="AS24" i="41"/>
  <c r="AS28" i="41"/>
  <c r="AR29" i="41"/>
  <c r="AR30" i="41"/>
  <c r="R31" i="41"/>
  <c r="R26" i="41" s="1"/>
  <c r="AS40" i="41"/>
  <c r="O41" i="41"/>
  <c r="AS44" i="41"/>
  <c r="AR56" i="41"/>
  <c r="AR58" i="41"/>
  <c r="AR60" i="41"/>
  <c r="AR62" i="41"/>
  <c r="AS63" i="41"/>
  <c r="AS66" i="41"/>
  <c r="D70" i="41"/>
  <c r="AS71" i="41"/>
  <c r="R73" i="41"/>
  <c r="R77" i="41"/>
  <c r="R79" i="41"/>
  <c r="R81" i="41"/>
  <c r="R85" i="41"/>
  <c r="R87" i="41"/>
  <c r="R89" i="41"/>
  <c r="AQ90" i="41"/>
  <c r="M93" i="41"/>
  <c r="O99" i="41"/>
  <c r="AR106" i="41"/>
  <c r="AR108" i="41"/>
  <c r="AR112" i="41"/>
  <c r="AS133" i="41"/>
  <c r="AR135" i="41"/>
  <c r="AR18" i="41"/>
  <c r="AS19" i="41"/>
  <c r="AR20" i="41"/>
  <c r="P31" i="41"/>
  <c r="P26" i="41" s="1"/>
  <c r="P36" i="41"/>
  <c r="AS38" i="41"/>
  <c r="O40" i="41"/>
  <c r="N40" i="41" s="1"/>
  <c r="P41" i="41"/>
  <c r="P39" i="41" s="1"/>
  <c r="AS47" i="41"/>
  <c r="AS51" i="41"/>
  <c r="AR52" i="41"/>
  <c r="AR54" i="41"/>
  <c r="AR64" i="41"/>
  <c r="R65" i="41"/>
  <c r="AS76" i="41"/>
  <c r="AS78" i="41"/>
  <c r="AS80" i="41"/>
  <c r="AS82" i="41"/>
  <c r="AS84" i="41"/>
  <c r="AS86" i="41"/>
  <c r="AR88" i="41"/>
  <c r="AS89" i="41"/>
  <c r="Q41" i="41"/>
  <c r="AQ93" i="41"/>
  <c r="AR107" i="41"/>
  <c r="AS110" i="41"/>
  <c r="AR111" i="41"/>
  <c r="AR115" i="41"/>
  <c r="AR119" i="41"/>
  <c r="AR121" i="41"/>
  <c r="AR123" i="41"/>
  <c r="AR125" i="41"/>
  <c r="AR127" i="41"/>
  <c r="AR129" i="41"/>
  <c r="AR131" i="41"/>
  <c r="F8" i="41"/>
  <c r="E8" i="41" s="1"/>
  <c r="M28" i="41"/>
  <c r="AW6" i="41"/>
  <c r="BA6" i="41"/>
  <c r="BA136" i="41" s="1"/>
  <c r="BA140" i="41" s="1"/>
  <c r="BA148" i="41" s="1"/>
  <c r="AR31" i="41"/>
  <c r="D39" i="41"/>
  <c r="AS39" i="41" s="1"/>
  <c r="AS42" i="41"/>
  <c r="AS49" i="41"/>
  <c r="AS72" i="41"/>
  <c r="R74" i="41"/>
  <c r="R76" i="41"/>
  <c r="R78" i="41"/>
  <c r="R82" i="41"/>
  <c r="R84" i="41"/>
  <c r="R86" i="41"/>
  <c r="R88" i="41"/>
  <c r="Q11" i="41"/>
  <c r="AS98" i="41"/>
  <c r="M17" i="41"/>
  <c r="M21" i="41"/>
  <c r="M25" i="41"/>
  <c r="M32" i="41"/>
  <c r="Q36" i="41"/>
  <c r="Q37" i="41"/>
  <c r="Q38" i="41"/>
  <c r="Q44" i="41"/>
  <c r="P46" i="41"/>
  <c r="Q73" i="41"/>
  <c r="Q70" i="41" s="1"/>
  <c r="R100" i="41"/>
  <c r="Q22" i="41"/>
  <c r="M22" i="41" s="1"/>
  <c r="M42" i="41"/>
  <c r="Q46" i="41"/>
  <c r="O137" i="41"/>
  <c r="M12" i="41"/>
  <c r="M23" i="41"/>
  <c r="O31" i="41"/>
  <c r="Q40" i="41"/>
  <c r="M43" i="41"/>
  <c r="M48" i="41"/>
  <c r="O65" i="41"/>
  <c r="N65" i="41" s="1"/>
  <c r="P137" i="41"/>
  <c r="P139" i="41" s="1"/>
  <c r="P138" i="41" s="1"/>
  <c r="AS10" i="41"/>
  <c r="AR10" i="41"/>
  <c r="D8" i="41"/>
  <c r="AR39" i="41"/>
  <c r="R11" i="41"/>
  <c r="O13" i="41"/>
  <c r="P16" i="41"/>
  <c r="P18" i="41"/>
  <c r="N18" i="41" s="1"/>
  <c r="P19" i="41"/>
  <c r="G90" i="41"/>
  <c r="AQ26" i="41"/>
  <c r="AV26" i="41"/>
  <c r="AS29" i="41"/>
  <c r="AS30" i="41"/>
  <c r="Q31" i="41"/>
  <c r="Q26" i="41" s="1"/>
  <c r="AS31" i="41"/>
  <c r="F92" i="41"/>
  <c r="I92" i="41"/>
  <c r="H92" i="41"/>
  <c r="G92" i="41"/>
  <c r="AS32" i="41"/>
  <c r="R36" i="41"/>
  <c r="R37" i="41"/>
  <c r="R38" i="41"/>
  <c r="R40" i="41"/>
  <c r="R41" i="41"/>
  <c r="R44" i="41"/>
  <c r="R46" i="41"/>
  <c r="O16" i="41"/>
  <c r="P13" i="41"/>
  <c r="AR13" i="41"/>
  <c r="Q16" i="41"/>
  <c r="Q18" i="41"/>
  <c r="Q19" i="41"/>
  <c r="AR21" i="41"/>
  <c r="AR22" i="41"/>
  <c r="AR23" i="41"/>
  <c r="AR24" i="41"/>
  <c r="AR25" i="41"/>
  <c r="AS13" i="41"/>
  <c r="R18" i="41"/>
  <c r="R19" i="41"/>
  <c r="AR36" i="41"/>
  <c r="AR37" i="41"/>
  <c r="AR38" i="41"/>
  <c r="AR40" i="41"/>
  <c r="AR41" i="41"/>
  <c r="AR42" i="41"/>
  <c r="AR43" i="41"/>
  <c r="AR44" i="41"/>
  <c r="AR45" i="41"/>
  <c r="AR46" i="41"/>
  <c r="AR47" i="41"/>
  <c r="AR48" i="41"/>
  <c r="AR50" i="41"/>
  <c r="AR51" i="41"/>
  <c r="AS70" i="41"/>
  <c r="AR70" i="41"/>
  <c r="AS52" i="41"/>
  <c r="Q53" i="41"/>
  <c r="AS53" i="41"/>
  <c r="Q54" i="41"/>
  <c r="AS54" i="41"/>
  <c r="AS55" i="41"/>
  <c r="Q56" i="41"/>
  <c r="AS56" i="41"/>
  <c r="Q57" i="41"/>
  <c r="AS57" i="41"/>
  <c r="Q58" i="41"/>
  <c r="AS58" i="41"/>
  <c r="Q59" i="41"/>
  <c r="AS59" i="41"/>
  <c r="Q60" i="41"/>
  <c r="AS60" i="41"/>
  <c r="Q61" i="41"/>
  <c r="AS61" i="41"/>
  <c r="Q62" i="41"/>
  <c r="AS62" i="41"/>
  <c r="Q63" i="41"/>
  <c r="AS64" i="41"/>
  <c r="Q65" i="41"/>
  <c r="AS65" i="41"/>
  <c r="O69" i="41"/>
  <c r="O73" i="41"/>
  <c r="O74" i="41"/>
  <c r="O76" i="41"/>
  <c r="O77" i="41"/>
  <c r="O78" i="41"/>
  <c r="O79" i="41"/>
  <c r="O81" i="41"/>
  <c r="O82" i="41"/>
  <c r="O84" i="41"/>
  <c r="O85" i="41"/>
  <c r="O86" i="41"/>
  <c r="O87" i="41"/>
  <c r="O88" i="41"/>
  <c r="O89" i="41"/>
  <c r="O107" i="41"/>
  <c r="O106" i="41"/>
  <c r="Q99" i="41"/>
  <c r="O100" i="41"/>
  <c r="Q104" i="41"/>
  <c r="AS109" i="41"/>
  <c r="P113" i="41"/>
  <c r="P115" i="41"/>
  <c r="P119" i="41"/>
  <c r="P121" i="41"/>
  <c r="P123" i="41"/>
  <c r="P125" i="41"/>
  <c r="P127" i="41"/>
  <c r="O131" i="41"/>
  <c r="R53" i="41"/>
  <c r="R54" i="41"/>
  <c r="R56" i="41"/>
  <c r="R57" i="41"/>
  <c r="R58" i="41"/>
  <c r="R59" i="41"/>
  <c r="R60" i="41"/>
  <c r="R61" i="41"/>
  <c r="R62" i="41"/>
  <c r="R63" i="41"/>
  <c r="AR67" i="41"/>
  <c r="P69" i="41"/>
  <c r="P68" i="41" s="1"/>
  <c r="AR69" i="41"/>
  <c r="AR71" i="41"/>
  <c r="AR72" i="41"/>
  <c r="P73" i="41"/>
  <c r="AR73" i="41"/>
  <c r="P74" i="41"/>
  <c r="AR74" i="41"/>
  <c r="AR75" i="41"/>
  <c r="P76" i="41"/>
  <c r="AR76" i="41"/>
  <c r="P77" i="41"/>
  <c r="AR77" i="41"/>
  <c r="P78" i="41"/>
  <c r="AR78" i="41"/>
  <c r="P79" i="41"/>
  <c r="AR79" i="41"/>
  <c r="AR80" i="41"/>
  <c r="P81" i="41"/>
  <c r="AR81" i="41"/>
  <c r="P82" i="41"/>
  <c r="AR82" i="41"/>
  <c r="AR83" i="41"/>
  <c r="P84" i="41"/>
  <c r="AR84" i="41"/>
  <c r="P85" i="41"/>
  <c r="AR85" i="41"/>
  <c r="P86" i="41"/>
  <c r="AR86" i="41"/>
  <c r="P87" i="41"/>
  <c r="AR87" i="41"/>
  <c r="P88" i="41"/>
  <c r="P89" i="41"/>
  <c r="P131" i="41"/>
  <c r="P130" i="41"/>
  <c r="R99" i="41"/>
  <c r="P100" i="41"/>
  <c r="AS103" i="41"/>
  <c r="AR103" i="41"/>
  <c r="Q110" i="41"/>
  <c r="O53" i="41"/>
  <c r="O54" i="41"/>
  <c r="N54" i="41" s="1"/>
  <c r="O56" i="41"/>
  <c r="O57" i="41"/>
  <c r="O58" i="41"/>
  <c r="O59" i="41"/>
  <c r="O60" i="41"/>
  <c r="O61" i="41"/>
  <c r="O62" i="41"/>
  <c r="O63" i="41"/>
  <c r="N63" i="41" s="1"/>
  <c r="Q69" i="41"/>
  <c r="Q68" i="41" s="1"/>
  <c r="Q76" i="41"/>
  <c r="Q77" i="41"/>
  <c r="Q78" i="41"/>
  <c r="Q79" i="41"/>
  <c r="Q81" i="41"/>
  <c r="Q82" i="41"/>
  <c r="Q84" i="41"/>
  <c r="Q85" i="41"/>
  <c r="Q86" i="41"/>
  <c r="Q87" i="41"/>
  <c r="Q88" i="41"/>
  <c r="Q89" i="41"/>
  <c r="Q131" i="41"/>
  <c r="Q130" i="41"/>
  <c r="Q100" i="41"/>
  <c r="D101" i="41"/>
  <c r="Q103" i="41"/>
  <c r="R106" i="41"/>
  <c r="P116" i="41"/>
  <c r="P118" i="41"/>
  <c r="P120" i="41"/>
  <c r="P124" i="41"/>
  <c r="P126" i="41"/>
  <c r="P128" i="41"/>
  <c r="O130" i="41"/>
  <c r="M90" i="41"/>
  <c r="P99" i="41"/>
  <c r="R107" i="41"/>
  <c r="Q111" i="41"/>
  <c r="R135" i="41"/>
  <c r="R103" i="41"/>
  <c r="R104" i="41"/>
  <c r="R110" i="41"/>
  <c r="R111" i="41"/>
  <c r="Q113" i="41"/>
  <c r="AS113" i="41"/>
  <c r="Q115" i="41"/>
  <c r="AS115" i="41"/>
  <c r="Q116" i="41"/>
  <c r="AS116" i="41"/>
  <c r="Q118" i="41"/>
  <c r="AS118" i="41"/>
  <c r="Q119" i="41"/>
  <c r="AS119" i="41"/>
  <c r="Q120" i="41"/>
  <c r="AS120" i="41"/>
  <c r="Q121" i="41"/>
  <c r="AS121" i="41"/>
  <c r="AS122" i="41"/>
  <c r="Q123" i="41"/>
  <c r="AS123" i="41"/>
  <c r="Q124" i="41"/>
  <c r="AS124" i="41"/>
  <c r="Q125" i="41"/>
  <c r="AS125" i="41"/>
  <c r="Q126" i="41"/>
  <c r="AS126" i="41"/>
  <c r="Q127" i="41"/>
  <c r="AS127" i="41"/>
  <c r="Q128" i="41"/>
  <c r="AS128" i="41"/>
  <c r="AS129" i="41"/>
  <c r="AS130" i="41"/>
  <c r="AS131" i="41"/>
  <c r="AS132" i="41"/>
  <c r="O135" i="41"/>
  <c r="D139" i="41"/>
  <c r="O103" i="41"/>
  <c r="O104" i="41"/>
  <c r="P106" i="41"/>
  <c r="P107" i="41"/>
  <c r="O110" i="41"/>
  <c r="O111" i="41"/>
  <c r="R113" i="41"/>
  <c r="R115" i="41"/>
  <c r="R116" i="41"/>
  <c r="R118" i="41"/>
  <c r="R120" i="41"/>
  <c r="R121" i="41"/>
  <c r="R123" i="41"/>
  <c r="R124" i="41"/>
  <c r="R125" i="41"/>
  <c r="R126" i="41"/>
  <c r="R127" i="41"/>
  <c r="R128" i="41"/>
  <c r="R130" i="41"/>
  <c r="R131" i="41"/>
  <c r="P135" i="41"/>
  <c r="P103" i="41"/>
  <c r="P104" i="41"/>
  <c r="AR104" i="41"/>
  <c r="Q106" i="41"/>
  <c r="Q107" i="41"/>
  <c r="P110" i="41"/>
  <c r="P111" i="41"/>
  <c r="O113" i="41"/>
  <c r="O115" i="41"/>
  <c r="N115" i="41" s="1"/>
  <c r="O116" i="41"/>
  <c r="O118" i="41"/>
  <c r="O119" i="41"/>
  <c r="O120" i="41"/>
  <c r="N120" i="41" s="1"/>
  <c r="O121" i="41"/>
  <c r="N121" i="41" s="1"/>
  <c r="O123" i="41"/>
  <c r="N123" i="41" s="1"/>
  <c r="O124" i="41"/>
  <c r="O125" i="41"/>
  <c r="N125" i="41" s="1"/>
  <c r="O126" i="41"/>
  <c r="O127" i="41"/>
  <c r="O128" i="41"/>
  <c r="N128" i="41" s="1"/>
  <c r="AR133" i="41"/>
  <c r="Q135" i="41"/>
  <c r="N126" i="41" l="1"/>
  <c r="N116" i="41"/>
  <c r="N58" i="41"/>
  <c r="N57" i="41"/>
  <c r="F90" i="41"/>
  <c r="AY6" i="41"/>
  <c r="AY136" i="41" s="1"/>
  <c r="AY140" i="41" s="1"/>
  <c r="N113" i="41"/>
  <c r="I90" i="41"/>
  <c r="AV8" i="41"/>
  <c r="AV6" i="41" s="1"/>
  <c r="AV34" i="41"/>
  <c r="AU34" i="41" s="1"/>
  <c r="N130" i="41"/>
  <c r="N61" i="41"/>
  <c r="N56" i="41"/>
  <c r="N124" i="41"/>
  <c r="N60" i="41"/>
  <c r="AZ6" i="41"/>
  <c r="AZ136" i="41" s="1"/>
  <c r="AZ140" i="41" s="1"/>
  <c r="N111" i="41"/>
  <c r="N107" i="41"/>
  <c r="N81" i="41"/>
  <c r="N76" i="41"/>
  <c r="N38" i="41"/>
  <c r="N118" i="41"/>
  <c r="N59" i="41"/>
  <c r="N36" i="41"/>
  <c r="N119" i="41"/>
  <c r="N110" i="41"/>
  <c r="N103" i="41"/>
  <c r="N100" i="41"/>
  <c r="N89" i="41"/>
  <c r="N85" i="41"/>
  <c r="N79" i="41"/>
  <c r="N74" i="41"/>
  <c r="O139" i="41"/>
  <c r="N137" i="41"/>
  <c r="N41" i="41"/>
  <c r="N37" i="41"/>
  <c r="N88" i="41"/>
  <c r="N84" i="41"/>
  <c r="N78" i="41"/>
  <c r="N73" i="41"/>
  <c r="N13" i="41"/>
  <c r="O26" i="41"/>
  <c r="N26" i="41" s="1"/>
  <c r="N31" i="41"/>
  <c r="N99" i="41"/>
  <c r="N46" i="41"/>
  <c r="N19" i="41"/>
  <c r="N86" i="41"/>
  <c r="N127" i="41"/>
  <c r="N135" i="41"/>
  <c r="N62" i="41"/>
  <c r="N53" i="41"/>
  <c r="N131" i="41"/>
  <c r="N106" i="41"/>
  <c r="N87" i="41"/>
  <c r="N82" i="41"/>
  <c r="N77" i="41"/>
  <c r="O68" i="41"/>
  <c r="N68" i="41" s="1"/>
  <c r="N69" i="41"/>
  <c r="N16" i="41"/>
  <c r="N11" i="41"/>
  <c r="M26" i="41"/>
  <c r="P45" i="41"/>
  <c r="AR68" i="41"/>
  <c r="H136" i="41"/>
  <c r="H140" i="41" s="1"/>
  <c r="H147" i="41" s="1"/>
  <c r="F94" i="41"/>
  <c r="E94" i="41" s="1"/>
  <c r="E95" i="41"/>
  <c r="AW136" i="41"/>
  <c r="AW140" i="41" s="1"/>
  <c r="AW146" i="41" s="1"/>
  <c r="AU6" i="41"/>
  <c r="F6" i="41"/>
  <c r="D34" i="41"/>
  <c r="H91" i="41" s="1"/>
  <c r="E34" i="41"/>
  <c r="G136" i="41"/>
  <c r="G140" i="41" s="1"/>
  <c r="G146" i="41" s="1"/>
  <c r="AR146" i="41" s="1"/>
  <c r="D90" i="41"/>
  <c r="AS34" i="41"/>
  <c r="I91" i="41"/>
  <c r="O39" i="41"/>
  <c r="N39" i="41" s="1"/>
  <c r="O45" i="41"/>
  <c r="R39" i="41"/>
  <c r="P109" i="41"/>
  <c r="R70" i="41"/>
  <c r="R75" i="41"/>
  <c r="M10" i="41"/>
  <c r="M8" i="41" s="1"/>
  <c r="AS114" i="41"/>
  <c r="AV95" i="41"/>
  <c r="AV94" i="41" s="1"/>
  <c r="AU109" i="41"/>
  <c r="AU95" i="41" s="1"/>
  <c r="AU94" i="41" s="1"/>
  <c r="AU136" i="41" s="1"/>
  <c r="AU140" i="41" s="1"/>
  <c r="Q39" i="41"/>
  <c r="AS117" i="41"/>
  <c r="P10" i="41"/>
  <c r="P8" i="41" s="1"/>
  <c r="R101" i="41"/>
  <c r="Q10" i="41"/>
  <c r="Q8" i="41" s="1"/>
  <c r="O10" i="41"/>
  <c r="D95" i="41"/>
  <c r="AS101" i="41"/>
  <c r="AR101" i="41"/>
  <c r="R45" i="41"/>
  <c r="O114" i="41"/>
  <c r="P101" i="41"/>
  <c r="O109" i="41"/>
  <c r="O101" i="41"/>
  <c r="Q114" i="41"/>
  <c r="R109" i="41"/>
  <c r="P75" i="41"/>
  <c r="O70" i="41"/>
  <c r="Q45" i="41"/>
  <c r="AS26" i="41"/>
  <c r="AQ6" i="41"/>
  <c r="R114" i="41"/>
  <c r="AR139" i="41"/>
  <c r="D138" i="41"/>
  <c r="AR138" i="41" s="1"/>
  <c r="P70" i="41"/>
  <c r="P34" i="41" s="1"/>
  <c r="P114" i="41"/>
  <c r="AR26" i="41"/>
  <c r="Q101" i="41"/>
  <c r="Q75" i="41"/>
  <c r="Q109" i="41"/>
  <c r="O75" i="41"/>
  <c r="D92" i="41"/>
  <c r="R10" i="41"/>
  <c r="R8" i="41" s="1"/>
  <c r="AS8" i="41"/>
  <c r="AR8" i="41"/>
  <c r="D6" i="41"/>
  <c r="G91" i="41" l="1"/>
  <c r="F91" i="41"/>
  <c r="AV136" i="41"/>
  <c r="AV140" i="41" s="1"/>
  <c r="AV145" i="41" s="1"/>
  <c r="AR34" i="41"/>
  <c r="N75" i="41"/>
  <c r="N45" i="41"/>
  <c r="N70" i="41"/>
  <c r="N101" i="41"/>
  <c r="M68" i="41"/>
  <c r="N109" i="41"/>
  <c r="O8" i="41"/>
  <c r="N8" i="41" s="1"/>
  <c r="N10" i="41"/>
  <c r="O138" i="41"/>
  <c r="N138" i="41" s="1"/>
  <c r="N139" i="41"/>
  <c r="N114" i="41"/>
  <c r="D91" i="41"/>
  <c r="F136" i="41"/>
  <c r="E6" i="41"/>
  <c r="M39" i="41"/>
  <c r="R34" i="41"/>
  <c r="R6" i="41" s="1"/>
  <c r="P6" i="41"/>
  <c r="Q34" i="41"/>
  <c r="M70" i="41"/>
  <c r="AR6" i="41"/>
  <c r="AQ136" i="41"/>
  <c r="AS6" i="41"/>
  <c r="D94" i="41"/>
  <c r="AR95" i="41"/>
  <c r="AS95" i="41"/>
  <c r="O34" i="41"/>
  <c r="N34" i="41" s="1"/>
  <c r="M109" i="41"/>
  <c r="M95" i="41" s="1"/>
  <c r="M94" i="41" s="1"/>
  <c r="M45" i="41"/>
  <c r="F140" i="41" l="1"/>
  <c r="F145" i="41" s="1"/>
  <c r="AR145" i="41" s="1"/>
  <c r="AQ140" i="41"/>
  <c r="M34" i="41"/>
  <c r="O91" i="41" s="1"/>
  <c r="O6" i="41"/>
  <c r="N6" i="41" s="1"/>
  <c r="AR94" i="41"/>
  <c r="AS94" i="41"/>
  <c r="D136" i="41"/>
  <c r="Q6" i="41"/>
  <c r="Q91" i="41" l="1"/>
  <c r="Q132" i="41" s="1"/>
  <c r="O122" i="41"/>
  <c r="O132" i="41"/>
  <c r="O129" i="41"/>
  <c r="D140" i="41"/>
  <c r="AR136" i="41"/>
  <c r="M6" i="41"/>
  <c r="M136" i="41" s="1"/>
  <c r="P91" i="41"/>
  <c r="N91" i="41" s="1"/>
  <c r="R91" i="41"/>
  <c r="AS136" i="41"/>
  <c r="Q122" i="41" l="1"/>
  <c r="Q129" i="41"/>
  <c r="Q117" i="41" s="1"/>
  <c r="Q95" i="41" s="1"/>
  <c r="Q94" i="41" s="1"/>
  <c r="Q136" i="41" s="1"/>
  <c r="Q140" i="41" s="1"/>
  <c r="O117" i="41"/>
  <c r="M91" i="41"/>
  <c r="R132" i="41"/>
  <c r="R129" i="41"/>
  <c r="R122" i="41"/>
  <c r="D153" i="41"/>
  <c r="AR140" i="41"/>
  <c r="P132" i="41"/>
  <c r="N132" i="41" s="1"/>
  <c r="P122" i="41"/>
  <c r="N122" i="41" s="1"/>
  <c r="P129" i="41"/>
  <c r="N129" i="41" s="1"/>
  <c r="O95" i="41" l="1"/>
  <c r="R117" i="41"/>
  <c r="R95" i="41" s="1"/>
  <c r="R94" i="41" s="1"/>
  <c r="R136" i="41" s="1"/>
  <c r="R140" i="41" s="1"/>
  <c r="R148" i="41" s="1"/>
  <c r="Q147" i="41"/>
  <c r="Q155" i="41" s="1"/>
  <c r="Q139" i="41"/>
  <c r="P117" i="41"/>
  <c r="P95" i="41" s="1"/>
  <c r="P94" i="41" s="1"/>
  <c r="P136" i="41" s="1"/>
  <c r="P140" i="41" s="1"/>
  <c r="P146" i="41" s="1"/>
  <c r="P155" i="41" s="1"/>
  <c r="N117" i="41" l="1"/>
  <c r="O94" i="41"/>
  <c r="N95" i="41"/>
  <c r="R139" i="41"/>
  <c r="R138" i="41" s="1"/>
  <c r="R137" i="41" s="1"/>
  <c r="Q138" i="41"/>
  <c r="Q137" i="41" s="1"/>
  <c r="O136" i="41" l="1"/>
  <c r="N94" i="41"/>
  <c r="M137" i="41"/>
  <c r="M139" i="41" s="1"/>
  <c r="M140" i="41" s="1"/>
  <c r="M153" i="41" s="1"/>
  <c r="O140" i="41" l="1"/>
  <c r="N136" i="41"/>
  <c r="M138" i="41"/>
  <c r="O145" i="41" l="1"/>
  <c r="O155" i="41" s="1"/>
  <c r="M155" i="41" s="1"/>
  <c r="N140" i="41"/>
  <c r="AA30" i="36"/>
  <c r="AB30" i="36"/>
  <c r="AB29" i="36"/>
  <c r="AA29" i="36"/>
  <c r="K98" i="36" l="1"/>
  <c r="K97" i="36"/>
  <c r="G29" i="40" l="1"/>
  <c r="D16" i="46" s="1"/>
  <c r="G103" i="40"/>
  <c r="D32" i="46" s="1"/>
  <c r="D30" i="46"/>
  <c r="D28" i="46"/>
  <c r="G34" i="40"/>
  <c r="D19" i="46" s="1"/>
  <c r="G33" i="40"/>
  <c r="D18" i="46" s="1"/>
  <c r="G32" i="40"/>
  <c r="D17" i="46" s="1"/>
  <c r="G28" i="40"/>
  <c r="G27" i="40"/>
  <c r="G26" i="40"/>
  <c r="G25" i="40"/>
  <c r="G125" i="40"/>
  <c r="D35" i="46" s="1"/>
  <c r="G122" i="40"/>
  <c r="G121" i="40"/>
  <c r="G120" i="40"/>
  <c r="G119" i="40"/>
  <c r="G118" i="40"/>
  <c r="G117" i="40"/>
  <c r="G116" i="40"/>
  <c r="G115" i="40"/>
  <c r="G114" i="40"/>
  <c r="G113" i="40"/>
  <c r="G112" i="40"/>
  <c r="G111" i="40"/>
  <c r="G110" i="40"/>
  <c r="G109" i="40"/>
  <c r="G108" i="40"/>
  <c r="G106" i="40"/>
  <c r="G105" i="40"/>
  <c r="G101" i="40"/>
  <c r="G100" i="40"/>
  <c r="G85" i="40"/>
  <c r="G84" i="40"/>
  <c r="G83" i="40"/>
  <c r="G82" i="40"/>
  <c r="G81" i="40"/>
  <c r="G80" i="40"/>
  <c r="G79" i="40"/>
  <c r="M79" i="40" s="1"/>
  <c r="S79" i="40" s="1"/>
  <c r="BJ79" i="40" s="1"/>
  <c r="G78" i="40"/>
  <c r="G77" i="40"/>
  <c r="G76" i="40"/>
  <c r="G75" i="40"/>
  <c r="G74" i="40"/>
  <c r="G72" i="40"/>
  <c r="G71" i="40"/>
  <c r="G69" i="40"/>
  <c r="G68" i="40"/>
  <c r="G67" i="40"/>
  <c r="G66" i="40"/>
  <c r="G64" i="40"/>
  <c r="M64" i="40" s="1"/>
  <c r="G62" i="40"/>
  <c r="M62" i="40" s="1"/>
  <c r="G61" i="40"/>
  <c r="G60" i="40"/>
  <c r="M60" i="40" s="1"/>
  <c r="G73" i="40"/>
  <c r="G58" i="40"/>
  <c r="M58" i="40" s="1"/>
  <c r="G57" i="40"/>
  <c r="M57" i="40" s="1"/>
  <c r="G56" i="40"/>
  <c r="M56" i="40" s="1"/>
  <c r="G55" i="40"/>
  <c r="M55" i="40" s="1"/>
  <c r="G54" i="40"/>
  <c r="M54" i="40" s="1"/>
  <c r="G53" i="40"/>
  <c r="M53" i="40" s="1"/>
  <c r="G52" i="40"/>
  <c r="M52" i="40" s="1"/>
  <c r="G51" i="40"/>
  <c r="M51" i="40" s="1"/>
  <c r="G50" i="40"/>
  <c r="M50" i="40" s="1"/>
  <c r="G49" i="40"/>
  <c r="M49" i="40" s="1"/>
  <c r="G48" i="40"/>
  <c r="M48" i="40" s="1"/>
  <c r="G47" i="40"/>
  <c r="M47" i="40" s="1"/>
  <c r="G46" i="40"/>
  <c r="M46" i="40" s="1"/>
  <c r="G45" i="40"/>
  <c r="M45" i="40" s="1"/>
  <c r="G44" i="40"/>
  <c r="M44" i="40" s="1"/>
  <c r="G42" i="40"/>
  <c r="M42" i="40" s="1"/>
  <c r="G40" i="40"/>
  <c r="G39" i="40"/>
  <c r="G38" i="40"/>
  <c r="G37" i="40"/>
  <c r="G36" i="40"/>
  <c r="G22" i="40"/>
  <c r="G21" i="40"/>
  <c r="G19" i="40"/>
  <c r="G18" i="40"/>
  <c r="M18" i="40" s="1"/>
  <c r="S18" i="40" s="1"/>
  <c r="G17" i="40"/>
  <c r="G15" i="40"/>
  <c r="G14" i="40"/>
  <c r="G13" i="40"/>
  <c r="G12" i="40"/>
  <c r="G11" i="40"/>
  <c r="G10" i="40"/>
  <c r="G16" i="40"/>
  <c r="G9" i="40"/>
  <c r="H20" i="40"/>
  <c r="D13" i="47" s="1"/>
  <c r="D24" i="40"/>
  <c r="D15" i="43" s="1"/>
  <c r="E24" i="40"/>
  <c r="D15" i="44" s="1"/>
  <c r="F24" i="40"/>
  <c r="D15" i="45" s="1"/>
  <c r="H24" i="40"/>
  <c r="D15" i="47" s="1"/>
  <c r="D20" i="40"/>
  <c r="D13" i="43" s="1"/>
  <c r="D104" i="40"/>
  <c r="D33" i="43" s="1"/>
  <c r="D98" i="40"/>
  <c r="J98" i="40" s="1"/>
  <c r="P98" i="40" s="1"/>
  <c r="D92" i="40"/>
  <c r="D29" i="43" s="1"/>
  <c r="E70" i="40"/>
  <c r="D25" i="44" s="1"/>
  <c r="H65" i="40"/>
  <c r="D24" i="47" s="1"/>
  <c r="E63" i="40"/>
  <c r="D23" i="44" s="1"/>
  <c r="F63" i="40"/>
  <c r="D23" i="45" s="1"/>
  <c r="H35" i="40"/>
  <c r="D20" i="47" s="1"/>
  <c r="E35" i="40"/>
  <c r="D20" i="44" s="1"/>
  <c r="D8" i="40"/>
  <c r="D12" i="43" s="1"/>
  <c r="D27" i="46" l="1"/>
  <c r="M61" i="40"/>
  <c r="D22" i="46"/>
  <c r="M36" i="40"/>
  <c r="S36" i="40" s="1"/>
  <c r="BJ36" i="40" s="1"/>
  <c r="BP36" i="40"/>
  <c r="M40" i="40"/>
  <c r="BP40" i="40"/>
  <c r="M27" i="40"/>
  <c r="S27" i="40" s="1"/>
  <c r="BJ27" i="40" s="1"/>
  <c r="BP27" i="40"/>
  <c r="J24" i="40"/>
  <c r="P24" i="40" s="1"/>
  <c r="BM24" i="40"/>
  <c r="M125" i="40"/>
  <c r="S125" i="40" s="1"/>
  <c r="BP125" i="40"/>
  <c r="M28" i="40"/>
  <c r="BP28" i="40"/>
  <c r="M88" i="40"/>
  <c r="S88" i="40" s="1"/>
  <c r="BJ88" i="40" s="1"/>
  <c r="BP88" i="40"/>
  <c r="M97" i="40"/>
  <c r="BP97" i="40"/>
  <c r="K35" i="40"/>
  <c r="Q35" i="40" s="1"/>
  <c r="BN35" i="40"/>
  <c r="M91" i="40"/>
  <c r="BP91" i="40"/>
  <c r="M37" i="40"/>
  <c r="S37" i="40" s="1"/>
  <c r="BJ37" i="40" s="1"/>
  <c r="BP37" i="40"/>
  <c r="L63" i="40"/>
  <c r="BO63" i="40"/>
  <c r="N24" i="40"/>
  <c r="T24" i="40" s="1"/>
  <c r="BQ24" i="40"/>
  <c r="M38" i="40"/>
  <c r="S38" i="40" s="1"/>
  <c r="BJ38" i="40" s="1"/>
  <c r="BP38" i="40"/>
  <c r="M25" i="40"/>
  <c r="S25" i="40" s="1"/>
  <c r="BJ25" i="40" s="1"/>
  <c r="BP25" i="40"/>
  <c r="M32" i="40"/>
  <c r="BP32" i="40"/>
  <c r="M89" i="40"/>
  <c r="S89" i="40" s="1"/>
  <c r="BJ89" i="40" s="1"/>
  <c r="BP89" i="40"/>
  <c r="M103" i="40"/>
  <c r="BP103" i="40"/>
  <c r="K24" i="40"/>
  <c r="Q24" i="40" s="1"/>
  <c r="BN24" i="40"/>
  <c r="M34" i="40"/>
  <c r="BP34" i="40"/>
  <c r="N35" i="40"/>
  <c r="T35" i="40" s="1"/>
  <c r="BQ35" i="40"/>
  <c r="K63" i="40"/>
  <c r="BN63" i="40"/>
  <c r="L24" i="40"/>
  <c r="R24" i="40" s="1"/>
  <c r="BO24" i="40"/>
  <c r="M39" i="40"/>
  <c r="BP39" i="40"/>
  <c r="M26" i="40"/>
  <c r="S26" i="40" s="1"/>
  <c r="BJ26" i="40" s="1"/>
  <c r="BP26" i="40"/>
  <c r="M33" i="40"/>
  <c r="BP33" i="40"/>
  <c r="M90" i="40"/>
  <c r="S90" i="40" s="1"/>
  <c r="BJ90" i="40" s="1"/>
  <c r="BP90" i="40"/>
  <c r="M29" i="40"/>
  <c r="BP29" i="40"/>
  <c r="M110" i="40"/>
  <c r="S110" i="40" s="1"/>
  <c r="BJ110" i="40" s="1"/>
  <c r="BP110" i="40"/>
  <c r="M114" i="40"/>
  <c r="BP114" i="40"/>
  <c r="M118" i="40"/>
  <c r="S118" i="40" s="1"/>
  <c r="BJ118" i="40" s="1"/>
  <c r="BP118" i="40"/>
  <c r="M122" i="40"/>
  <c r="BP122" i="40"/>
  <c r="M111" i="40"/>
  <c r="S111" i="40" s="1"/>
  <c r="BJ111" i="40" s="1"/>
  <c r="BP111" i="40"/>
  <c r="M115" i="40"/>
  <c r="BP115" i="40"/>
  <c r="M119" i="40"/>
  <c r="S119" i="40" s="1"/>
  <c r="BJ119" i="40" s="1"/>
  <c r="BP119" i="40"/>
  <c r="M108" i="40"/>
  <c r="S108" i="40" s="1"/>
  <c r="BJ108" i="40" s="1"/>
  <c r="BP108" i="40"/>
  <c r="M112" i="40"/>
  <c r="S112" i="40" s="1"/>
  <c r="BJ112" i="40" s="1"/>
  <c r="BP112" i="40"/>
  <c r="M116" i="40"/>
  <c r="BP116" i="40"/>
  <c r="M120" i="40"/>
  <c r="S120" i="40" s="1"/>
  <c r="BJ120" i="40" s="1"/>
  <c r="BP120" i="40"/>
  <c r="M109" i="40"/>
  <c r="BP109" i="40"/>
  <c r="M113" i="40"/>
  <c r="S113" i="40" s="1"/>
  <c r="BJ113" i="40" s="1"/>
  <c r="BP113" i="40"/>
  <c r="M117" i="40"/>
  <c r="S117" i="40" s="1"/>
  <c r="BJ117" i="40" s="1"/>
  <c r="BP117" i="40"/>
  <c r="M121" i="40"/>
  <c r="S121" i="40" s="1"/>
  <c r="BJ121" i="40" s="1"/>
  <c r="BP121" i="40"/>
  <c r="M106" i="40"/>
  <c r="S106" i="40" s="1"/>
  <c r="BJ106" i="40" s="1"/>
  <c r="BP106" i="40"/>
  <c r="J104" i="40"/>
  <c r="P104" i="40" s="1"/>
  <c r="BG104" i="40" s="1"/>
  <c r="BM104" i="40"/>
  <c r="M105" i="40"/>
  <c r="S105" i="40" s="1"/>
  <c r="BJ105" i="40" s="1"/>
  <c r="BP105" i="40"/>
  <c r="M100" i="40"/>
  <c r="S100" i="40" s="1"/>
  <c r="BJ100" i="40" s="1"/>
  <c r="BP100" i="40"/>
  <c r="M101" i="40"/>
  <c r="S101" i="40" s="1"/>
  <c r="BJ101" i="40" s="1"/>
  <c r="BP101" i="40"/>
  <c r="M93" i="40"/>
  <c r="S93" i="40" s="1"/>
  <c r="BJ93" i="40" s="1"/>
  <c r="BP93" i="40"/>
  <c r="J92" i="40"/>
  <c r="P92" i="40" s="1"/>
  <c r="BG92" i="40" s="1"/>
  <c r="BM92" i="40"/>
  <c r="M94" i="40"/>
  <c r="S94" i="40" s="1"/>
  <c r="BJ94" i="40" s="1"/>
  <c r="BP94" i="40"/>
  <c r="M78" i="40"/>
  <c r="BP78" i="40"/>
  <c r="K70" i="40"/>
  <c r="Q70" i="40" s="1"/>
  <c r="BN70" i="40"/>
  <c r="M73" i="40"/>
  <c r="S73" i="40" s="1"/>
  <c r="BJ73" i="40" s="1"/>
  <c r="BP73" i="40"/>
  <c r="M75" i="40"/>
  <c r="S75" i="40" s="1"/>
  <c r="BJ75" i="40" s="1"/>
  <c r="BP75" i="40"/>
  <c r="M83" i="40"/>
  <c r="S83" i="40" s="1"/>
  <c r="BJ83" i="40" s="1"/>
  <c r="BP83" i="40"/>
  <c r="M71" i="40"/>
  <c r="S71" i="40" s="1"/>
  <c r="BJ71" i="40" s="1"/>
  <c r="BP71" i="40"/>
  <c r="M80" i="40"/>
  <c r="S80" i="40" s="1"/>
  <c r="BJ80" i="40" s="1"/>
  <c r="BP80" i="40"/>
  <c r="M84" i="40"/>
  <c r="S84" i="40" s="1"/>
  <c r="BJ84" i="40" s="1"/>
  <c r="BP84" i="40"/>
  <c r="M74" i="40"/>
  <c r="S74" i="40" s="1"/>
  <c r="BJ74" i="40" s="1"/>
  <c r="BP74" i="40"/>
  <c r="M82" i="40"/>
  <c r="S82" i="40" s="1"/>
  <c r="BJ82" i="40" s="1"/>
  <c r="BP82" i="40"/>
  <c r="M76" i="40"/>
  <c r="S76" i="40" s="1"/>
  <c r="BJ76" i="40" s="1"/>
  <c r="BP76" i="40"/>
  <c r="M72" i="40"/>
  <c r="S72" i="40" s="1"/>
  <c r="BJ72" i="40" s="1"/>
  <c r="BP72" i="40"/>
  <c r="M77" i="40"/>
  <c r="S77" i="40" s="1"/>
  <c r="BJ77" i="40" s="1"/>
  <c r="BP77" i="40"/>
  <c r="M81" i="40"/>
  <c r="S81" i="40" s="1"/>
  <c r="BJ81" i="40" s="1"/>
  <c r="BP81" i="40"/>
  <c r="M85" i="40"/>
  <c r="S85" i="40" s="1"/>
  <c r="BJ85" i="40" s="1"/>
  <c r="BP85" i="40"/>
  <c r="M69" i="40"/>
  <c r="S69" i="40" s="1"/>
  <c r="BJ69" i="40" s="1"/>
  <c r="BP69" i="40"/>
  <c r="M66" i="40"/>
  <c r="S66" i="40" s="1"/>
  <c r="BJ66" i="40" s="1"/>
  <c r="BP66" i="40"/>
  <c r="N65" i="40"/>
  <c r="T65" i="40" s="1"/>
  <c r="BQ65" i="40"/>
  <c r="M68" i="40"/>
  <c r="S68" i="40" s="1"/>
  <c r="BJ68" i="40" s="1"/>
  <c r="BP68" i="40"/>
  <c r="M67" i="40"/>
  <c r="S67" i="40" s="1"/>
  <c r="BJ67" i="40" s="1"/>
  <c r="BP67" i="40"/>
  <c r="J20" i="40"/>
  <c r="P20" i="40" s="1"/>
  <c r="BG20" i="40" s="1"/>
  <c r="BM20" i="40"/>
  <c r="N20" i="40"/>
  <c r="T20" i="40" s="1"/>
  <c r="BQ20" i="40"/>
  <c r="M21" i="40"/>
  <c r="S21" i="40" s="1"/>
  <c r="BJ21" i="40" s="1"/>
  <c r="BP21" i="40"/>
  <c r="M22" i="40"/>
  <c r="S22" i="40" s="1"/>
  <c r="BJ22" i="40" s="1"/>
  <c r="BP22" i="40"/>
  <c r="M10" i="40"/>
  <c r="S10" i="40" s="1"/>
  <c r="BJ10" i="40" s="1"/>
  <c r="BP10" i="40"/>
  <c r="M14" i="40"/>
  <c r="S14" i="40" s="1"/>
  <c r="BJ14" i="40" s="1"/>
  <c r="BP14" i="40"/>
  <c r="M19" i="40"/>
  <c r="S19" i="40" s="1"/>
  <c r="BJ19" i="40" s="1"/>
  <c r="BP19" i="40"/>
  <c r="M16" i="40"/>
  <c r="BP16" i="40"/>
  <c r="M11" i="40"/>
  <c r="S11" i="40" s="1"/>
  <c r="BJ11" i="40" s="1"/>
  <c r="BP11" i="40"/>
  <c r="M15" i="40"/>
  <c r="S15" i="40" s="1"/>
  <c r="BJ15" i="40" s="1"/>
  <c r="BP15" i="40"/>
  <c r="M13" i="40"/>
  <c r="S13" i="40" s="1"/>
  <c r="BJ13" i="40" s="1"/>
  <c r="BP13" i="40"/>
  <c r="J8" i="40"/>
  <c r="P8" i="40" s="1"/>
  <c r="BG8" i="40" s="1"/>
  <c r="BM8" i="40"/>
  <c r="M9" i="40"/>
  <c r="S9" i="40" s="1"/>
  <c r="BJ9" i="40" s="1"/>
  <c r="BP9" i="40"/>
  <c r="M12" i="40"/>
  <c r="S12" i="40" s="1"/>
  <c r="BJ12" i="40" s="1"/>
  <c r="BP12" i="40"/>
  <c r="M17" i="40"/>
  <c r="S17" i="40" s="1"/>
  <c r="BJ17" i="40" s="1"/>
  <c r="BP17" i="40"/>
  <c r="S16" i="40"/>
  <c r="BJ16" i="40" s="1"/>
  <c r="S46" i="40"/>
  <c r="BJ46" i="40" s="1"/>
  <c r="S58" i="40"/>
  <c r="BJ58" i="40" s="1"/>
  <c r="S114" i="40"/>
  <c r="BJ114" i="40" s="1"/>
  <c r="S34" i="40"/>
  <c r="F19" i="46" s="1"/>
  <c r="S42" i="40"/>
  <c r="BJ42" i="40" s="1"/>
  <c r="S51" i="40"/>
  <c r="BJ51" i="40" s="1"/>
  <c r="S115" i="40"/>
  <c r="BJ115" i="40" s="1"/>
  <c r="S28" i="40"/>
  <c r="BJ28" i="40" s="1"/>
  <c r="S97" i="40"/>
  <c r="S44" i="40"/>
  <c r="BJ44" i="40" s="1"/>
  <c r="S48" i="40"/>
  <c r="BJ48" i="40" s="1"/>
  <c r="S52" i="40"/>
  <c r="BJ52" i="40" s="1"/>
  <c r="S56" i="40"/>
  <c r="BJ56" i="40" s="1"/>
  <c r="S60" i="40"/>
  <c r="BJ60" i="40" s="1"/>
  <c r="S116" i="40"/>
  <c r="BJ116" i="40" s="1"/>
  <c r="S32" i="40"/>
  <c r="S103" i="40"/>
  <c r="S40" i="40"/>
  <c r="BJ40" i="40" s="1"/>
  <c r="S50" i="40"/>
  <c r="BJ50" i="40" s="1"/>
  <c r="S54" i="40"/>
  <c r="BJ54" i="40" s="1"/>
  <c r="S62" i="40"/>
  <c r="BJ62" i="40" s="1"/>
  <c r="S78" i="40"/>
  <c r="BJ78" i="40" s="1"/>
  <c r="S122" i="40"/>
  <c r="BJ122" i="40" s="1"/>
  <c r="S91" i="40"/>
  <c r="S47" i="40"/>
  <c r="BJ47" i="40" s="1"/>
  <c r="S55" i="40"/>
  <c r="BJ55" i="40" s="1"/>
  <c r="S64" i="40"/>
  <c r="BJ64" i="40" s="1"/>
  <c r="S39" i="40"/>
  <c r="BJ39" i="40" s="1"/>
  <c r="S45" i="40"/>
  <c r="BJ45" i="40" s="1"/>
  <c r="S49" i="40"/>
  <c r="BJ49" i="40" s="1"/>
  <c r="S53" i="40"/>
  <c r="BJ53" i="40" s="1"/>
  <c r="S57" i="40"/>
  <c r="BJ57" i="40" s="1"/>
  <c r="S61" i="40"/>
  <c r="BJ61" i="40" s="1"/>
  <c r="S109" i="40"/>
  <c r="BJ109" i="40" s="1"/>
  <c r="S33" i="40"/>
  <c r="S29" i="40"/>
  <c r="R63" i="40"/>
  <c r="Q63" i="40"/>
  <c r="BG24" i="40"/>
  <c r="G20" i="40"/>
  <c r="D13" i="46" s="1"/>
  <c r="G63" i="40"/>
  <c r="D23" i="46" s="1"/>
  <c r="G24" i="40"/>
  <c r="D15" i="46" s="1"/>
  <c r="G104" i="40"/>
  <c r="D33" i="46" s="1"/>
  <c r="D7" i="40"/>
  <c r="E7" i="40"/>
  <c r="F7" i="40"/>
  <c r="E65" i="40"/>
  <c r="D24" i="44" s="1"/>
  <c r="H63" i="40"/>
  <c r="D23" i="47" s="1"/>
  <c r="H70" i="40"/>
  <c r="D25" i="47" s="1"/>
  <c r="H99" i="40"/>
  <c r="D31" i="47" s="1"/>
  <c r="H104" i="40"/>
  <c r="D33" i="47" s="1"/>
  <c r="G35" i="40"/>
  <c r="D20" i="46" s="1"/>
  <c r="H92" i="40"/>
  <c r="D29" i="47" s="1"/>
  <c r="F70" i="40"/>
  <c r="D25" i="45" s="1"/>
  <c r="G65" i="40"/>
  <c r="D24" i="46" s="1"/>
  <c r="D107" i="40"/>
  <c r="D34" i="43" s="1"/>
  <c r="L7" i="40" l="1"/>
  <c r="BO7" i="40"/>
  <c r="M24" i="40"/>
  <c r="S24" i="40" s="1"/>
  <c r="BP24" i="40"/>
  <c r="M63" i="40"/>
  <c r="BP63" i="40"/>
  <c r="K7" i="40"/>
  <c r="BN7" i="40"/>
  <c r="M35" i="40"/>
  <c r="BP35" i="40"/>
  <c r="N63" i="40"/>
  <c r="T63" i="40" s="1"/>
  <c r="BQ63" i="40"/>
  <c r="J107" i="40"/>
  <c r="P107" i="40" s="1"/>
  <c r="BG107" i="40" s="1"/>
  <c r="BM107" i="40"/>
  <c r="N104" i="40"/>
  <c r="T104" i="40" s="1"/>
  <c r="BQ104" i="40"/>
  <c r="M104" i="40"/>
  <c r="S104" i="40" s="1"/>
  <c r="BP104" i="40"/>
  <c r="N99" i="40"/>
  <c r="T99" i="40" s="1"/>
  <c r="BQ99" i="40"/>
  <c r="N92" i="40"/>
  <c r="BQ92" i="40"/>
  <c r="N70" i="40"/>
  <c r="T70" i="40" s="1"/>
  <c r="BQ70" i="40"/>
  <c r="L70" i="40"/>
  <c r="BO70" i="40"/>
  <c r="M65" i="40"/>
  <c r="S65" i="40" s="1"/>
  <c r="BP65" i="40"/>
  <c r="K65" i="40"/>
  <c r="Q65" i="40" s="1"/>
  <c r="BN65" i="40"/>
  <c r="M20" i="40"/>
  <c r="S20" i="40" s="1"/>
  <c r="BP20" i="40"/>
  <c r="J7" i="40"/>
  <c r="P7" i="40" s="1"/>
  <c r="BG7" i="40" s="1"/>
  <c r="BM7" i="40"/>
  <c r="BJ34" i="40"/>
  <c r="BJ125" i="40"/>
  <c r="BH35" i="40"/>
  <c r="BJ33" i="40"/>
  <c r="BJ29" i="40"/>
  <c r="F32" i="46"/>
  <c r="G32" i="46"/>
  <c r="G30" i="46"/>
  <c r="F30" i="46"/>
  <c r="BJ103" i="40"/>
  <c r="BJ32" i="40"/>
  <c r="G16" i="46"/>
  <c r="F16" i="46"/>
  <c r="G18" i="46"/>
  <c r="F18" i="46"/>
  <c r="F20" i="44"/>
  <c r="G13" i="47"/>
  <c r="F13" i="47"/>
  <c r="F35" i="46"/>
  <c r="G35" i="46"/>
  <c r="F28" i="46"/>
  <c r="G28" i="46"/>
  <c r="G17" i="46"/>
  <c r="F17" i="46"/>
  <c r="BJ91" i="40"/>
  <c r="BJ97" i="40"/>
  <c r="BK20" i="40"/>
  <c r="T92" i="40"/>
  <c r="S63" i="40"/>
  <c r="F15" i="44"/>
  <c r="F25" i="44"/>
  <c r="S35" i="40"/>
  <c r="BI24" i="40"/>
  <c r="BH24" i="40"/>
  <c r="BI63" i="40"/>
  <c r="BH70" i="40"/>
  <c r="Q7" i="40"/>
  <c r="BH7" i="40" s="1"/>
  <c r="F23" i="45"/>
  <c r="F23" i="44"/>
  <c r="G15" i="47"/>
  <c r="F15" i="47"/>
  <c r="F24" i="47"/>
  <c r="G24" i="47"/>
  <c r="G20" i="47"/>
  <c r="F20" i="47"/>
  <c r="F15" i="45"/>
  <c r="R70" i="40"/>
  <c r="R7" i="40"/>
  <c r="BI7" i="40" s="1"/>
  <c r="BH63" i="40"/>
  <c r="BK24" i="40"/>
  <c r="BK65" i="40"/>
  <c r="BK35" i="40"/>
  <c r="G29" i="43"/>
  <c r="F29" i="43"/>
  <c r="G13" i="43"/>
  <c r="F13" i="43"/>
  <c r="G12" i="43"/>
  <c r="F12" i="43"/>
  <c r="G15" i="43"/>
  <c r="F15" i="43"/>
  <c r="G33" i="43"/>
  <c r="F33" i="43"/>
  <c r="D63" i="40"/>
  <c r="D23" i="43" s="1"/>
  <c r="E31" i="40"/>
  <c r="BN31" i="40" s="1"/>
  <c r="G70" i="40"/>
  <c r="D25" i="46" s="1"/>
  <c r="H31" i="40"/>
  <c r="H8" i="40"/>
  <c r="D12" i="47" s="1"/>
  <c r="F99" i="40"/>
  <c r="D31" i="45" s="1"/>
  <c r="G92" i="40"/>
  <c r="D29" i="46" s="1"/>
  <c r="E104" i="40"/>
  <c r="D33" i="44" s="1"/>
  <c r="F65" i="40"/>
  <c r="G99" i="40"/>
  <c r="D31" i="46" s="1"/>
  <c r="F35" i="40"/>
  <c r="D20" i="45" s="1"/>
  <c r="F92" i="40"/>
  <c r="D29" i="45" s="1"/>
  <c r="F104" i="40"/>
  <c r="D33" i="45" s="1"/>
  <c r="E99" i="40"/>
  <c r="D31" i="44" s="1"/>
  <c r="S185" i="33"/>
  <c r="R185" i="33"/>
  <c r="Q185" i="33"/>
  <c r="P185" i="33"/>
  <c r="O185" i="33"/>
  <c r="N185" i="33"/>
  <c r="N184" i="33" s="1"/>
  <c r="M185" i="33"/>
  <c r="E185" i="33"/>
  <c r="F185" i="33"/>
  <c r="G185" i="33"/>
  <c r="H185" i="33"/>
  <c r="I185" i="33"/>
  <c r="J185" i="33"/>
  <c r="O180" i="33"/>
  <c r="P180" i="33"/>
  <c r="Q180" i="33"/>
  <c r="R180" i="33"/>
  <c r="S180" i="33"/>
  <c r="N180" i="33"/>
  <c r="BO65" i="40" l="1"/>
  <c r="D24" i="45"/>
  <c r="L35" i="40"/>
  <c r="R35" i="40" s="1"/>
  <c r="BO35" i="40"/>
  <c r="J63" i="40"/>
  <c r="P63" i="40" s="1"/>
  <c r="BG63" i="40" s="1"/>
  <c r="BM63" i="40"/>
  <c r="G34" i="43"/>
  <c r="L104" i="40"/>
  <c r="R104" i="40" s="1"/>
  <c r="BO104" i="40"/>
  <c r="K104" i="40"/>
  <c r="Q104" i="40" s="1"/>
  <c r="BN104" i="40"/>
  <c r="K99" i="40"/>
  <c r="Q99" i="40" s="1"/>
  <c r="BN99" i="40"/>
  <c r="M99" i="40"/>
  <c r="S99" i="40" s="1"/>
  <c r="BP99" i="40"/>
  <c r="L99" i="40"/>
  <c r="R99" i="40" s="1"/>
  <c r="BO99" i="40"/>
  <c r="M92" i="40"/>
  <c r="S92" i="40" s="1"/>
  <c r="BP92" i="40"/>
  <c r="L92" i="40"/>
  <c r="R92" i="40" s="1"/>
  <c r="BO92" i="40"/>
  <c r="M70" i="40"/>
  <c r="S70" i="40" s="1"/>
  <c r="BP70" i="40"/>
  <c r="N31" i="40"/>
  <c r="T31" i="40" s="1"/>
  <c r="BK31" i="40" s="1"/>
  <c r="BQ31" i="40"/>
  <c r="N8" i="40"/>
  <c r="T8" i="40" s="1"/>
  <c r="BQ8" i="40"/>
  <c r="F27" i="46"/>
  <c r="G27" i="46"/>
  <c r="BJ104" i="40"/>
  <c r="G22" i="46"/>
  <c r="F22" i="46"/>
  <c r="BH65" i="40"/>
  <c r="G13" i="46"/>
  <c r="F13" i="46"/>
  <c r="F33" i="47"/>
  <c r="G33" i="47"/>
  <c r="F33" i="46"/>
  <c r="G33" i="46"/>
  <c r="F24" i="44"/>
  <c r="BJ20" i="40"/>
  <c r="BK104" i="40"/>
  <c r="BJ35" i="40"/>
  <c r="G23" i="46"/>
  <c r="F23" i="46"/>
  <c r="BI70" i="40"/>
  <c r="BK70" i="40"/>
  <c r="BK63" i="40"/>
  <c r="BJ63" i="40"/>
  <c r="F25" i="47"/>
  <c r="G25" i="47"/>
  <c r="G23" i="47"/>
  <c r="F23" i="47"/>
  <c r="G15" i="46"/>
  <c r="F15" i="46"/>
  <c r="G31" i="47"/>
  <c r="F31" i="47"/>
  <c r="F24" i="46"/>
  <c r="G24" i="46"/>
  <c r="F20" i="46"/>
  <c r="G20" i="46"/>
  <c r="G29" i="47"/>
  <c r="F29" i="47"/>
  <c r="F25" i="45"/>
  <c r="BJ24" i="40"/>
  <c r="BK99" i="40"/>
  <c r="BJ65" i="40"/>
  <c r="BK92" i="40"/>
  <c r="Q184" i="33"/>
  <c r="F34" i="43"/>
  <c r="P184" i="33"/>
  <c r="R184" i="33"/>
  <c r="O184" i="33"/>
  <c r="S184" i="33"/>
  <c r="E6" i="40"/>
  <c r="D11" i="44" s="1"/>
  <c r="K31" i="40"/>
  <c r="D65" i="40"/>
  <c r="D24" i="43" s="1"/>
  <c r="L65" i="40"/>
  <c r="D35" i="40"/>
  <c r="D20" i="43" s="1"/>
  <c r="D99" i="40"/>
  <c r="D31" i="43" s="1"/>
  <c r="H7" i="40"/>
  <c r="BQ7" i="40" s="1"/>
  <c r="G8" i="40"/>
  <c r="F31" i="40"/>
  <c r="F186" i="33"/>
  <c r="G186" i="33"/>
  <c r="H186" i="33"/>
  <c r="I186" i="33"/>
  <c r="J186" i="33"/>
  <c r="E186" i="33"/>
  <c r="K161" i="39"/>
  <c r="J161" i="39"/>
  <c r="I161" i="39"/>
  <c r="H161" i="39"/>
  <c r="G161" i="39"/>
  <c r="F161" i="39"/>
  <c r="K135" i="39"/>
  <c r="J135" i="39"/>
  <c r="J134" i="39" s="1"/>
  <c r="I135" i="39"/>
  <c r="I134" i="39" s="1"/>
  <c r="H135" i="39"/>
  <c r="H134" i="39" s="1"/>
  <c r="G135" i="39"/>
  <c r="F135" i="39"/>
  <c r="E135" i="39" s="1"/>
  <c r="K134" i="39"/>
  <c r="G134" i="39"/>
  <c r="X133" i="39"/>
  <c r="X135" i="39" s="1"/>
  <c r="X134" i="39" s="1"/>
  <c r="W133" i="39"/>
  <c r="V133" i="39" s="1"/>
  <c r="V135" i="39" s="1"/>
  <c r="V134" i="39" s="1"/>
  <c r="E133" i="39"/>
  <c r="D133" i="39"/>
  <c r="D135" i="39" s="1"/>
  <c r="D134" i="39" s="1"/>
  <c r="X131" i="39"/>
  <c r="W131" i="39"/>
  <c r="V131" i="39" s="1"/>
  <c r="E131" i="39"/>
  <c r="D131" i="39"/>
  <c r="O130" i="39"/>
  <c r="AJ130" i="39" s="1"/>
  <c r="AK130" i="39" s="1"/>
  <c r="N130" i="39"/>
  <c r="E130" i="39"/>
  <c r="Q130" i="39" s="1"/>
  <c r="R130" i="39" s="1"/>
  <c r="D130" i="39"/>
  <c r="O129" i="39"/>
  <c r="AJ129" i="39" s="1"/>
  <c r="AK129" i="39" s="1"/>
  <c r="N129" i="39"/>
  <c r="E129" i="39"/>
  <c r="Q129" i="39" s="1"/>
  <c r="R129" i="39" s="1"/>
  <c r="D129" i="39"/>
  <c r="AD128" i="39"/>
  <c r="V128" i="39"/>
  <c r="E128" i="39"/>
  <c r="D128" i="39"/>
  <c r="V127" i="39"/>
  <c r="E127" i="39"/>
  <c r="D127" i="39"/>
  <c r="V126" i="39"/>
  <c r="E126" i="39"/>
  <c r="D126" i="39"/>
  <c r="AD125" i="39"/>
  <c r="V125" i="39"/>
  <c r="E125" i="39"/>
  <c r="D125" i="39"/>
  <c r="V124" i="39"/>
  <c r="Z124" i="39" s="1"/>
  <c r="E124" i="39"/>
  <c r="D124" i="39"/>
  <c r="V123" i="39"/>
  <c r="E123" i="39"/>
  <c r="D123" i="39"/>
  <c r="E122" i="39"/>
  <c r="D122" i="39"/>
  <c r="V121" i="39"/>
  <c r="Z121" i="39" s="1"/>
  <c r="E121" i="39"/>
  <c r="D121" i="39"/>
  <c r="V120" i="39"/>
  <c r="E120" i="39"/>
  <c r="D120" i="39"/>
  <c r="V119" i="39"/>
  <c r="E119" i="39"/>
  <c r="D119" i="39"/>
  <c r="V118" i="39"/>
  <c r="E118" i="39"/>
  <c r="D118" i="39"/>
  <c r="V117" i="39"/>
  <c r="Z117" i="39" s="1"/>
  <c r="E117" i="39"/>
  <c r="D117" i="39"/>
  <c r="AD116" i="39"/>
  <c r="V116" i="39"/>
  <c r="Z116" i="39" s="1"/>
  <c r="E116" i="39"/>
  <c r="D116" i="39"/>
  <c r="V115" i="39"/>
  <c r="E115" i="39"/>
  <c r="D115" i="39"/>
  <c r="V114" i="39"/>
  <c r="E114" i="39"/>
  <c r="D114" i="39"/>
  <c r="K113" i="39"/>
  <c r="J113" i="39"/>
  <c r="I113" i="39"/>
  <c r="H113" i="39"/>
  <c r="G113" i="39"/>
  <c r="F113" i="39"/>
  <c r="AD112" i="39"/>
  <c r="V112" i="39"/>
  <c r="Z112" i="39" s="1"/>
  <c r="E112" i="39"/>
  <c r="D112" i="39"/>
  <c r="V111" i="39"/>
  <c r="V110" i="39" s="1"/>
  <c r="E111" i="39"/>
  <c r="D111" i="39"/>
  <c r="D110" i="39" s="1"/>
  <c r="X110" i="39"/>
  <c r="W110" i="39"/>
  <c r="K110" i="39"/>
  <c r="J110" i="39"/>
  <c r="I110" i="39"/>
  <c r="H110" i="39"/>
  <c r="G110" i="39"/>
  <c r="F110" i="39"/>
  <c r="E110" i="39" s="1"/>
  <c r="E109" i="39"/>
  <c r="D109" i="39"/>
  <c r="X108" i="39"/>
  <c r="W108" i="39"/>
  <c r="O108" i="39"/>
  <c r="N108" i="39"/>
  <c r="E108" i="39"/>
  <c r="P108" i="39" s="1"/>
  <c r="D108" i="39"/>
  <c r="AD107" i="39"/>
  <c r="V107" i="39"/>
  <c r="Z107" i="39" s="1"/>
  <c r="E107" i="39"/>
  <c r="D107" i="39"/>
  <c r="V106" i="39"/>
  <c r="E106" i="39"/>
  <c r="D106" i="39"/>
  <c r="X105" i="39"/>
  <c r="W105" i="39"/>
  <c r="V105" i="39" s="1"/>
  <c r="K105" i="39"/>
  <c r="J105" i="39"/>
  <c r="I105" i="39"/>
  <c r="H105" i="39"/>
  <c r="G105" i="39"/>
  <c r="F105" i="39"/>
  <c r="Z104" i="39"/>
  <c r="AA104" i="39" s="1"/>
  <c r="AI104" i="39" s="1"/>
  <c r="X104" i="39"/>
  <c r="W104" i="39"/>
  <c r="Q104" i="39"/>
  <c r="Y104" i="39" s="1"/>
  <c r="P104" i="39"/>
  <c r="O104" i="39"/>
  <c r="AJ104" i="39" s="1"/>
  <c r="AK104" i="39" s="1"/>
  <c r="N104" i="39"/>
  <c r="D104" i="39"/>
  <c r="E103" i="39"/>
  <c r="D103" i="39"/>
  <c r="V102" i="39"/>
  <c r="Z102" i="39" s="1"/>
  <c r="E102" i="39"/>
  <c r="D102" i="39"/>
  <c r="V101" i="39"/>
  <c r="O101" i="39"/>
  <c r="AJ101" i="39" s="1"/>
  <c r="AK101" i="39" s="1"/>
  <c r="N101" i="39"/>
  <c r="E101" i="39"/>
  <c r="D101" i="39"/>
  <c r="V100" i="39"/>
  <c r="Z100" i="39" s="1"/>
  <c r="E100" i="39"/>
  <c r="D100" i="39"/>
  <c r="V99" i="39"/>
  <c r="E99" i="39"/>
  <c r="Z99" i="39" s="1"/>
  <c r="D99" i="39"/>
  <c r="Z98" i="39"/>
  <c r="P98" i="39"/>
  <c r="X97" i="39"/>
  <c r="W97" i="39"/>
  <c r="K97" i="39"/>
  <c r="J97" i="39"/>
  <c r="I97" i="39"/>
  <c r="H97" i="39"/>
  <c r="G97" i="39"/>
  <c r="F97" i="39"/>
  <c r="AD96" i="39"/>
  <c r="E96" i="39"/>
  <c r="D96" i="39"/>
  <c r="E95" i="39"/>
  <c r="D95" i="39"/>
  <c r="V94" i="39"/>
  <c r="E94" i="39"/>
  <c r="D94" i="39"/>
  <c r="AD93" i="39"/>
  <c r="V93" i="39"/>
  <c r="E93" i="39"/>
  <c r="D93" i="39"/>
  <c r="V89" i="39"/>
  <c r="E89" i="39"/>
  <c r="D89" i="39"/>
  <c r="V88" i="39"/>
  <c r="E88" i="39"/>
  <c r="D88" i="39"/>
  <c r="V87" i="39"/>
  <c r="Z87" i="39" s="1"/>
  <c r="E87" i="39"/>
  <c r="D87" i="39"/>
  <c r="V86" i="39"/>
  <c r="E86" i="39"/>
  <c r="D86" i="39"/>
  <c r="E85" i="39"/>
  <c r="D85" i="39"/>
  <c r="V84" i="39"/>
  <c r="E84" i="39"/>
  <c r="D84" i="39"/>
  <c r="O83" i="39"/>
  <c r="AJ83" i="39" s="1"/>
  <c r="AK83" i="39" s="1"/>
  <c r="N83" i="39"/>
  <c r="E83" i="39"/>
  <c r="Q83" i="39" s="1"/>
  <c r="R83" i="39" s="1"/>
  <c r="D83" i="39"/>
  <c r="V82" i="39"/>
  <c r="E82" i="39"/>
  <c r="D82" i="39"/>
  <c r="V81" i="39"/>
  <c r="E81" i="39"/>
  <c r="D81" i="39"/>
  <c r="AD80" i="39"/>
  <c r="V80" i="39"/>
  <c r="Z80" i="39" s="1"/>
  <c r="E80" i="39"/>
  <c r="D80" i="39"/>
  <c r="V79" i="39"/>
  <c r="E79" i="39"/>
  <c r="D79" i="39"/>
  <c r="V78" i="39"/>
  <c r="E78" i="39"/>
  <c r="D78" i="39"/>
  <c r="V77" i="39"/>
  <c r="E77" i="39"/>
  <c r="D77" i="39"/>
  <c r="V76" i="39"/>
  <c r="E76" i="39"/>
  <c r="D76" i="39"/>
  <c r="K75" i="39"/>
  <c r="J75" i="39"/>
  <c r="I75" i="39"/>
  <c r="H75" i="39"/>
  <c r="G75" i="39"/>
  <c r="F75" i="39"/>
  <c r="V74" i="39"/>
  <c r="E74" i="39"/>
  <c r="D74" i="39"/>
  <c r="V73" i="39"/>
  <c r="E73" i="39"/>
  <c r="D73" i="39"/>
  <c r="V72" i="39"/>
  <c r="E72" i="39"/>
  <c r="D72" i="39"/>
  <c r="V71" i="39"/>
  <c r="E71" i="39"/>
  <c r="D71" i="39"/>
  <c r="X70" i="39"/>
  <c r="W70" i="39"/>
  <c r="K70" i="39"/>
  <c r="J70" i="39"/>
  <c r="I70" i="39"/>
  <c r="H70" i="39"/>
  <c r="G70" i="39"/>
  <c r="F70" i="39"/>
  <c r="E70" i="39" s="1"/>
  <c r="V69" i="39"/>
  <c r="E69" i="39"/>
  <c r="D69" i="39"/>
  <c r="X68" i="39"/>
  <c r="W68" i="39"/>
  <c r="V68" i="39"/>
  <c r="K68" i="39"/>
  <c r="J68" i="39"/>
  <c r="I68" i="39"/>
  <c r="H68" i="39"/>
  <c r="G68" i="39"/>
  <c r="F68" i="39"/>
  <c r="X67" i="39"/>
  <c r="W67" i="39"/>
  <c r="E67" i="39"/>
  <c r="D67" i="39"/>
  <c r="X66" i="39"/>
  <c r="W66" i="39"/>
  <c r="E66" i="39"/>
  <c r="Z66" i="39" s="1"/>
  <c r="AA66" i="39" s="1"/>
  <c r="D66" i="39"/>
  <c r="V65" i="39"/>
  <c r="E65" i="39"/>
  <c r="D65" i="39"/>
  <c r="O64" i="39"/>
  <c r="AJ64" i="39" s="1"/>
  <c r="AK64" i="39" s="1"/>
  <c r="N64" i="39"/>
  <c r="E64" i="39"/>
  <c r="Q64" i="39" s="1"/>
  <c r="R64" i="39" s="1"/>
  <c r="D64" i="39"/>
  <c r="E63" i="39"/>
  <c r="D63" i="39"/>
  <c r="V62" i="39"/>
  <c r="E62" i="39"/>
  <c r="D62" i="39"/>
  <c r="V61" i="39"/>
  <c r="E61" i="39"/>
  <c r="D61" i="39"/>
  <c r="V60" i="39"/>
  <c r="Z60" i="39" s="1"/>
  <c r="E60" i="39"/>
  <c r="D60" i="39"/>
  <c r="V59" i="39"/>
  <c r="E59" i="39"/>
  <c r="Z59" i="39" s="1"/>
  <c r="D59" i="39"/>
  <c r="V58" i="39"/>
  <c r="E58" i="39"/>
  <c r="D58" i="39"/>
  <c r="V57" i="39"/>
  <c r="E57" i="39"/>
  <c r="D57" i="39"/>
  <c r="V56" i="39"/>
  <c r="Z56" i="39" s="1"/>
  <c r="E56" i="39"/>
  <c r="D56" i="39"/>
  <c r="V55" i="39"/>
  <c r="E55" i="39"/>
  <c r="Z55" i="39" s="1"/>
  <c r="D55" i="39"/>
  <c r="V54" i="39"/>
  <c r="E54" i="39"/>
  <c r="D54" i="39"/>
  <c r="V53" i="39"/>
  <c r="E53" i="39"/>
  <c r="D53" i="39"/>
  <c r="Z52" i="39"/>
  <c r="AA52" i="39" s="1"/>
  <c r="E52" i="39"/>
  <c r="Q52" i="39" s="1"/>
  <c r="R52" i="39" s="1"/>
  <c r="D52" i="39"/>
  <c r="E51" i="39"/>
  <c r="Q51" i="39" s="1"/>
  <c r="R51" i="39" s="1"/>
  <c r="D51" i="39"/>
  <c r="E50" i="39"/>
  <c r="Q50" i="39" s="1"/>
  <c r="R50" i="39" s="1"/>
  <c r="D50" i="39"/>
  <c r="E49" i="39"/>
  <c r="Q49" i="39" s="1"/>
  <c r="R49" i="39" s="1"/>
  <c r="D49" i="39"/>
  <c r="V48" i="39"/>
  <c r="Z48" i="39" s="1"/>
  <c r="E48" i="39"/>
  <c r="D48" i="39"/>
  <c r="O47" i="39"/>
  <c r="AJ47" i="39" s="1"/>
  <c r="AK47" i="39" s="1"/>
  <c r="N47" i="39"/>
  <c r="E47" i="39"/>
  <c r="Q47" i="39" s="1"/>
  <c r="Y47" i="39" s="1"/>
  <c r="D47" i="39"/>
  <c r="V46" i="39"/>
  <c r="E46" i="39"/>
  <c r="D46" i="39"/>
  <c r="K45" i="39"/>
  <c r="J45" i="39"/>
  <c r="I45" i="39"/>
  <c r="H45" i="39"/>
  <c r="G45" i="39"/>
  <c r="F45" i="39"/>
  <c r="V44" i="39"/>
  <c r="Z44" i="39" s="1"/>
  <c r="E44" i="39"/>
  <c r="D44" i="39"/>
  <c r="V43" i="39"/>
  <c r="E43" i="39"/>
  <c r="D43" i="39"/>
  <c r="V42" i="39"/>
  <c r="E42" i="39"/>
  <c r="Z42" i="39" s="1"/>
  <c r="D42" i="39"/>
  <c r="E41" i="39"/>
  <c r="D41" i="39"/>
  <c r="V40" i="39"/>
  <c r="E40" i="39"/>
  <c r="D40" i="39"/>
  <c r="K39" i="39"/>
  <c r="J39" i="39"/>
  <c r="I39" i="39"/>
  <c r="H39" i="39"/>
  <c r="G39" i="39"/>
  <c r="F39" i="39"/>
  <c r="F34" i="39" s="1"/>
  <c r="E38" i="39"/>
  <c r="D38" i="39"/>
  <c r="E37" i="39"/>
  <c r="D37" i="39"/>
  <c r="V36" i="39"/>
  <c r="E36" i="39"/>
  <c r="D36" i="39"/>
  <c r="K34" i="39"/>
  <c r="G34" i="39"/>
  <c r="Z33" i="39"/>
  <c r="AA33" i="39" s="1"/>
  <c r="AI33" i="39" s="1"/>
  <c r="Q33" i="39"/>
  <c r="R33" i="39" s="1"/>
  <c r="P33" i="39"/>
  <c r="D33" i="39"/>
  <c r="E32" i="39"/>
  <c r="D32" i="39"/>
  <c r="E31" i="39"/>
  <c r="D31" i="39"/>
  <c r="E30" i="39"/>
  <c r="Q30" i="39" s="1"/>
  <c r="Y30" i="39" s="1"/>
  <c r="AH30" i="39" s="1"/>
  <c r="D30" i="39"/>
  <c r="V29" i="39"/>
  <c r="E29" i="39"/>
  <c r="D29" i="39"/>
  <c r="V28" i="39"/>
  <c r="E28" i="39"/>
  <c r="D28" i="39"/>
  <c r="K26" i="39"/>
  <c r="J26" i="39"/>
  <c r="I26" i="39"/>
  <c r="H26" i="39"/>
  <c r="G26" i="39"/>
  <c r="F26" i="39"/>
  <c r="E25" i="39"/>
  <c r="D25" i="39"/>
  <c r="V24" i="39"/>
  <c r="E24" i="39"/>
  <c r="D24" i="39"/>
  <c r="V23" i="39"/>
  <c r="V22" i="39" s="1"/>
  <c r="E23" i="39"/>
  <c r="D23" i="39"/>
  <c r="K22" i="39"/>
  <c r="J22" i="39"/>
  <c r="I22" i="39"/>
  <c r="H22" i="39"/>
  <c r="G22" i="39"/>
  <c r="F22" i="39"/>
  <c r="V21" i="39"/>
  <c r="E21" i="39"/>
  <c r="D21" i="39"/>
  <c r="V20" i="39"/>
  <c r="O20" i="39"/>
  <c r="AJ20" i="39" s="1"/>
  <c r="E20" i="39"/>
  <c r="D20" i="39"/>
  <c r="E19" i="39"/>
  <c r="D19" i="39"/>
  <c r="E18" i="39"/>
  <c r="D18" i="39"/>
  <c r="E17" i="39"/>
  <c r="D17" i="39"/>
  <c r="E16" i="39"/>
  <c r="D16" i="39"/>
  <c r="O15" i="39"/>
  <c r="N15" i="39"/>
  <c r="W15" i="39" s="1"/>
  <c r="E15" i="39"/>
  <c r="Z15" i="39" s="1"/>
  <c r="AA15" i="39" s="1"/>
  <c r="D15" i="39"/>
  <c r="O14" i="39"/>
  <c r="N14" i="39"/>
  <c r="W14" i="39" s="1"/>
  <c r="E14" i="39"/>
  <c r="Z14" i="39" s="1"/>
  <c r="AA14" i="39" s="1"/>
  <c r="D14" i="39"/>
  <c r="E13" i="39"/>
  <c r="D13" i="39"/>
  <c r="E12" i="39"/>
  <c r="D12" i="39"/>
  <c r="E11" i="39"/>
  <c r="D11" i="39"/>
  <c r="K10" i="39"/>
  <c r="J10" i="39"/>
  <c r="J8" i="39" s="1"/>
  <c r="I10" i="39"/>
  <c r="I8" i="39" s="1"/>
  <c r="H10" i="39"/>
  <c r="H8" i="39" s="1"/>
  <c r="G10" i="39"/>
  <c r="F10" i="39"/>
  <c r="BP8" i="40" l="1"/>
  <c r="D12" i="46"/>
  <c r="J35" i="40"/>
  <c r="P35" i="40" s="1"/>
  <c r="BM35" i="40"/>
  <c r="F33" i="44"/>
  <c r="BH104" i="40"/>
  <c r="J99" i="40"/>
  <c r="P99" i="40" s="1"/>
  <c r="BM99" i="40"/>
  <c r="J65" i="40"/>
  <c r="P65" i="40" s="1"/>
  <c r="BG65" i="40" s="1"/>
  <c r="BM65" i="40"/>
  <c r="L31" i="40"/>
  <c r="R31" i="40" s="1"/>
  <c r="BI31" i="40" s="1"/>
  <c r="BO31" i="40"/>
  <c r="K6" i="40"/>
  <c r="Q6" i="40" s="1"/>
  <c r="BN6" i="40"/>
  <c r="F12" i="47"/>
  <c r="G12" i="47"/>
  <c r="BH99" i="40"/>
  <c r="F33" i="45"/>
  <c r="F31" i="44"/>
  <c r="BK8" i="40"/>
  <c r="BI104" i="40"/>
  <c r="G25" i="46"/>
  <c r="F25" i="46"/>
  <c r="Q31" i="40"/>
  <c r="BH31" i="40" s="1"/>
  <c r="BJ70" i="40"/>
  <c r="BI35" i="40"/>
  <c r="BI99" i="40"/>
  <c r="F31" i="45"/>
  <c r="G29" i="46"/>
  <c r="F29" i="46"/>
  <c r="F29" i="45"/>
  <c r="G31" i="46"/>
  <c r="F31" i="46"/>
  <c r="F20" i="45"/>
  <c r="R65" i="40"/>
  <c r="BJ92" i="40"/>
  <c r="BI92" i="40"/>
  <c r="BJ99" i="40"/>
  <c r="Z36" i="39"/>
  <c r="G23" i="43"/>
  <c r="F23" i="43"/>
  <c r="BG99" i="40"/>
  <c r="BG35" i="40"/>
  <c r="E10" i="39"/>
  <c r="P14" i="39"/>
  <c r="X15" i="39"/>
  <c r="AG15" i="39" s="1"/>
  <c r="AJ15" i="39"/>
  <c r="AK15" i="39" s="1"/>
  <c r="AI15" i="39"/>
  <c r="AI14" i="39"/>
  <c r="AJ14" i="39"/>
  <c r="AK14" i="39" s="1"/>
  <c r="Z65" i="39"/>
  <c r="D70" i="39"/>
  <c r="G7" i="40"/>
  <c r="M8" i="40"/>
  <c r="H6" i="40"/>
  <c r="D11" i="47" s="1"/>
  <c r="N7" i="40"/>
  <c r="G31" i="40"/>
  <c r="D10" i="39"/>
  <c r="K8" i="39"/>
  <c r="K6" i="39" s="1"/>
  <c r="Z43" i="39"/>
  <c r="Z53" i="39"/>
  <c r="Z73" i="39"/>
  <c r="Z74" i="39"/>
  <c r="Z76" i="39"/>
  <c r="Z82" i="39"/>
  <c r="E97" i="39"/>
  <c r="Z114" i="39"/>
  <c r="Z119" i="39"/>
  <c r="G91" i="39"/>
  <c r="G90" i="39" s="1"/>
  <c r="Z129" i="39"/>
  <c r="AA129" i="39" s="1"/>
  <c r="H34" i="39"/>
  <c r="Z49" i="39"/>
  <c r="AA49" i="39" s="1"/>
  <c r="P83" i="39"/>
  <c r="D97" i="39"/>
  <c r="K91" i="39"/>
  <c r="K90" i="39" s="1"/>
  <c r="K132" i="39" s="1"/>
  <c r="K136" i="39" s="1"/>
  <c r="K146" i="39" s="1"/>
  <c r="F134" i="39"/>
  <c r="J34" i="39"/>
  <c r="J6" i="39" s="1"/>
  <c r="G8" i="39"/>
  <c r="G6" i="39" s="1"/>
  <c r="E22" i="39"/>
  <c r="I34" i="39"/>
  <c r="I91" i="39"/>
  <c r="I90" i="39" s="1"/>
  <c r="E113" i="39"/>
  <c r="W135" i="39"/>
  <c r="W134" i="39" s="1"/>
  <c r="D26" i="39"/>
  <c r="Z30" i="39"/>
  <c r="AA30" i="39" s="1"/>
  <c r="AI30" i="39" s="1"/>
  <c r="Y33" i="39"/>
  <c r="Z57" i="39"/>
  <c r="P66" i="39"/>
  <c r="Z84" i="39"/>
  <c r="Z88" i="39"/>
  <c r="Z126" i="39"/>
  <c r="P15" i="39"/>
  <c r="Z21" i="39"/>
  <c r="Z61" i="39"/>
  <c r="Z69" i="39"/>
  <c r="Z72" i="39"/>
  <c r="H91" i="39"/>
  <c r="H90" i="39" s="1"/>
  <c r="V97" i="39"/>
  <c r="Z97" i="39" s="1"/>
  <c r="Z123" i="39"/>
  <c r="F8" i="39"/>
  <c r="Z23" i="39"/>
  <c r="Z78" i="39"/>
  <c r="Z83" i="39"/>
  <c r="AA83" i="39" s="1"/>
  <c r="Z106" i="39"/>
  <c r="Z111" i="39"/>
  <c r="Z125" i="39"/>
  <c r="H6" i="39"/>
  <c r="I6" i="39"/>
  <c r="Z20" i="39"/>
  <c r="D22" i="39"/>
  <c r="D8" i="39" s="1"/>
  <c r="Z24" i="39"/>
  <c r="Z40" i="39"/>
  <c r="P52" i="39"/>
  <c r="Z79" i="39"/>
  <c r="Z94" i="39"/>
  <c r="AA94" i="39" s="1"/>
  <c r="Z101" i="39"/>
  <c r="AA101" i="39" s="1"/>
  <c r="R104" i="39"/>
  <c r="J91" i="39"/>
  <c r="J90" i="39" s="1"/>
  <c r="E134" i="39"/>
  <c r="E161" i="39"/>
  <c r="D87" i="40"/>
  <c r="F6" i="40"/>
  <c r="D11" i="45" s="1"/>
  <c r="D186" i="33"/>
  <c r="Z22" i="39"/>
  <c r="E26" i="39"/>
  <c r="F6" i="39"/>
  <c r="Z29" i="39"/>
  <c r="AA29" i="39" s="1"/>
  <c r="E39" i="39"/>
  <c r="D39" i="39"/>
  <c r="X14" i="39"/>
  <c r="AG14" i="39" s="1"/>
  <c r="Z28" i="39"/>
  <c r="AA28" i="39" s="1"/>
  <c r="R30" i="39"/>
  <c r="Z46" i="39"/>
  <c r="P67" i="39"/>
  <c r="Q67" i="39"/>
  <c r="R67" i="39" s="1"/>
  <c r="Z67" i="39"/>
  <c r="AA67" i="39" s="1"/>
  <c r="E34" i="39"/>
  <c r="R47" i="39"/>
  <c r="Y64" i="39"/>
  <c r="Z77" i="39"/>
  <c r="Q14" i="39"/>
  <c r="R14" i="39" s="1"/>
  <c r="Y14" i="39"/>
  <c r="AH14" i="39" s="1"/>
  <c r="Q15" i="39"/>
  <c r="R15" i="39" s="1"/>
  <c r="Y15" i="39"/>
  <c r="AH15" i="39" s="1"/>
  <c r="P30" i="39"/>
  <c r="Z71" i="39"/>
  <c r="V70" i="39"/>
  <c r="Z70" i="39" s="1"/>
  <c r="E75" i="39"/>
  <c r="Z93" i="39"/>
  <c r="AA93" i="39" s="1"/>
  <c r="E105" i="39"/>
  <c r="Z105" i="39" s="1"/>
  <c r="D105" i="39"/>
  <c r="F91" i="39"/>
  <c r="Z110" i="39"/>
  <c r="E45" i="39"/>
  <c r="D45" i="39"/>
  <c r="P51" i="39"/>
  <c r="Z51" i="39"/>
  <c r="AA51" i="39" s="1"/>
  <c r="E68" i="39"/>
  <c r="Z68" i="39" s="1"/>
  <c r="D68" i="39"/>
  <c r="D75" i="39"/>
  <c r="Z131" i="39"/>
  <c r="P49" i="39"/>
  <c r="Z50" i="39"/>
  <c r="AA50" i="39" s="1"/>
  <c r="P64" i="39"/>
  <c r="Z64" i="39"/>
  <c r="AA64" i="39" s="1"/>
  <c r="AI64" i="39" s="1"/>
  <c r="Q66" i="39"/>
  <c r="R66" i="39" s="1"/>
  <c r="D113" i="39"/>
  <c r="P47" i="39"/>
  <c r="Z47" i="39"/>
  <c r="AA47" i="39" s="1"/>
  <c r="AI47" i="39" s="1"/>
  <c r="P50" i="39"/>
  <c r="Z54" i="39"/>
  <c r="Z58" i="39"/>
  <c r="Z62" i="39"/>
  <c r="Z81" i="39"/>
  <c r="Z115" i="39"/>
  <c r="Z120" i="39"/>
  <c r="Z86" i="39"/>
  <c r="M101" i="39"/>
  <c r="Z118" i="39"/>
  <c r="Z128" i="39"/>
  <c r="P129" i="39"/>
  <c r="Z130" i="39"/>
  <c r="AA130" i="39" s="1"/>
  <c r="Z89" i="39"/>
  <c r="Z127" i="39"/>
  <c r="P130" i="39"/>
  <c r="AD128" i="35"/>
  <c r="F24" i="43" l="1"/>
  <c r="J87" i="40"/>
  <c r="P87" i="40" s="1"/>
  <c r="BG87" i="40" s="1"/>
  <c r="BM87" i="40"/>
  <c r="L6" i="40"/>
  <c r="R6" i="40" s="1"/>
  <c r="BO6" i="40"/>
  <c r="M31" i="40"/>
  <c r="S31" i="40" s="1"/>
  <c r="BJ31" i="40" s="1"/>
  <c r="BP31" i="40"/>
  <c r="N6" i="40"/>
  <c r="T6" i="40" s="1"/>
  <c r="BQ6" i="40"/>
  <c r="M7" i="40"/>
  <c r="BP7" i="40"/>
  <c r="S8" i="40"/>
  <c r="BH6" i="40"/>
  <c r="T7" i="40"/>
  <c r="BK7" i="40" s="1"/>
  <c r="F24" i="45"/>
  <c r="BI65" i="40"/>
  <c r="S7" i="40"/>
  <c r="BJ7" i="40" s="1"/>
  <c r="F11" i="44"/>
  <c r="E8" i="39"/>
  <c r="G20" i="43"/>
  <c r="F20" i="43"/>
  <c r="G24" i="43"/>
  <c r="F31" i="43"/>
  <c r="G31" i="43"/>
  <c r="I132" i="39"/>
  <c r="I136" i="39" s="1"/>
  <c r="I144" i="39" s="1"/>
  <c r="D34" i="39"/>
  <c r="G132" i="39"/>
  <c r="G136" i="39" s="1"/>
  <c r="G143" i="39" s="1"/>
  <c r="D6" i="39"/>
  <c r="J132" i="39"/>
  <c r="J136" i="39" s="1"/>
  <c r="J145" i="39" s="1"/>
  <c r="H132" i="39"/>
  <c r="H136" i="39" s="1"/>
  <c r="H142" i="39" s="1"/>
  <c r="D86" i="40"/>
  <c r="D26" i="43" s="1"/>
  <c r="D91" i="39"/>
  <c r="D90" i="39" s="1"/>
  <c r="D132" i="39" s="1"/>
  <c r="D136" i="39" s="1"/>
  <c r="Q101" i="39"/>
  <c r="R101" i="39" s="1"/>
  <c r="E91" i="39"/>
  <c r="F90" i="39"/>
  <c r="E90" i="39" s="1"/>
  <c r="P101" i="39"/>
  <c r="E6" i="39"/>
  <c r="AD125" i="35"/>
  <c r="AD116" i="35"/>
  <c r="AD96" i="35"/>
  <c r="AD80" i="35"/>
  <c r="AD112" i="35"/>
  <c r="AD107" i="35"/>
  <c r="AD93" i="35"/>
  <c r="Z33" i="35"/>
  <c r="Z98" i="35"/>
  <c r="Z104" i="35"/>
  <c r="G161" i="35"/>
  <c r="H161" i="35"/>
  <c r="I161" i="35"/>
  <c r="J161" i="35"/>
  <c r="K161" i="35"/>
  <c r="F161" i="35"/>
  <c r="Q33" i="35"/>
  <c r="Q104" i="35"/>
  <c r="J86" i="40" l="1"/>
  <c r="P86" i="40" s="1"/>
  <c r="BG86" i="40" s="1"/>
  <c r="BM86" i="40"/>
  <c r="F12" i="46"/>
  <c r="G12" i="46"/>
  <c r="BJ8" i="40"/>
  <c r="G11" i="47"/>
  <c r="F11" i="47"/>
  <c r="BI6" i="40"/>
  <c r="BK6" i="40"/>
  <c r="F11" i="45"/>
  <c r="F132" i="39"/>
  <c r="E132" i="39" s="1"/>
  <c r="E161" i="35"/>
  <c r="N81" i="33"/>
  <c r="N80" i="39" s="1"/>
  <c r="O81" i="33"/>
  <c r="O80" i="39" s="1"/>
  <c r="AJ80" i="39" s="1"/>
  <c r="P81" i="33"/>
  <c r="Q81" i="33"/>
  <c r="R81" i="33"/>
  <c r="S81" i="33"/>
  <c r="M77" i="33"/>
  <c r="M78" i="33"/>
  <c r="M79" i="33"/>
  <c r="M80" i="33"/>
  <c r="M82" i="33"/>
  <c r="M83" i="33"/>
  <c r="M84" i="33"/>
  <c r="M85" i="33"/>
  <c r="M86" i="33"/>
  <c r="M87" i="33"/>
  <c r="M88" i="33"/>
  <c r="M89" i="33"/>
  <c r="M90" i="33"/>
  <c r="M74" i="33"/>
  <c r="M75" i="33"/>
  <c r="N72" i="33"/>
  <c r="N71" i="39" s="1"/>
  <c r="O72" i="33"/>
  <c r="O71" i="39" s="1"/>
  <c r="AJ71" i="39" s="1"/>
  <c r="P72" i="33"/>
  <c r="Q72" i="33"/>
  <c r="R72" i="33"/>
  <c r="S72" i="33"/>
  <c r="N73" i="33"/>
  <c r="N72" i="39" s="1"/>
  <c r="O73" i="33"/>
  <c r="O72" i="39" s="1"/>
  <c r="AJ72" i="39" s="1"/>
  <c r="P73" i="33"/>
  <c r="Q73" i="33"/>
  <c r="R73" i="33"/>
  <c r="S73" i="33"/>
  <c r="M70" i="33"/>
  <c r="N67" i="33"/>
  <c r="N66" i="39" s="1"/>
  <c r="O67" i="33"/>
  <c r="O66" i="39" s="1"/>
  <c r="AJ66" i="39" s="1"/>
  <c r="AK66" i="39" s="1"/>
  <c r="P67" i="33"/>
  <c r="Q67" i="33"/>
  <c r="R67" i="33"/>
  <c r="S67" i="33"/>
  <c r="N56" i="33"/>
  <c r="N55" i="39" s="1"/>
  <c r="O56" i="33"/>
  <c r="O55" i="39" s="1"/>
  <c r="AJ55" i="39" s="1"/>
  <c r="P56" i="33"/>
  <c r="Q56" i="33"/>
  <c r="R56" i="33"/>
  <c r="S56" i="33"/>
  <c r="M54" i="33"/>
  <c r="M55" i="33"/>
  <c r="M57" i="33"/>
  <c r="M58" i="33"/>
  <c r="M59" i="33"/>
  <c r="M60" i="33"/>
  <c r="M61" i="33"/>
  <c r="M62" i="33"/>
  <c r="M63" i="33"/>
  <c r="M64" i="33"/>
  <c r="M65" i="33"/>
  <c r="M66" i="33"/>
  <c r="N49" i="33"/>
  <c r="N48" i="39" s="1"/>
  <c r="O49" i="33"/>
  <c r="O48" i="39" s="1"/>
  <c r="AJ48" i="39" s="1"/>
  <c r="P49" i="33"/>
  <c r="Q49" i="33"/>
  <c r="R49" i="33"/>
  <c r="S49" i="33"/>
  <c r="N50" i="33"/>
  <c r="N49" i="39" s="1"/>
  <c r="O50" i="33"/>
  <c r="O49" i="39" s="1"/>
  <c r="AJ49" i="39" s="1"/>
  <c r="AK49" i="39" s="1"/>
  <c r="P50" i="33"/>
  <c r="Q50" i="33"/>
  <c r="R50" i="33"/>
  <c r="S50" i="33"/>
  <c r="N51" i="33"/>
  <c r="N50" i="39" s="1"/>
  <c r="O51" i="33"/>
  <c r="O50" i="39" s="1"/>
  <c r="AJ50" i="39" s="1"/>
  <c r="AK50" i="39" s="1"/>
  <c r="P51" i="33"/>
  <c r="Q51" i="33"/>
  <c r="R51" i="33"/>
  <c r="S51" i="33"/>
  <c r="N52" i="33"/>
  <c r="N51" i="39" s="1"/>
  <c r="O52" i="33"/>
  <c r="O51" i="39" s="1"/>
  <c r="AJ51" i="39" s="1"/>
  <c r="AK51" i="39" s="1"/>
  <c r="P52" i="33"/>
  <c r="Q52" i="33"/>
  <c r="R52" i="33"/>
  <c r="S52" i="33"/>
  <c r="N53" i="33"/>
  <c r="N52" i="39" s="1"/>
  <c r="O53" i="33"/>
  <c r="O52" i="39" s="1"/>
  <c r="AJ52" i="39" s="1"/>
  <c r="AK52" i="39" s="1"/>
  <c r="P53" i="33"/>
  <c r="Q53" i="33"/>
  <c r="R53" i="33"/>
  <c r="S53" i="33"/>
  <c r="M47" i="33"/>
  <c r="M45" i="33"/>
  <c r="N44" i="33"/>
  <c r="N43" i="39" s="1"/>
  <c r="O44" i="33"/>
  <c r="O43" i="39" s="1"/>
  <c r="AJ43" i="39" s="1"/>
  <c r="P44" i="33"/>
  <c r="Q44" i="33"/>
  <c r="R44" i="33"/>
  <c r="S44" i="33"/>
  <c r="N43" i="33"/>
  <c r="N42" i="39" s="1"/>
  <c r="O43" i="33"/>
  <c r="O42" i="39" s="1"/>
  <c r="AJ42" i="39" s="1"/>
  <c r="P43" i="33"/>
  <c r="Q43" i="33"/>
  <c r="R43" i="33"/>
  <c r="S43" i="33"/>
  <c r="M42" i="33"/>
  <c r="M41" i="33"/>
  <c r="M39" i="33"/>
  <c r="M38" i="33"/>
  <c r="M37" i="33"/>
  <c r="N33" i="33"/>
  <c r="N32" i="39" s="1"/>
  <c r="O33" i="33"/>
  <c r="O32" i="39" s="1"/>
  <c r="X32" i="39" s="1"/>
  <c r="AG32" i="39" s="1"/>
  <c r="P33" i="33"/>
  <c r="Q33" i="33"/>
  <c r="R33" i="33"/>
  <c r="S33" i="33"/>
  <c r="N31" i="33"/>
  <c r="N30" i="39" s="1"/>
  <c r="W30" i="39" s="1"/>
  <c r="O31" i="33"/>
  <c r="O30" i="39" s="1"/>
  <c r="P31" i="33"/>
  <c r="Q31" i="33"/>
  <c r="R31" i="33"/>
  <c r="S31" i="33"/>
  <c r="N32" i="33"/>
  <c r="N31" i="39" s="1"/>
  <c r="O32" i="33"/>
  <c r="O31" i="39" s="1"/>
  <c r="X31" i="39" s="1"/>
  <c r="P32" i="33"/>
  <c r="Q32" i="33"/>
  <c r="R32" i="33"/>
  <c r="S32" i="33"/>
  <c r="N26" i="33"/>
  <c r="N25" i="39" s="1"/>
  <c r="O26" i="33"/>
  <c r="O25" i="39" s="1"/>
  <c r="X25" i="39" s="1"/>
  <c r="AG25" i="39" s="1"/>
  <c r="P26" i="33"/>
  <c r="Q26" i="33"/>
  <c r="R26" i="33"/>
  <c r="S26" i="33"/>
  <c r="S25" i="33"/>
  <c r="R25" i="33"/>
  <c r="Q25" i="33"/>
  <c r="P25" i="33"/>
  <c r="O25" i="33"/>
  <c r="O24" i="39" s="1"/>
  <c r="AJ24" i="39" s="1"/>
  <c r="N25" i="33"/>
  <c r="N24" i="39" s="1"/>
  <c r="S24" i="33"/>
  <c r="R24" i="33"/>
  <c r="Q24" i="33"/>
  <c r="P24" i="33"/>
  <c r="O24" i="33"/>
  <c r="O23" i="39" s="1"/>
  <c r="AJ23" i="39" s="1"/>
  <c r="N24" i="33"/>
  <c r="N23" i="39" s="1"/>
  <c r="S22" i="33"/>
  <c r="R22" i="33"/>
  <c r="Q22" i="33"/>
  <c r="P22" i="33"/>
  <c r="O22" i="33"/>
  <c r="O21" i="39" s="1"/>
  <c r="AJ21" i="39" s="1"/>
  <c r="N22" i="33"/>
  <c r="N21" i="39" s="1"/>
  <c r="N21" i="33"/>
  <c r="N20" i="39" s="1"/>
  <c r="M20" i="39" s="1"/>
  <c r="M20" i="33"/>
  <c r="M19" i="33"/>
  <c r="S18" i="33"/>
  <c r="R18" i="33"/>
  <c r="Q18" i="33"/>
  <c r="P18" i="33"/>
  <c r="O18" i="33"/>
  <c r="O17" i="39" s="1"/>
  <c r="X17" i="39" s="1"/>
  <c r="AG17" i="39" s="1"/>
  <c r="N18" i="33"/>
  <c r="N17" i="39" s="1"/>
  <c r="M17" i="33"/>
  <c r="R16" i="33"/>
  <c r="Q16" i="33"/>
  <c r="P16" i="33"/>
  <c r="S15" i="33"/>
  <c r="P15" i="33"/>
  <c r="M14" i="33"/>
  <c r="S94" i="33"/>
  <c r="S186" i="33" s="1"/>
  <c r="R94" i="33"/>
  <c r="R186" i="33" s="1"/>
  <c r="Q94" i="33"/>
  <c r="Q186" i="33" s="1"/>
  <c r="P94" i="33"/>
  <c r="P186" i="33" s="1"/>
  <c r="O94" i="33"/>
  <c r="O58" i="33" s="1"/>
  <c r="O57" i="39" s="1"/>
  <c r="AJ57" i="39" s="1"/>
  <c r="N94" i="33"/>
  <c r="D94" i="33"/>
  <c r="S13" i="33"/>
  <c r="R13" i="33"/>
  <c r="Q13" i="33"/>
  <c r="P13" i="33"/>
  <c r="O13" i="33"/>
  <c r="O12" i="39" s="1"/>
  <c r="X12" i="39" s="1"/>
  <c r="AG12" i="39" s="1"/>
  <c r="N13" i="33"/>
  <c r="N12" i="39" s="1"/>
  <c r="M12" i="33"/>
  <c r="S91" i="33"/>
  <c r="R91" i="33"/>
  <c r="Q91" i="33"/>
  <c r="P91" i="33"/>
  <c r="O91" i="33"/>
  <c r="N91" i="33"/>
  <c r="S93" i="33"/>
  <c r="R93" i="33"/>
  <c r="Q93" i="33"/>
  <c r="P93" i="33"/>
  <c r="O93" i="33"/>
  <c r="N93" i="33"/>
  <c r="G26" i="43" l="1"/>
  <c r="X26" i="39"/>
  <c r="AG31" i="39"/>
  <c r="X30" i="39"/>
  <c r="AG30" i="39" s="1"/>
  <c r="AJ30" i="39"/>
  <c r="AK30" i="39" s="1"/>
  <c r="F136" i="39"/>
  <c r="E107" i="40"/>
  <c r="D34" i="44" s="1"/>
  <c r="H107" i="40"/>
  <c r="G107" i="40"/>
  <c r="D34" i="46" s="1"/>
  <c r="F107" i="40"/>
  <c r="D34" i="45" s="1"/>
  <c r="N79" i="33"/>
  <c r="N78" i="39" s="1"/>
  <c r="M67" i="33"/>
  <c r="M48" i="39"/>
  <c r="P48" i="39" s="1"/>
  <c r="M21" i="39"/>
  <c r="Q21" i="39" s="1"/>
  <c r="M24" i="39"/>
  <c r="Q24" i="39" s="1"/>
  <c r="O70" i="33"/>
  <c r="O69" i="39" s="1"/>
  <c r="AJ69" i="39" s="1"/>
  <c r="R17" i="33"/>
  <c r="Q63" i="33"/>
  <c r="R59" i="33"/>
  <c r="M71" i="39"/>
  <c r="P71" i="39" s="1"/>
  <c r="Q38" i="33"/>
  <c r="Q45" i="33"/>
  <c r="Q75" i="33"/>
  <c r="P79" i="33"/>
  <c r="P39" i="33"/>
  <c r="Q87" i="33"/>
  <c r="N83" i="33"/>
  <c r="N82" i="39" s="1"/>
  <c r="Q78" i="33"/>
  <c r="R19" i="33"/>
  <c r="O41" i="33"/>
  <c r="O40" i="39" s="1"/>
  <c r="AJ40" i="39" s="1"/>
  <c r="N64" i="33"/>
  <c r="N63" i="39" s="1"/>
  <c r="W63" i="39" s="1"/>
  <c r="N60" i="33"/>
  <c r="N59" i="39" s="1"/>
  <c r="Q55" i="33"/>
  <c r="N90" i="33"/>
  <c r="N89" i="39" s="1"/>
  <c r="N86" i="33"/>
  <c r="N85" i="39" s="1"/>
  <c r="W85" i="39" s="1"/>
  <c r="Q82" i="33"/>
  <c r="Q14" i="33"/>
  <c r="P42" i="33"/>
  <c r="M44" i="33"/>
  <c r="Q54" i="33"/>
  <c r="Q59" i="33"/>
  <c r="R70" i="33"/>
  <c r="N75" i="33"/>
  <c r="N74" i="39" s="1"/>
  <c r="R78" i="33"/>
  <c r="R14" i="33"/>
  <c r="R20" i="33"/>
  <c r="Q37" i="33"/>
  <c r="N39" i="33"/>
  <c r="N38" i="39" s="1"/>
  <c r="S41" i="33"/>
  <c r="S42" i="33"/>
  <c r="O66" i="33"/>
  <c r="O65" i="39" s="1"/>
  <c r="AJ65" i="39" s="1"/>
  <c r="N62" i="33"/>
  <c r="N61" i="39" s="1"/>
  <c r="N58" i="33"/>
  <c r="N57" i="39" s="1"/>
  <c r="M57" i="39" s="1"/>
  <c r="P57" i="39" s="1"/>
  <c r="N54" i="33"/>
  <c r="N53" i="39" s="1"/>
  <c r="M55" i="39"/>
  <c r="Q55" i="39" s="1"/>
  <c r="R66" i="33"/>
  <c r="Q83" i="33"/>
  <c r="Q39" i="33"/>
  <c r="P41" i="33"/>
  <c r="R42" i="33"/>
  <c r="Q57" i="33"/>
  <c r="R55" i="33"/>
  <c r="R63" i="33"/>
  <c r="P74" i="33"/>
  <c r="Q90" i="33"/>
  <c r="Q86" i="33"/>
  <c r="Q77" i="33"/>
  <c r="R82" i="33"/>
  <c r="R87" i="33"/>
  <c r="Q17" i="33"/>
  <c r="P19" i="33"/>
  <c r="O42" i="33"/>
  <c r="O41" i="39" s="1"/>
  <c r="X41" i="39" s="1"/>
  <c r="M43" i="39"/>
  <c r="P43" i="39" s="1"/>
  <c r="Q64" i="33"/>
  <c r="Q60" i="33"/>
  <c r="R74" i="33"/>
  <c r="R85" i="33"/>
  <c r="N77" i="33"/>
  <c r="N76" i="39" s="1"/>
  <c r="S90" i="33"/>
  <c r="S86" i="33"/>
  <c r="S83" i="33"/>
  <c r="O61" i="33"/>
  <c r="O60" i="39" s="1"/>
  <c r="AJ60" i="39" s="1"/>
  <c r="S61" i="33"/>
  <c r="P61" i="33"/>
  <c r="N61" i="33"/>
  <c r="N60" i="39" s="1"/>
  <c r="S54" i="33"/>
  <c r="O62" i="33"/>
  <c r="O61" i="39" s="1"/>
  <c r="S64" i="33"/>
  <c r="S70" i="33"/>
  <c r="O89" i="33"/>
  <c r="O88" i="39" s="1"/>
  <c r="AJ88" i="39" s="1"/>
  <c r="S89" i="33"/>
  <c r="P89" i="33"/>
  <c r="N89" i="33"/>
  <c r="N88" i="39" s="1"/>
  <c r="S37" i="33"/>
  <c r="O57" i="33"/>
  <c r="O56" i="39" s="1"/>
  <c r="AJ56" i="39" s="1"/>
  <c r="S57" i="33"/>
  <c r="P57" i="33"/>
  <c r="N57" i="33"/>
  <c r="N56" i="39" s="1"/>
  <c r="Q61" i="33"/>
  <c r="O85" i="33"/>
  <c r="O84" i="39" s="1"/>
  <c r="AJ84" i="39" s="1"/>
  <c r="S85" i="33"/>
  <c r="Q85" i="33"/>
  <c r="P85" i="33"/>
  <c r="N85" i="33"/>
  <c r="N84" i="39" s="1"/>
  <c r="M84" i="39" s="1"/>
  <c r="O80" i="33"/>
  <c r="O79" i="39" s="1"/>
  <c r="AJ79" i="39" s="1"/>
  <c r="S80" i="33"/>
  <c r="Q80" i="33"/>
  <c r="P80" i="33"/>
  <c r="N80" i="33"/>
  <c r="N79" i="39" s="1"/>
  <c r="Q89" i="33"/>
  <c r="N160" i="39"/>
  <c r="N150" i="39"/>
  <c r="N160" i="35"/>
  <c r="Q12" i="33"/>
  <c r="P12" i="33"/>
  <c r="N12" i="33"/>
  <c r="N11" i="39" s="1"/>
  <c r="S19" i="33"/>
  <c r="P37" i="33"/>
  <c r="R39" i="33"/>
  <c r="O39" i="33"/>
  <c r="O38" i="39" s="1"/>
  <c r="X38" i="39" s="1"/>
  <c r="AG38" i="39" s="1"/>
  <c r="S39" i="33"/>
  <c r="Q41" i="33"/>
  <c r="Q47" i="33"/>
  <c r="R47" i="33"/>
  <c r="O55" i="33"/>
  <c r="O54" i="39" s="1"/>
  <c r="AJ54" i="39" s="1"/>
  <c r="P54" i="33"/>
  <c r="P60" i="33"/>
  <c r="P64" i="33"/>
  <c r="S74" i="33"/>
  <c r="Q88" i="33"/>
  <c r="O88" i="33"/>
  <c r="O87" i="39" s="1"/>
  <c r="AJ87" i="39" s="1"/>
  <c r="S88" i="33"/>
  <c r="R88" i="33"/>
  <c r="Q79" i="33"/>
  <c r="O79" i="33"/>
  <c r="O78" i="39" s="1"/>
  <c r="AJ78" i="39" s="1"/>
  <c r="R79" i="33"/>
  <c r="S77" i="33"/>
  <c r="R80" i="33"/>
  <c r="N88" i="33"/>
  <c r="N87" i="39" s="1"/>
  <c r="O20" i="33"/>
  <c r="O19" i="39" s="1"/>
  <c r="X19" i="39" s="1"/>
  <c r="AG19" i="39" s="1"/>
  <c r="S20" i="33"/>
  <c r="P20" i="33"/>
  <c r="N20" i="33"/>
  <c r="N19" i="39" s="1"/>
  <c r="O47" i="33"/>
  <c r="O46" i="39" s="1"/>
  <c r="AJ46" i="39" s="1"/>
  <c r="M12" i="39"/>
  <c r="W12" i="39"/>
  <c r="V12" i="39" s="1"/>
  <c r="O161" i="39"/>
  <c r="X161" i="39" s="1"/>
  <c r="AG161" i="39" s="1"/>
  <c r="AF161" i="39" s="1"/>
  <c r="O186" i="33"/>
  <c r="O161" i="35"/>
  <c r="M17" i="39"/>
  <c r="W17" i="39"/>
  <c r="V17" i="39" s="1"/>
  <c r="Q20" i="33"/>
  <c r="O38" i="33"/>
  <c r="O37" i="39" s="1"/>
  <c r="X37" i="39" s="1"/>
  <c r="AG37" i="39" s="1"/>
  <c r="S38" i="33"/>
  <c r="P38" i="33"/>
  <c r="N38" i="33"/>
  <c r="N37" i="39" s="1"/>
  <c r="W38" i="39"/>
  <c r="N41" i="33"/>
  <c r="N40" i="39" s="1"/>
  <c r="O45" i="33"/>
  <c r="O44" i="39" s="1"/>
  <c r="AJ44" i="39" s="1"/>
  <c r="S45" i="33"/>
  <c r="P45" i="33"/>
  <c r="N45" i="33"/>
  <c r="N44" i="39" s="1"/>
  <c r="S47" i="33"/>
  <c r="O63" i="33"/>
  <c r="O62" i="39" s="1"/>
  <c r="AJ62" i="39" s="1"/>
  <c r="O59" i="33"/>
  <c r="O58" i="39" s="1"/>
  <c r="AJ58" i="39" s="1"/>
  <c r="O54" i="33"/>
  <c r="O53" i="39" s="1"/>
  <c r="AJ53" i="39" s="1"/>
  <c r="S58" i="33"/>
  <c r="O60" i="33"/>
  <c r="O59" i="39" s="1"/>
  <c r="AJ59" i="39" s="1"/>
  <c r="S62" i="33"/>
  <c r="O64" i="33"/>
  <c r="O63" i="39" s="1"/>
  <c r="X63" i="39" s="1"/>
  <c r="P75" i="33"/>
  <c r="O87" i="33"/>
  <c r="O86" i="39" s="1"/>
  <c r="AJ86" i="39" s="1"/>
  <c r="O78" i="33"/>
  <c r="O77" i="39" s="1"/>
  <c r="AJ77" i="39" s="1"/>
  <c r="P77" i="33"/>
  <c r="M78" i="39"/>
  <c r="P86" i="33"/>
  <c r="P88" i="33"/>
  <c r="P90" i="33"/>
  <c r="O158" i="39"/>
  <c r="X158" i="39" s="1"/>
  <c r="AG158" i="39" s="1"/>
  <c r="AF158" i="39" s="1"/>
  <c r="O148" i="39"/>
  <c r="O158" i="35"/>
  <c r="O90" i="33"/>
  <c r="O89" i="39" s="1"/>
  <c r="AJ89" i="39" s="1"/>
  <c r="O86" i="33"/>
  <c r="O85" i="39" s="1"/>
  <c r="X85" i="39" s="1"/>
  <c r="O83" i="33"/>
  <c r="O82" i="39" s="1"/>
  <c r="AJ82" i="39" s="1"/>
  <c r="S60" i="33"/>
  <c r="O14" i="33"/>
  <c r="O13" i="39" s="1"/>
  <c r="X13" i="39" s="1"/>
  <c r="AG13" i="39" s="1"/>
  <c r="S14" i="33"/>
  <c r="P14" i="33"/>
  <c r="N14" i="33"/>
  <c r="N13" i="39" s="1"/>
  <c r="O17" i="33"/>
  <c r="O16" i="39" s="1"/>
  <c r="X16" i="39" s="1"/>
  <c r="AG16" i="39" s="1"/>
  <c r="S17" i="33"/>
  <c r="P17" i="33"/>
  <c r="N17" i="33"/>
  <c r="N16" i="39" s="1"/>
  <c r="O19" i="33"/>
  <c r="O18" i="39" s="1"/>
  <c r="X18" i="39" s="1"/>
  <c r="AG18" i="39" s="1"/>
  <c r="Q20" i="39"/>
  <c r="P20" i="39"/>
  <c r="M25" i="39"/>
  <c r="W25" i="39"/>
  <c r="V25" i="39" s="1"/>
  <c r="O37" i="33"/>
  <c r="O36" i="39" s="1"/>
  <c r="AJ36" i="39" s="1"/>
  <c r="R38" i="33"/>
  <c r="R45" i="33"/>
  <c r="P47" i="33"/>
  <c r="P66" i="33"/>
  <c r="N66" i="33"/>
  <c r="N65" i="39" s="1"/>
  <c r="Q66" i="33"/>
  <c r="Q62" i="33"/>
  <c r="R62" i="33"/>
  <c r="Q58" i="33"/>
  <c r="R58" i="33"/>
  <c r="R57" i="33"/>
  <c r="P58" i="33"/>
  <c r="R61" i="33"/>
  <c r="P62" i="33"/>
  <c r="S66" i="33"/>
  <c r="P70" i="33"/>
  <c r="R75" i="33"/>
  <c r="O75" i="33"/>
  <c r="O74" i="39" s="1"/>
  <c r="AJ74" i="39" s="1"/>
  <c r="S75" i="33"/>
  <c r="O74" i="33"/>
  <c r="O73" i="39" s="1"/>
  <c r="AJ73" i="39" s="1"/>
  <c r="O82" i="33"/>
  <c r="O81" i="39" s="1"/>
  <c r="AJ81" i="39" s="1"/>
  <c r="O77" i="33"/>
  <c r="O76" i="39" s="1"/>
  <c r="AJ76" i="39" s="1"/>
  <c r="S79" i="33"/>
  <c r="P83" i="33"/>
  <c r="R89" i="33"/>
  <c r="O150" i="39"/>
  <c r="O160" i="39"/>
  <c r="X160" i="39" s="1"/>
  <c r="AG160" i="39" s="1"/>
  <c r="AF160" i="39" s="1"/>
  <c r="O160" i="35"/>
  <c r="Q19" i="33"/>
  <c r="O22" i="39"/>
  <c r="AJ22" i="39" s="1"/>
  <c r="M31" i="39"/>
  <c r="W31" i="39"/>
  <c r="M32" i="39"/>
  <c r="W32" i="39"/>
  <c r="V32" i="39" s="1"/>
  <c r="R37" i="33"/>
  <c r="R41" i="33"/>
  <c r="Q42" i="33"/>
  <c r="M42" i="39"/>
  <c r="R54" i="33"/>
  <c r="N55" i="33"/>
  <c r="N54" i="39" s="1"/>
  <c r="P55" i="33"/>
  <c r="N59" i="33"/>
  <c r="N58" i="39" s="1"/>
  <c r="P59" i="33"/>
  <c r="R60" i="33"/>
  <c r="N63" i="33"/>
  <c r="N62" i="39" s="1"/>
  <c r="P63" i="33"/>
  <c r="R64" i="33"/>
  <c r="Q70" i="33"/>
  <c r="M72" i="39"/>
  <c r="Q74" i="33"/>
  <c r="R77" i="33"/>
  <c r="N78" i="33"/>
  <c r="N77" i="39" s="1"/>
  <c r="P78" i="33"/>
  <c r="N82" i="33"/>
  <c r="N81" i="39" s="1"/>
  <c r="P82" i="33"/>
  <c r="R83" i="33"/>
  <c r="R86" i="33"/>
  <c r="N87" i="33"/>
  <c r="N86" i="39" s="1"/>
  <c r="P87" i="33"/>
  <c r="R90" i="33"/>
  <c r="M80" i="39"/>
  <c r="M184" i="33"/>
  <c r="N158" i="39"/>
  <c r="N148" i="39"/>
  <c r="M180" i="33"/>
  <c r="N158" i="35"/>
  <c r="N161" i="39"/>
  <c r="N186" i="33"/>
  <c r="N161" i="35"/>
  <c r="N19" i="33"/>
  <c r="N18" i="39" s="1"/>
  <c r="M23" i="39"/>
  <c r="N22" i="39"/>
  <c r="N42" i="33"/>
  <c r="N41" i="39" s="1"/>
  <c r="Q48" i="39"/>
  <c r="S55" i="33"/>
  <c r="S59" i="33"/>
  <c r="S63" i="33"/>
  <c r="N70" i="33"/>
  <c r="N69" i="39" s="1"/>
  <c r="N74" i="33"/>
  <c r="N73" i="39" s="1"/>
  <c r="S78" i="33"/>
  <c r="S82" i="33"/>
  <c r="S87" i="33"/>
  <c r="E136" i="39"/>
  <c r="F142" i="39"/>
  <c r="M94" i="33"/>
  <c r="V94" i="33" s="1"/>
  <c r="S12" i="33"/>
  <c r="O12" i="33"/>
  <c r="O11" i="39" s="1"/>
  <c r="R12" i="33"/>
  <c r="M13" i="33"/>
  <c r="N92" i="36"/>
  <c r="M92" i="36"/>
  <c r="L92" i="36"/>
  <c r="O92" i="36"/>
  <c r="BQ107" i="40" l="1"/>
  <c r="D34" i="47"/>
  <c r="F26" i="43"/>
  <c r="L107" i="40"/>
  <c r="R107" i="40" s="1"/>
  <c r="BO107" i="40"/>
  <c r="M107" i="40"/>
  <c r="S107" i="40" s="1"/>
  <c r="BP107" i="40"/>
  <c r="K107" i="40"/>
  <c r="Q107" i="40" s="1"/>
  <c r="BN107" i="40"/>
  <c r="AG26" i="39"/>
  <c r="X39" i="39"/>
  <c r="AG41" i="39"/>
  <c r="X75" i="39"/>
  <c r="AG85" i="39"/>
  <c r="M61" i="39"/>
  <c r="AJ61" i="39"/>
  <c r="X45" i="39"/>
  <c r="X34" i="39" s="1"/>
  <c r="AG63" i="39"/>
  <c r="H87" i="40"/>
  <c r="BQ87" i="40" s="1"/>
  <c r="N107" i="40"/>
  <c r="E87" i="40"/>
  <c r="BN87" i="40" s="1"/>
  <c r="F87" i="40"/>
  <c r="M79" i="39"/>
  <c r="M160" i="35"/>
  <c r="Q57" i="39"/>
  <c r="M53" i="39"/>
  <c r="P53" i="39" s="1"/>
  <c r="G87" i="40"/>
  <c r="M81" i="39"/>
  <c r="Q81" i="39" s="1"/>
  <c r="P21" i="39"/>
  <c r="P24" i="39"/>
  <c r="M89" i="39"/>
  <c r="Q89" i="39" s="1"/>
  <c r="M40" i="39"/>
  <c r="Q40" i="39" s="1"/>
  <c r="M86" i="39"/>
  <c r="Q86" i="39" s="1"/>
  <c r="Q71" i="39"/>
  <c r="P55" i="39"/>
  <c r="M65" i="39"/>
  <c r="P65" i="39" s="1"/>
  <c r="M158" i="35"/>
  <c r="M58" i="39"/>
  <c r="Q58" i="39" s="1"/>
  <c r="M161" i="35"/>
  <c r="M62" i="39"/>
  <c r="Q62" i="39" s="1"/>
  <c r="M69" i="39"/>
  <c r="Q69" i="39" s="1"/>
  <c r="M186" i="33"/>
  <c r="M54" i="39"/>
  <c r="Q54" i="39" s="1"/>
  <c r="M59" i="39"/>
  <c r="Q59" i="39" s="1"/>
  <c r="M63" i="39"/>
  <c r="Q63" i="39" s="1"/>
  <c r="R63" i="39" s="1"/>
  <c r="M82" i="39"/>
  <c r="Q82" i="39" s="1"/>
  <c r="Q43" i="39"/>
  <c r="M73" i="39"/>
  <c r="M56" i="39"/>
  <c r="Q56" i="39" s="1"/>
  <c r="M74" i="39"/>
  <c r="P74" i="39" s="1"/>
  <c r="M44" i="39"/>
  <c r="Q44" i="39" s="1"/>
  <c r="Q61" i="39"/>
  <c r="P61" i="39"/>
  <c r="X11" i="39"/>
  <c r="O10" i="39"/>
  <c r="O8" i="39" s="1"/>
  <c r="P32" i="39"/>
  <c r="Q32" i="39"/>
  <c r="W16" i="39"/>
  <c r="V16" i="39" s="1"/>
  <c r="M16" i="39"/>
  <c r="M13" i="39"/>
  <c r="W13" i="39"/>
  <c r="V13" i="39" s="1"/>
  <c r="Z17" i="39"/>
  <c r="AA17" i="39" s="1"/>
  <c r="Y17" i="39"/>
  <c r="AH17" i="39" s="1"/>
  <c r="AF17" i="39" s="1"/>
  <c r="M19" i="39"/>
  <c r="W19" i="39"/>
  <c r="V19" i="39" s="1"/>
  <c r="W11" i="39"/>
  <c r="N10" i="39"/>
  <c r="N8" i="39" s="1"/>
  <c r="M11" i="39"/>
  <c r="N75" i="39"/>
  <c r="M22" i="39"/>
  <c r="P23" i="39"/>
  <c r="Q23" i="39"/>
  <c r="M161" i="39"/>
  <c r="W161" i="39"/>
  <c r="V161" i="39" s="1"/>
  <c r="M77" i="39"/>
  <c r="O75" i="39"/>
  <c r="V63" i="39"/>
  <c r="W45" i="39"/>
  <c r="V38" i="39"/>
  <c r="Q17" i="39"/>
  <c r="R17" i="39" s="1"/>
  <c r="P17" i="39"/>
  <c r="Y12" i="39"/>
  <c r="AH12" i="39" s="1"/>
  <c r="AF12" i="39" s="1"/>
  <c r="Z12" i="39"/>
  <c r="AA12" i="39" s="1"/>
  <c r="Q84" i="39"/>
  <c r="P84" i="39"/>
  <c r="M88" i="39"/>
  <c r="M60" i="39"/>
  <c r="Q80" i="39"/>
  <c r="P80" i="39"/>
  <c r="Q72" i="39"/>
  <c r="P72" i="39"/>
  <c r="Q25" i="39"/>
  <c r="R25" i="39" s="1"/>
  <c r="P25" i="39"/>
  <c r="P79" i="39"/>
  <c r="Q79" i="39"/>
  <c r="M41" i="39"/>
  <c r="W41" i="39"/>
  <c r="W18" i="39"/>
  <c r="V18" i="39" s="1"/>
  <c r="M18" i="39"/>
  <c r="M158" i="39"/>
  <c r="W158" i="39"/>
  <c r="V158" i="39" s="1"/>
  <c r="W26" i="39"/>
  <c r="V31" i="39"/>
  <c r="Q65" i="39"/>
  <c r="Q78" i="39"/>
  <c r="P78" i="39"/>
  <c r="M38" i="39"/>
  <c r="P12" i="39"/>
  <c r="Q12" i="39"/>
  <c r="R12" i="39" s="1"/>
  <c r="M85" i="39"/>
  <c r="M160" i="39"/>
  <c r="W160" i="39"/>
  <c r="V160" i="39" s="1"/>
  <c r="Q42" i="39"/>
  <c r="P42" i="39"/>
  <c r="Y32" i="39"/>
  <c r="AH32" i="39" s="1"/>
  <c r="AF32" i="39" s="1"/>
  <c r="Z32" i="39"/>
  <c r="Q31" i="39"/>
  <c r="R31" i="39" s="1"/>
  <c r="P31" i="39"/>
  <c r="Y25" i="39"/>
  <c r="AH25" i="39" s="1"/>
  <c r="AF25" i="39" s="1"/>
  <c r="Z25" i="39"/>
  <c r="AA25" i="39" s="1"/>
  <c r="M37" i="39"/>
  <c r="W37" i="39"/>
  <c r="V85" i="39"/>
  <c r="W75" i="39"/>
  <c r="M87" i="39"/>
  <c r="M76" i="39"/>
  <c r="U94" i="33"/>
  <c r="L87" i="40" l="1"/>
  <c r="R87" i="40" s="1"/>
  <c r="BI87" i="40" s="1"/>
  <c r="BO87" i="40"/>
  <c r="M87" i="40"/>
  <c r="S87" i="40" s="1"/>
  <c r="BJ87" i="40" s="1"/>
  <c r="BP87" i="40"/>
  <c r="F34" i="44"/>
  <c r="BH107" i="40"/>
  <c r="F34" i="46"/>
  <c r="G34" i="46"/>
  <c r="F34" i="45"/>
  <c r="T107" i="40"/>
  <c r="BJ107" i="40"/>
  <c r="BI107" i="40"/>
  <c r="AI25" i="39"/>
  <c r="AJ25" i="39"/>
  <c r="AK25" i="39" s="1"/>
  <c r="AI32" i="39"/>
  <c r="AJ32" i="39"/>
  <c r="AG39" i="39"/>
  <c r="AI17" i="39"/>
  <c r="AJ17" i="39"/>
  <c r="AK17" i="39" s="1"/>
  <c r="AG75" i="39"/>
  <c r="AI12" i="39"/>
  <c r="AJ12" i="39"/>
  <c r="AK12" i="39" s="1"/>
  <c r="X10" i="39"/>
  <c r="X8" i="39" s="1"/>
  <c r="AG11" i="39"/>
  <c r="AG45" i="39"/>
  <c r="E86" i="40"/>
  <c r="D26" i="44" s="1"/>
  <c r="K87" i="40"/>
  <c r="H86" i="40"/>
  <c r="N87" i="40"/>
  <c r="F86" i="40"/>
  <c r="D26" i="45" s="1"/>
  <c r="G86" i="40"/>
  <c r="D26" i="46" s="1"/>
  <c r="P81" i="39"/>
  <c r="P40" i="39"/>
  <c r="Q74" i="39"/>
  <c r="Q53" i="39"/>
  <c r="P89" i="39"/>
  <c r="M39" i="39"/>
  <c r="Q39" i="39" s="1"/>
  <c r="P62" i="39"/>
  <c r="P82" i="39"/>
  <c r="P58" i="39"/>
  <c r="P86" i="39"/>
  <c r="P59" i="39"/>
  <c r="P63" i="39"/>
  <c r="M68" i="39"/>
  <c r="Q68" i="39" s="1"/>
  <c r="P56" i="39"/>
  <c r="M70" i="39"/>
  <c r="Q70" i="39" s="1"/>
  <c r="P69" i="39"/>
  <c r="P44" i="39"/>
  <c r="P54" i="39"/>
  <c r="P73" i="39"/>
  <c r="Q73" i="39"/>
  <c r="Z85" i="39"/>
  <c r="AA85" i="39" s="1"/>
  <c r="Y85" i="39"/>
  <c r="AH85" i="39" s="1"/>
  <c r="AH75" i="39" s="1"/>
  <c r="V75" i="39"/>
  <c r="Z75" i="39" s="1"/>
  <c r="AA75" i="39" s="1"/>
  <c r="Q38" i="39"/>
  <c r="R38" i="39" s="1"/>
  <c r="P38" i="39"/>
  <c r="Q22" i="39"/>
  <c r="P22" i="39"/>
  <c r="Q19" i="39"/>
  <c r="R19" i="39" s="1"/>
  <c r="P19" i="39"/>
  <c r="Q16" i="39"/>
  <c r="R16" i="39" s="1"/>
  <c r="P16" i="39"/>
  <c r="Y18" i="39"/>
  <c r="AH18" i="39" s="1"/>
  <c r="AF18" i="39" s="1"/>
  <c r="Z18" i="39"/>
  <c r="AA18" i="39" s="1"/>
  <c r="Q11" i="39"/>
  <c r="R11" i="39" s="1"/>
  <c r="P11" i="39"/>
  <c r="M10" i="39"/>
  <c r="P76" i="39"/>
  <c r="Q76" i="39"/>
  <c r="M75" i="39"/>
  <c r="V37" i="39"/>
  <c r="Q85" i="39"/>
  <c r="R85" i="39" s="1"/>
  <c r="P85" i="39"/>
  <c r="V41" i="39"/>
  <c r="W39" i="39"/>
  <c r="W34" i="39" s="1"/>
  <c r="V45" i="39"/>
  <c r="Z45" i="39" s="1"/>
  <c r="AA45" i="39" s="1"/>
  <c r="Z63" i="39"/>
  <c r="AA63" i="39" s="1"/>
  <c r="Y63" i="39"/>
  <c r="AH63" i="39" s="1"/>
  <c r="AH45" i="39" s="1"/>
  <c r="Y16" i="39"/>
  <c r="AH16" i="39" s="1"/>
  <c r="AF16" i="39" s="1"/>
  <c r="Z16" i="39"/>
  <c r="AA16" i="39" s="1"/>
  <c r="Q87" i="39"/>
  <c r="P87" i="39"/>
  <c r="Q37" i="39"/>
  <c r="R37" i="39" s="1"/>
  <c r="P37" i="39"/>
  <c r="P41" i="39"/>
  <c r="Q41" i="39"/>
  <c r="V11" i="39"/>
  <c r="W10" i="39"/>
  <c r="W8" i="39" s="1"/>
  <c r="Z13" i="39"/>
  <c r="AA13" i="39" s="1"/>
  <c r="Y13" i="39"/>
  <c r="AH13" i="39" s="1"/>
  <c r="AF13" i="39" s="1"/>
  <c r="Q88" i="39"/>
  <c r="P88" i="39"/>
  <c r="Y31" i="39"/>
  <c r="AH31" i="39" s="1"/>
  <c r="V26" i="39"/>
  <c r="Z31" i="39"/>
  <c r="Q18" i="39"/>
  <c r="R18" i="39" s="1"/>
  <c r="P18" i="39"/>
  <c r="Q60" i="39"/>
  <c r="P60" i="39"/>
  <c r="Y38" i="39"/>
  <c r="AH38" i="39" s="1"/>
  <c r="AF38" i="39" s="1"/>
  <c r="Z38" i="39"/>
  <c r="AA38" i="39" s="1"/>
  <c r="Q77" i="39"/>
  <c r="P77" i="39"/>
  <c r="Z19" i="39"/>
  <c r="AA19" i="39" s="1"/>
  <c r="Y19" i="39"/>
  <c r="AH19" i="39" s="1"/>
  <c r="AF19" i="39" s="1"/>
  <c r="Q13" i="39"/>
  <c r="R13" i="39" s="1"/>
  <c r="P13" i="39"/>
  <c r="X6" i="39"/>
  <c r="BQ86" i="40" l="1"/>
  <c r="D26" i="47"/>
  <c r="BK107" i="40"/>
  <c r="L86" i="40"/>
  <c r="R86" i="40" s="1"/>
  <c r="BO86" i="40"/>
  <c r="K86" i="40"/>
  <c r="BN86" i="40"/>
  <c r="M86" i="40"/>
  <c r="S86" i="40" s="1"/>
  <c r="BP86" i="40"/>
  <c r="Q86" i="40"/>
  <c r="Q87" i="40"/>
  <c r="BH87" i="40" s="1"/>
  <c r="F34" i="47"/>
  <c r="G34" i="47"/>
  <c r="T87" i="40"/>
  <c r="BK87" i="40" s="1"/>
  <c r="E126" i="40"/>
  <c r="D36" i="44" s="1"/>
  <c r="AI38" i="39"/>
  <c r="AJ38" i="39"/>
  <c r="AK38" i="39" s="1"/>
  <c r="AI16" i="39"/>
  <c r="AJ16" i="39"/>
  <c r="AK16" i="39" s="1"/>
  <c r="AI18" i="39"/>
  <c r="AJ18" i="39"/>
  <c r="AK18" i="39" s="1"/>
  <c r="AF63" i="39"/>
  <c r="AI13" i="39"/>
  <c r="AJ13" i="39"/>
  <c r="AK13" i="39" s="1"/>
  <c r="AG10" i="39"/>
  <c r="AG8" i="39" s="1"/>
  <c r="AG6" i="39" s="1"/>
  <c r="AI19" i="39"/>
  <c r="AJ19" i="39"/>
  <c r="AK19" i="39" s="1"/>
  <c r="AH26" i="39"/>
  <c r="AF31" i="39"/>
  <c r="AF85" i="39"/>
  <c r="AG34" i="39"/>
  <c r="H126" i="40"/>
  <c r="N86" i="40"/>
  <c r="F126" i="40"/>
  <c r="P39" i="39"/>
  <c r="P68" i="39"/>
  <c r="P70" i="39"/>
  <c r="Z37" i="39"/>
  <c r="AA37" i="39" s="1"/>
  <c r="Y37" i="39"/>
  <c r="AH37" i="39" s="1"/>
  <c r="Y26" i="39"/>
  <c r="Z26" i="39"/>
  <c r="Q75" i="39"/>
  <c r="R75" i="39" s="1"/>
  <c r="P75" i="39"/>
  <c r="Q10" i="39"/>
  <c r="R10" i="39" s="1"/>
  <c r="M8" i="39"/>
  <c r="P10" i="39"/>
  <c r="W6" i="39"/>
  <c r="Z41" i="39"/>
  <c r="V39" i="39"/>
  <c r="Z39" i="39" s="1"/>
  <c r="Y41" i="39"/>
  <c r="AH41" i="39" s="1"/>
  <c r="Z11" i="39"/>
  <c r="AA11" i="39" s="1"/>
  <c r="Y11" i="39"/>
  <c r="AH11" i="39" s="1"/>
  <c r="AH10" i="39" s="1"/>
  <c r="AH8" i="39" s="1"/>
  <c r="V10" i="39"/>
  <c r="S147" i="33"/>
  <c r="R146" i="33"/>
  <c r="Q145" i="33"/>
  <c r="P144" i="33"/>
  <c r="O143" i="33"/>
  <c r="O138" i="39" s="1"/>
  <c r="N142" i="33"/>
  <c r="N137" i="39" s="1"/>
  <c r="BQ126" i="40" l="1"/>
  <c r="D36" i="47"/>
  <c r="F36" i="44"/>
  <c r="BO126" i="40"/>
  <c r="D36" i="45"/>
  <c r="K126" i="40"/>
  <c r="Q126" i="40" s="1"/>
  <c r="BH126" i="40" s="1"/>
  <c r="BN126" i="40"/>
  <c r="F26" i="44"/>
  <c r="BH86" i="40"/>
  <c r="F26" i="45"/>
  <c r="BI86" i="40"/>
  <c r="G26" i="46"/>
  <c r="F26" i="46"/>
  <c r="T86" i="40"/>
  <c r="BJ86" i="40"/>
  <c r="AI31" i="39"/>
  <c r="AJ31" i="39"/>
  <c r="AF26" i="39"/>
  <c r="AI63" i="39"/>
  <c r="AF45" i="39"/>
  <c r="AJ63" i="39"/>
  <c r="AK63" i="39" s="1"/>
  <c r="AI85" i="39"/>
  <c r="AF75" i="39"/>
  <c r="AJ75" i="39" s="1"/>
  <c r="AK75" i="39" s="1"/>
  <c r="AJ85" i="39"/>
  <c r="AK85" i="39" s="1"/>
  <c r="AF11" i="39"/>
  <c r="AH39" i="39"/>
  <c r="AH34" i="39" s="1"/>
  <c r="AH6" i="39" s="1"/>
  <c r="AF41" i="39"/>
  <c r="AF37" i="39"/>
  <c r="F133" i="40"/>
  <c r="D43" i="45" s="1"/>
  <c r="L126" i="40"/>
  <c r="H133" i="40"/>
  <c r="D43" i="47" s="1"/>
  <c r="N126" i="40"/>
  <c r="M137" i="39"/>
  <c r="W137" i="39"/>
  <c r="X138" i="39"/>
  <c r="M138" i="39"/>
  <c r="V34" i="39"/>
  <c r="Z34" i="39" s="1"/>
  <c r="AA34" i="39" s="1"/>
  <c r="Z10" i="39"/>
  <c r="AA10" i="39" s="1"/>
  <c r="V8" i="39"/>
  <c r="Y10" i="39"/>
  <c r="Q8" i="39"/>
  <c r="R8" i="39" s="1"/>
  <c r="P8" i="39"/>
  <c r="F43" i="45" l="1"/>
  <c r="F43" i="47"/>
  <c r="G43" i="47"/>
  <c r="F36" i="45"/>
  <c r="F36" i="47"/>
  <c r="G36" i="47"/>
  <c r="BK86" i="40"/>
  <c r="T126" i="40"/>
  <c r="BK126" i="40" s="1"/>
  <c r="R126" i="40"/>
  <c r="BI126" i="40" s="1"/>
  <c r="F26" i="47"/>
  <c r="G26" i="47"/>
  <c r="AI11" i="39"/>
  <c r="AF10" i="39"/>
  <c r="AJ11" i="39"/>
  <c r="AK11" i="39" s="1"/>
  <c r="AI37" i="39"/>
  <c r="AJ37" i="39"/>
  <c r="AK37" i="39" s="1"/>
  <c r="AI41" i="39"/>
  <c r="AJ41" i="39"/>
  <c r="AF39" i="39"/>
  <c r="N133" i="40"/>
  <c r="T133" i="40" s="1"/>
  <c r="H132" i="40"/>
  <c r="D42" i="47" s="1"/>
  <c r="H142" i="40"/>
  <c r="F140" i="40"/>
  <c r="L133" i="40"/>
  <c r="R133" i="40" s="1"/>
  <c r="Z8" i="39"/>
  <c r="AA8" i="39" s="1"/>
  <c r="V6" i="39"/>
  <c r="K89" i="36"/>
  <c r="K88" i="36"/>
  <c r="K87" i="36"/>
  <c r="K86" i="36"/>
  <c r="K85" i="36"/>
  <c r="K84" i="36"/>
  <c r="K82" i="36"/>
  <c r="K81" i="36"/>
  <c r="O80" i="36"/>
  <c r="N80" i="36"/>
  <c r="M80" i="36"/>
  <c r="L80" i="36"/>
  <c r="K79" i="36"/>
  <c r="K78" i="36"/>
  <c r="K77" i="36"/>
  <c r="K76" i="36"/>
  <c r="K74" i="36"/>
  <c r="K73" i="36"/>
  <c r="O72" i="36"/>
  <c r="N72" i="36"/>
  <c r="M72" i="36"/>
  <c r="L72" i="36"/>
  <c r="O71" i="36"/>
  <c r="N71" i="36"/>
  <c r="M71" i="36"/>
  <c r="L71" i="36"/>
  <c r="K69" i="36"/>
  <c r="N66" i="36"/>
  <c r="K65" i="36"/>
  <c r="K63" i="36"/>
  <c r="K62" i="36"/>
  <c r="K61" i="36"/>
  <c r="K60" i="36"/>
  <c r="K59" i="36"/>
  <c r="K58" i="36"/>
  <c r="K57" i="36"/>
  <c r="K56" i="36"/>
  <c r="O55" i="36"/>
  <c r="N55" i="36"/>
  <c r="M55" i="36"/>
  <c r="L55" i="36"/>
  <c r="K54" i="36"/>
  <c r="K53" i="36"/>
  <c r="N52" i="36"/>
  <c r="N51" i="36"/>
  <c r="N50" i="36"/>
  <c r="N49" i="36"/>
  <c r="O48" i="36"/>
  <c r="N48" i="36"/>
  <c r="M48" i="36"/>
  <c r="L48" i="36"/>
  <c r="K46" i="36"/>
  <c r="K44" i="36"/>
  <c r="O43" i="36"/>
  <c r="N43" i="36"/>
  <c r="N42" i="36"/>
  <c r="N32" i="36"/>
  <c r="N30" i="36"/>
  <c r="N25" i="36"/>
  <c r="N24" i="36"/>
  <c r="N23" i="36"/>
  <c r="N21" i="36"/>
  <c r="N17" i="36"/>
  <c r="N15" i="36"/>
  <c r="N12" i="36"/>
  <c r="O93" i="36"/>
  <c r="N93" i="36"/>
  <c r="M93" i="36"/>
  <c r="L93" i="36"/>
  <c r="BD93" i="36"/>
  <c r="BC93" i="36"/>
  <c r="BB93" i="36"/>
  <c r="BA93" i="36"/>
  <c r="AZ93" i="36"/>
  <c r="AY93" i="36"/>
  <c r="AX93" i="36" s="1"/>
  <c r="D93" i="36"/>
  <c r="N142" i="40" l="1"/>
  <c r="T142" i="40" s="1"/>
  <c r="D52" i="47"/>
  <c r="G42" i="47"/>
  <c r="F42" i="47"/>
  <c r="L140" i="40"/>
  <c r="R140" i="40" s="1"/>
  <c r="D50" i="45"/>
  <c r="D7" i="44"/>
  <c r="D7" i="47"/>
  <c r="D7" i="46"/>
  <c r="D7" i="45"/>
  <c r="D9" i="45"/>
  <c r="D9" i="44"/>
  <c r="D9" i="47"/>
  <c r="D9" i="46"/>
  <c r="D7" i="43"/>
  <c r="D9" i="43"/>
  <c r="X140" i="40"/>
  <c r="AF34" i="39"/>
  <c r="AI10" i="39"/>
  <c r="AJ10" i="39"/>
  <c r="AK10" i="39" s="1"/>
  <c r="AF8" i="39"/>
  <c r="N132" i="40"/>
  <c r="H131" i="40"/>
  <c r="D41" i="47" s="1"/>
  <c r="O57" i="36"/>
  <c r="Z6" i="39"/>
  <c r="AA6" i="39" s="1"/>
  <c r="K55" i="36"/>
  <c r="N57" i="36"/>
  <c r="L57" i="36"/>
  <c r="M57" i="36"/>
  <c r="AT93" i="36"/>
  <c r="K93" i="36"/>
  <c r="AD140" i="40" l="1"/>
  <c r="X157" i="40"/>
  <c r="G52" i="47"/>
  <c r="F52" i="47"/>
  <c r="T132" i="40"/>
  <c r="AJ8" i="39"/>
  <c r="AK8" i="39" s="1"/>
  <c r="AF6" i="39"/>
  <c r="H127" i="40"/>
  <c r="N131" i="40"/>
  <c r="L90" i="36"/>
  <c r="N90" i="36"/>
  <c r="O90" i="36"/>
  <c r="M90" i="36"/>
  <c r="AJ140" i="40" l="1"/>
  <c r="AD157" i="40"/>
  <c r="N127" i="40"/>
  <c r="T127" i="40" s="1"/>
  <c r="D37" i="47"/>
  <c r="T131" i="40"/>
  <c r="M46" i="36"/>
  <c r="M76" i="36"/>
  <c r="M59" i="36"/>
  <c r="M56" i="36"/>
  <c r="M53" i="36"/>
  <c r="M74" i="36"/>
  <c r="M79" i="36"/>
  <c r="M85" i="36"/>
  <c r="M44" i="36"/>
  <c r="M81" i="36"/>
  <c r="M63" i="36"/>
  <c r="M65" i="36"/>
  <c r="M89" i="36"/>
  <c r="M62" i="36"/>
  <c r="M54" i="36"/>
  <c r="M77" i="36"/>
  <c r="M73" i="36"/>
  <c r="M88" i="36"/>
  <c r="M69" i="36"/>
  <c r="M78" i="36"/>
  <c r="M60" i="36"/>
  <c r="M86" i="36"/>
  <c r="M58" i="36"/>
  <c r="M82" i="36"/>
  <c r="M61" i="36"/>
  <c r="M87" i="36"/>
  <c r="M84" i="36"/>
  <c r="O54" i="36"/>
  <c r="O89" i="36"/>
  <c r="O86" i="36"/>
  <c r="O81" i="36"/>
  <c r="O76" i="36"/>
  <c r="O62" i="36"/>
  <c r="O58" i="36"/>
  <c r="O85" i="36"/>
  <c r="O74" i="36"/>
  <c r="O79" i="36"/>
  <c r="O61" i="36"/>
  <c r="O53" i="36"/>
  <c r="O60" i="36"/>
  <c r="O84" i="36"/>
  <c r="O56" i="36"/>
  <c r="O59" i="36"/>
  <c r="O63" i="36"/>
  <c r="O46" i="36"/>
  <c r="O65" i="36"/>
  <c r="O88" i="36"/>
  <c r="O87" i="36"/>
  <c r="O69" i="36"/>
  <c r="O73" i="36"/>
  <c r="O44" i="36"/>
  <c r="O77" i="36"/>
  <c r="O82" i="36"/>
  <c r="O78" i="36"/>
  <c r="N89" i="36"/>
  <c r="N85" i="36"/>
  <c r="N74" i="36"/>
  <c r="N53" i="36"/>
  <c r="N78" i="36"/>
  <c r="N73" i="36"/>
  <c r="N60" i="36"/>
  <c r="N56" i="36"/>
  <c r="N86" i="36"/>
  <c r="N54" i="36"/>
  <c r="N79" i="36"/>
  <c r="N61" i="36"/>
  <c r="N65" i="36"/>
  <c r="N88" i="36"/>
  <c r="N84" i="36"/>
  <c r="N46" i="36"/>
  <c r="N69" i="36"/>
  <c r="N44" i="36"/>
  <c r="N58" i="36"/>
  <c r="N77" i="36"/>
  <c r="N76" i="36"/>
  <c r="N81" i="36"/>
  <c r="N59" i="36"/>
  <c r="N82" i="36"/>
  <c r="N63" i="36"/>
  <c r="N87" i="36"/>
  <c r="N62" i="36"/>
  <c r="L76" i="36"/>
  <c r="L58" i="36"/>
  <c r="L62" i="36"/>
  <c r="L86" i="36"/>
  <c r="L81" i="36"/>
  <c r="L54" i="36"/>
  <c r="L79" i="36"/>
  <c r="L69" i="36"/>
  <c r="L87" i="36"/>
  <c r="L77" i="36"/>
  <c r="L73" i="36"/>
  <c r="L85" i="36"/>
  <c r="L59" i="36"/>
  <c r="L56" i="36"/>
  <c r="L60" i="36"/>
  <c r="L65" i="36"/>
  <c r="L88" i="36"/>
  <c r="L78" i="36"/>
  <c r="L61" i="36"/>
  <c r="L89" i="36"/>
  <c r="L63" i="36"/>
  <c r="L82" i="36"/>
  <c r="L44" i="36"/>
  <c r="L53" i="36"/>
  <c r="L74" i="36"/>
  <c r="L46" i="36"/>
  <c r="L84" i="36"/>
  <c r="K40" i="36"/>
  <c r="AP140" i="40" l="1"/>
  <c r="AJ157" i="40"/>
  <c r="K41" i="36"/>
  <c r="AP157" i="40" l="1"/>
  <c r="AV140" i="40"/>
  <c r="AV157" i="40" s="1"/>
  <c r="N14" i="36"/>
  <c r="O14" i="36" l="1"/>
  <c r="O32" i="36" l="1"/>
  <c r="M32" i="36"/>
  <c r="L20" i="36"/>
  <c r="L32" i="36" l="1"/>
  <c r="L12" i="36"/>
  <c r="K13" i="36" l="1"/>
  <c r="M13" i="36" l="1"/>
  <c r="N13" i="36"/>
  <c r="O13" i="36"/>
  <c r="L13" i="36"/>
  <c r="M12" i="36"/>
  <c r="O30" i="36" l="1"/>
  <c r="O25" i="36" l="1"/>
  <c r="L25" i="36" l="1"/>
  <c r="M25" i="36"/>
  <c r="M21" i="36" l="1"/>
  <c r="O21" i="36" l="1"/>
  <c r="O42" i="36"/>
  <c r="K31" i="36"/>
  <c r="M17" i="36"/>
  <c r="M24" i="36"/>
  <c r="M31" i="36" l="1"/>
  <c r="L31" i="36"/>
  <c r="O31" i="36"/>
  <c r="N31" i="36"/>
  <c r="K11" i="36"/>
  <c r="K18" i="36"/>
  <c r="K37" i="36"/>
  <c r="K36" i="36"/>
  <c r="K38" i="36"/>
  <c r="K16" i="36"/>
  <c r="O17" i="36"/>
  <c r="L17" i="36"/>
  <c r="M42" i="36"/>
  <c r="M43" i="36"/>
  <c r="O24" i="36"/>
  <c r="L21" i="36"/>
  <c r="K21" i="36" s="1"/>
  <c r="M16" i="36" l="1"/>
  <c r="N16" i="36"/>
  <c r="O16" i="36"/>
  <c r="L16" i="36"/>
  <c r="N18" i="36"/>
  <c r="O18" i="36"/>
  <c r="L18" i="36"/>
  <c r="M18" i="36"/>
  <c r="N36" i="36"/>
  <c r="O36" i="36"/>
  <c r="L36" i="36"/>
  <c r="M36" i="36"/>
  <c r="N38" i="36"/>
  <c r="L38" i="36"/>
  <c r="M38" i="36"/>
  <c r="O38" i="36"/>
  <c r="O37" i="36"/>
  <c r="L37" i="36"/>
  <c r="M37" i="36"/>
  <c r="N37" i="36"/>
  <c r="M11" i="36"/>
  <c r="N11" i="36"/>
  <c r="O11" i="36"/>
  <c r="L11" i="36"/>
  <c r="L42" i="36"/>
  <c r="L43" i="36"/>
  <c r="K43" i="36" s="1"/>
  <c r="M23" i="36" l="1"/>
  <c r="K19" i="36"/>
  <c r="L23" i="36"/>
  <c r="L24" i="36"/>
  <c r="O19" i="36" l="1"/>
  <c r="L19" i="36"/>
  <c r="M19" i="36"/>
  <c r="N19" i="36"/>
  <c r="O23" i="36"/>
  <c r="K131" i="36" l="1"/>
  <c r="K130" i="36"/>
  <c r="K128" i="36"/>
  <c r="K127" i="36"/>
  <c r="K126" i="36"/>
  <c r="K125" i="36"/>
  <c r="K124" i="36"/>
  <c r="K123" i="36"/>
  <c r="K121" i="36"/>
  <c r="K120" i="36"/>
  <c r="K119" i="36"/>
  <c r="K118" i="36"/>
  <c r="K116" i="36"/>
  <c r="K115" i="36"/>
  <c r="K113" i="36"/>
  <c r="K112" i="36"/>
  <c r="K108" i="36"/>
  <c r="K107" i="36"/>
  <c r="K106" i="36"/>
  <c r="K104" i="36"/>
  <c r="K103" i="36"/>
  <c r="K99" i="36"/>
  <c r="G143" i="36" l="1"/>
  <c r="K152" i="36" l="1"/>
  <c r="D152" i="36"/>
  <c r="N130" i="36" l="1"/>
  <c r="K80" i="36"/>
  <c r="N68" i="36"/>
  <c r="K51" i="36"/>
  <c r="K23" i="36"/>
  <c r="K14" i="36"/>
  <c r="K15" i="36"/>
  <c r="N131" i="36"/>
  <c r="N127" i="36"/>
  <c r="N126" i="36"/>
  <c r="N123" i="36"/>
  <c r="N121" i="36"/>
  <c r="N118" i="36"/>
  <c r="N116" i="36"/>
  <c r="N107" i="36"/>
  <c r="N103" i="36"/>
  <c r="N99" i="36"/>
  <c r="N70" i="36"/>
  <c r="H10" i="36"/>
  <c r="H22" i="36"/>
  <c r="H26" i="36"/>
  <c r="H39" i="36"/>
  <c r="H45" i="36"/>
  <c r="H68" i="36"/>
  <c r="H70" i="36"/>
  <c r="H75" i="36"/>
  <c r="H101" i="36"/>
  <c r="H109" i="36"/>
  <c r="H114" i="36"/>
  <c r="H117" i="36"/>
  <c r="H139" i="36"/>
  <c r="H138" i="36" s="1"/>
  <c r="D130" i="36"/>
  <c r="D129" i="36"/>
  <c r="D126" i="36"/>
  <c r="G117" i="36"/>
  <c r="D122" i="36"/>
  <c r="D119" i="36"/>
  <c r="D111" i="36"/>
  <c r="G109" i="36"/>
  <c r="D100" i="36"/>
  <c r="D89" i="36"/>
  <c r="D85" i="36"/>
  <c r="D81" i="36"/>
  <c r="D77" i="36"/>
  <c r="D73" i="36"/>
  <c r="G70" i="36"/>
  <c r="G68" i="36"/>
  <c r="D66" i="36"/>
  <c r="D63" i="36"/>
  <c r="D46" i="36"/>
  <c r="G39" i="36"/>
  <c r="D38" i="36"/>
  <c r="G26" i="36"/>
  <c r="D25" i="36"/>
  <c r="G139" i="36"/>
  <c r="G138" i="36" s="1"/>
  <c r="G114" i="36"/>
  <c r="G101" i="36"/>
  <c r="G75" i="36"/>
  <c r="G22" i="36"/>
  <c r="AT148" i="36"/>
  <c r="AT147" i="36"/>
  <c r="AT146" i="36"/>
  <c r="AT145" i="36"/>
  <c r="BD144" i="36"/>
  <c r="AT144" i="36"/>
  <c r="BA143" i="36"/>
  <c r="AT143" i="36"/>
  <c r="AZ142" i="36"/>
  <c r="AT142" i="36"/>
  <c r="AY141" i="36"/>
  <c r="AT141" i="36"/>
  <c r="F139" i="36"/>
  <c r="F138" i="36" s="1"/>
  <c r="E139" i="36"/>
  <c r="E138" i="36" s="1"/>
  <c r="BD137" i="36"/>
  <c r="BD139" i="36" s="1"/>
  <c r="BD138" i="36" s="1"/>
  <c r="BC137" i="36"/>
  <c r="BC139" i="36" s="1"/>
  <c r="BC138" i="36" s="1"/>
  <c r="BB137" i="36"/>
  <c r="BB139" i="36" s="1"/>
  <c r="BB138" i="36" s="1"/>
  <c r="BA137" i="36"/>
  <c r="BA139" i="36" s="1"/>
  <c r="BA138" i="36" s="1"/>
  <c r="AZ137" i="36"/>
  <c r="AZ139" i="36" s="1"/>
  <c r="AZ138" i="36" s="1"/>
  <c r="AY137" i="36"/>
  <c r="AY139" i="36" s="1"/>
  <c r="AY138" i="36" s="1"/>
  <c r="AT137" i="36"/>
  <c r="D137" i="36"/>
  <c r="BD135" i="36"/>
  <c r="BC135" i="36"/>
  <c r="BB135" i="36"/>
  <c r="BA135" i="36"/>
  <c r="AZ135" i="36"/>
  <c r="AY135" i="36"/>
  <c r="AX135" i="36" s="1"/>
  <c r="AT135" i="36"/>
  <c r="D135" i="36"/>
  <c r="AX134" i="36"/>
  <c r="AT134" i="36"/>
  <c r="D134" i="36"/>
  <c r="AX133" i="36"/>
  <c r="AT133" i="36"/>
  <c r="D133" i="36"/>
  <c r="BD132" i="36"/>
  <c r="BC132" i="36"/>
  <c r="BB132" i="36"/>
  <c r="BA132" i="36"/>
  <c r="AZ132" i="36"/>
  <c r="AY132" i="36"/>
  <c r="AX132" i="36" s="1"/>
  <c r="AT132" i="36"/>
  <c r="D132" i="36"/>
  <c r="BD131" i="36"/>
  <c r="BC131" i="36"/>
  <c r="BB131" i="36"/>
  <c r="BA131" i="36"/>
  <c r="AZ131" i="36"/>
  <c r="AY131" i="36"/>
  <c r="AX131" i="36" s="1"/>
  <c r="AT131" i="36"/>
  <c r="O131" i="36"/>
  <c r="M131" i="36"/>
  <c r="L131" i="36"/>
  <c r="D131" i="36"/>
  <c r="BD130" i="36"/>
  <c r="BC130" i="36"/>
  <c r="BB130" i="36"/>
  <c r="BA130" i="36"/>
  <c r="AZ130" i="36"/>
  <c r="AY130" i="36"/>
  <c r="AX130" i="36" s="1"/>
  <c r="AT130" i="36"/>
  <c r="O130" i="36"/>
  <c r="M130" i="36"/>
  <c r="L130" i="36"/>
  <c r="BD129" i="36"/>
  <c r="BC129" i="36"/>
  <c r="BB129" i="36"/>
  <c r="BA129" i="36"/>
  <c r="AZ129" i="36"/>
  <c r="AY129" i="36"/>
  <c r="AX129" i="36" s="1"/>
  <c r="AT129" i="36"/>
  <c r="BD128" i="36"/>
  <c r="BC128" i="36"/>
  <c r="BB128" i="36"/>
  <c r="BA128" i="36"/>
  <c r="AZ128" i="36"/>
  <c r="AY128" i="36"/>
  <c r="AX128" i="36" s="1"/>
  <c r="AT128" i="36"/>
  <c r="O128" i="36"/>
  <c r="M128" i="36"/>
  <c r="L128" i="36"/>
  <c r="D128" i="36"/>
  <c r="BD127" i="36"/>
  <c r="BC127" i="36"/>
  <c r="BB127" i="36"/>
  <c r="BA127" i="36"/>
  <c r="AZ127" i="36"/>
  <c r="AY127" i="36"/>
  <c r="AX127" i="36" s="1"/>
  <c r="AT127" i="36"/>
  <c r="O127" i="36"/>
  <c r="M127" i="36"/>
  <c r="L127" i="36"/>
  <c r="D127" i="36"/>
  <c r="BD126" i="36"/>
  <c r="BC126" i="36"/>
  <c r="BB126" i="36"/>
  <c r="BA126" i="36"/>
  <c r="AZ126" i="36"/>
  <c r="AY126" i="36"/>
  <c r="AX126" i="36" s="1"/>
  <c r="AT126" i="36"/>
  <c r="O126" i="36"/>
  <c r="M126" i="36"/>
  <c r="L126" i="36"/>
  <c r="BD125" i="36"/>
  <c r="BC125" i="36"/>
  <c r="BB125" i="36"/>
  <c r="BA125" i="36"/>
  <c r="AZ125" i="36"/>
  <c r="AY125" i="36"/>
  <c r="AX125" i="36" s="1"/>
  <c r="AT125" i="36"/>
  <c r="O125" i="36"/>
  <c r="M125" i="36"/>
  <c r="L125" i="36"/>
  <c r="D125" i="36"/>
  <c r="BD124" i="36"/>
  <c r="BC124" i="36"/>
  <c r="BB124" i="36"/>
  <c r="BA124" i="36"/>
  <c r="AZ124" i="36"/>
  <c r="AY124" i="36"/>
  <c r="AX124" i="36" s="1"/>
  <c r="AT124" i="36"/>
  <c r="O124" i="36"/>
  <c r="M124" i="36"/>
  <c r="L124" i="36"/>
  <c r="D124" i="36"/>
  <c r="BD123" i="36"/>
  <c r="BC123" i="36"/>
  <c r="BB123" i="36"/>
  <c r="BA123" i="36"/>
  <c r="AZ123" i="36"/>
  <c r="AY123" i="36"/>
  <c r="AX123" i="36" s="1"/>
  <c r="AT123" i="36"/>
  <c r="O123" i="36"/>
  <c r="M123" i="36"/>
  <c r="L123" i="36"/>
  <c r="D123" i="36"/>
  <c r="BD122" i="36"/>
  <c r="BC122" i="36"/>
  <c r="BB122" i="36"/>
  <c r="BA122" i="36"/>
  <c r="AZ122" i="36"/>
  <c r="AY122" i="36"/>
  <c r="AX122" i="36" s="1"/>
  <c r="AT122" i="36"/>
  <c r="BD121" i="36"/>
  <c r="BC121" i="36"/>
  <c r="BB121" i="36"/>
  <c r="BA121" i="36"/>
  <c r="AZ121" i="36"/>
  <c r="AY121" i="36"/>
  <c r="AX121" i="36" s="1"/>
  <c r="AT121" i="36"/>
  <c r="O121" i="36"/>
  <c r="M121" i="36"/>
  <c r="L121" i="36"/>
  <c r="D121" i="36"/>
  <c r="BD120" i="36"/>
  <c r="BC120" i="36"/>
  <c r="BB120" i="36"/>
  <c r="BA120" i="36"/>
  <c r="AZ120" i="36"/>
  <c r="AY120" i="36"/>
  <c r="AX120" i="36" s="1"/>
  <c r="AT120" i="36"/>
  <c r="O120" i="36"/>
  <c r="M120" i="36"/>
  <c r="L120" i="36"/>
  <c r="D120" i="36"/>
  <c r="BD119" i="36"/>
  <c r="BC119" i="36"/>
  <c r="BB119" i="36"/>
  <c r="BA119" i="36"/>
  <c r="AZ119" i="36"/>
  <c r="AY119" i="36"/>
  <c r="AX119" i="36" s="1"/>
  <c r="AT119" i="36"/>
  <c r="M119" i="36"/>
  <c r="L119" i="36"/>
  <c r="BD118" i="36"/>
  <c r="BD117" i="36" s="1"/>
  <c r="BC118" i="36"/>
  <c r="BC117" i="36" s="1"/>
  <c r="BB118" i="36"/>
  <c r="BB117" i="36" s="1"/>
  <c r="BA118" i="36"/>
  <c r="BA117" i="36" s="1"/>
  <c r="AZ118" i="36"/>
  <c r="AZ117" i="36" s="1"/>
  <c r="AY118" i="36"/>
  <c r="AT118" i="36"/>
  <c r="O118" i="36"/>
  <c r="M118" i="36"/>
  <c r="L118" i="36"/>
  <c r="D118" i="36"/>
  <c r="F117" i="36"/>
  <c r="E117" i="36"/>
  <c r="BD116" i="36"/>
  <c r="BC116" i="36"/>
  <c r="BB116" i="36"/>
  <c r="BA116" i="36"/>
  <c r="AZ116" i="36"/>
  <c r="AY116" i="36"/>
  <c r="AX116" i="36" s="1"/>
  <c r="AT116" i="36"/>
  <c r="O116" i="36"/>
  <c r="M116" i="36"/>
  <c r="L116" i="36"/>
  <c r="D116" i="36"/>
  <c r="BD115" i="36"/>
  <c r="BD114" i="36" s="1"/>
  <c r="BC115" i="36"/>
  <c r="BC114" i="36" s="1"/>
  <c r="BB115" i="36"/>
  <c r="BB114" i="36" s="1"/>
  <c r="BA115" i="36"/>
  <c r="BA114" i="36" s="1"/>
  <c r="AZ115" i="36"/>
  <c r="AZ114" i="36" s="1"/>
  <c r="AY115" i="36"/>
  <c r="AT115" i="36"/>
  <c r="O115" i="36"/>
  <c r="M115" i="36"/>
  <c r="L115" i="36"/>
  <c r="D115" i="36"/>
  <c r="F114" i="36"/>
  <c r="E114" i="36"/>
  <c r="BD113" i="36"/>
  <c r="BC113" i="36"/>
  <c r="BB113" i="36"/>
  <c r="BA113" i="36"/>
  <c r="AZ113" i="36"/>
  <c r="AY113" i="36"/>
  <c r="AX113" i="36" s="1"/>
  <c r="AT113" i="36"/>
  <c r="O113" i="36"/>
  <c r="M113" i="36"/>
  <c r="L113" i="36"/>
  <c r="D113" i="36"/>
  <c r="AX112" i="36"/>
  <c r="D112" i="36"/>
  <c r="BD111" i="36"/>
  <c r="BC111" i="36"/>
  <c r="BB111" i="36"/>
  <c r="BA111" i="36"/>
  <c r="AZ111" i="36"/>
  <c r="AY111" i="36"/>
  <c r="AX111" i="36" s="1"/>
  <c r="AT111" i="36"/>
  <c r="BD110" i="36"/>
  <c r="BD109" i="36" s="1"/>
  <c r="BC110" i="36"/>
  <c r="BC109" i="36" s="1"/>
  <c r="BB110" i="36"/>
  <c r="BB109" i="36" s="1"/>
  <c r="BA110" i="36"/>
  <c r="BA109" i="36" s="1"/>
  <c r="AZ110" i="36"/>
  <c r="AZ109" i="36" s="1"/>
  <c r="AY110" i="36"/>
  <c r="AY109" i="36" s="1"/>
  <c r="AX109" i="36" s="1"/>
  <c r="AT110" i="36"/>
  <c r="AT109" i="36" s="1"/>
  <c r="D110" i="36"/>
  <c r="F109" i="36"/>
  <c r="E109" i="36"/>
  <c r="AX108" i="36"/>
  <c r="D108" i="36"/>
  <c r="BD107" i="36"/>
  <c r="BC107" i="36"/>
  <c r="BB107" i="36"/>
  <c r="BA107" i="36"/>
  <c r="AZ107" i="36"/>
  <c r="AY107" i="36"/>
  <c r="AX107" i="36" s="1"/>
  <c r="AT107" i="36"/>
  <c r="O107" i="36"/>
  <c r="M107" i="36"/>
  <c r="L107" i="36"/>
  <c r="D107" i="36"/>
  <c r="BD106" i="36"/>
  <c r="BC106" i="36"/>
  <c r="BB106" i="36"/>
  <c r="BA106" i="36"/>
  <c r="AZ106" i="36"/>
  <c r="AY106" i="36"/>
  <c r="AX106" i="36" s="1"/>
  <c r="AT106" i="36"/>
  <c r="O106" i="36"/>
  <c r="M106" i="36"/>
  <c r="L106" i="36"/>
  <c r="D106" i="36"/>
  <c r="BD105" i="36"/>
  <c r="BC105" i="36"/>
  <c r="BB105" i="36"/>
  <c r="BA105" i="36"/>
  <c r="AZ105" i="36"/>
  <c r="AY105" i="36"/>
  <c r="AX105" i="36" s="1"/>
  <c r="AT105" i="36"/>
  <c r="D105" i="36"/>
  <c r="BD104" i="36"/>
  <c r="BC104" i="36"/>
  <c r="BB104" i="36"/>
  <c r="BA104" i="36"/>
  <c r="AZ104" i="36"/>
  <c r="AY104" i="36"/>
  <c r="AX104" i="36" s="1"/>
  <c r="AT104" i="36"/>
  <c r="O104" i="36"/>
  <c r="M104" i="36"/>
  <c r="L104" i="36"/>
  <c r="D104" i="36"/>
  <c r="BD103" i="36"/>
  <c r="BD101" i="36" s="1"/>
  <c r="BC103" i="36"/>
  <c r="BC101" i="36" s="1"/>
  <c r="BB103" i="36"/>
  <c r="BB101" i="36" s="1"/>
  <c r="BA103" i="36"/>
  <c r="BA101" i="36" s="1"/>
  <c r="AZ103" i="36"/>
  <c r="AZ101" i="36" s="1"/>
  <c r="AY103" i="36"/>
  <c r="AX103" i="36" s="1"/>
  <c r="AX101" i="36" s="1"/>
  <c r="AT103" i="36"/>
  <c r="AT101" i="36" s="1"/>
  <c r="O103" i="36"/>
  <c r="M103" i="36"/>
  <c r="L103" i="36"/>
  <c r="D103" i="36"/>
  <c r="K101" i="36"/>
  <c r="F101" i="36"/>
  <c r="E101" i="36"/>
  <c r="BD100" i="36"/>
  <c r="BC100" i="36"/>
  <c r="BB100" i="36"/>
  <c r="BA100" i="36"/>
  <c r="AZ100" i="36"/>
  <c r="AY100" i="36"/>
  <c r="AX100" i="36" s="1"/>
  <c r="AT100" i="36"/>
  <c r="BD99" i="36"/>
  <c r="BC99" i="36"/>
  <c r="BB99" i="36"/>
  <c r="BA99" i="36"/>
  <c r="AZ99" i="36"/>
  <c r="AY99" i="36"/>
  <c r="AX99" i="36" s="1"/>
  <c r="AT99" i="36"/>
  <c r="O99" i="36"/>
  <c r="M99" i="36"/>
  <c r="L99" i="36"/>
  <c r="D99" i="36"/>
  <c r="BD98" i="36"/>
  <c r="BC98" i="36"/>
  <c r="BB98" i="36"/>
  <c r="BA98" i="36"/>
  <c r="AZ98" i="36"/>
  <c r="AY98" i="36"/>
  <c r="AX98" i="36" s="1"/>
  <c r="AT98" i="36"/>
  <c r="D98" i="36"/>
  <c r="BD97" i="36"/>
  <c r="BC97" i="36"/>
  <c r="BB97" i="36"/>
  <c r="BA97" i="36"/>
  <c r="AZ97" i="36"/>
  <c r="AY97" i="36"/>
  <c r="AT97" i="36"/>
  <c r="D97" i="36"/>
  <c r="BD92" i="36"/>
  <c r="BC92" i="36"/>
  <c r="BB92" i="36"/>
  <c r="BA92" i="36"/>
  <c r="AZ92" i="36"/>
  <c r="AY92" i="36"/>
  <c r="AX92" i="36" s="1"/>
  <c r="BD91" i="36"/>
  <c r="BC91" i="36"/>
  <c r="BB91" i="36"/>
  <c r="BA91" i="36"/>
  <c r="AZ91" i="36"/>
  <c r="AY91" i="36"/>
  <c r="AX91" i="36" s="1"/>
  <c r="BD90" i="36"/>
  <c r="BC90" i="36"/>
  <c r="BB90" i="36"/>
  <c r="BA90" i="36"/>
  <c r="AZ90" i="36"/>
  <c r="AY90" i="36"/>
  <c r="AX90" i="36" s="1"/>
  <c r="K90" i="36"/>
  <c r="BD89" i="36"/>
  <c r="BC89" i="36"/>
  <c r="BB89" i="36"/>
  <c r="BA89" i="36"/>
  <c r="AZ89" i="36"/>
  <c r="AY89" i="36"/>
  <c r="AX89" i="36" s="1"/>
  <c r="AT89" i="36"/>
  <c r="BD88" i="36"/>
  <c r="BC88" i="36"/>
  <c r="BB88" i="36"/>
  <c r="BA88" i="36"/>
  <c r="AZ88" i="36"/>
  <c r="AY88" i="36"/>
  <c r="AX88" i="36" s="1"/>
  <c r="AT88" i="36"/>
  <c r="D88" i="36"/>
  <c r="BD87" i="36"/>
  <c r="BC87" i="36"/>
  <c r="BB87" i="36"/>
  <c r="BA87" i="36"/>
  <c r="AZ87" i="36"/>
  <c r="AY87" i="36"/>
  <c r="AX87" i="36" s="1"/>
  <c r="AT87" i="36"/>
  <c r="D87" i="36"/>
  <c r="BD86" i="36"/>
  <c r="BC86" i="36"/>
  <c r="BB86" i="36"/>
  <c r="BA86" i="36"/>
  <c r="AZ86" i="36"/>
  <c r="AY86" i="36"/>
  <c r="AX86" i="36" s="1"/>
  <c r="AT86" i="36"/>
  <c r="D86" i="36"/>
  <c r="BD85" i="36"/>
  <c r="BC85" i="36"/>
  <c r="BB85" i="36"/>
  <c r="BA85" i="36"/>
  <c r="AZ85" i="36"/>
  <c r="AY85" i="36"/>
  <c r="AX85" i="36" s="1"/>
  <c r="AT85" i="36"/>
  <c r="BD84" i="36"/>
  <c r="BC84" i="36"/>
  <c r="BB84" i="36"/>
  <c r="BA84" i="36"/>
  <c r="AZ84" i="36"/>
  <c r="AY84" i="36"/>
  <c r="AX84" i="36" s="1"/>
  <c r="AT84" i="36"/>
  <c r="D84" i="36"/>
  <c r="BD83" i="36"/>
  <c r="BC83" i="36"/>
  <c r="BB83" i="36"/>
  <c r="BA83" i="36"/>
  <c r="AZ83" i="36"/>
  <c r="AY83" i="36"/>
  <c r="AX83" i="36" s="1"/>
  <c r="AT83" i="36"/>
  <c r="K83" i="36"/>
  <c r="D83" i="36"/>
  <c r="BD82" i="36"/>
  <c r="BC82" i="36"/>
  <c r="BB82" i="36"/>
  <c r="BA82" i="36"/>
  <c r="AZ82" i="36"/>
  <c r="AY82" i="36"/>
  <c r="AX82" i="36" s="1"/>
  <c r="AT82" i="36"/>
  <c r="D82" i="36"/>
  <c r="BD81" i="36"/>
  <c r="BC81" i="36"/>
  <c r="BB81" i="36"/>
  <c r="BA81" i="36"/>
  <c r="AZ81" i="36"/>
  <c r="AY81" i="36"/>
  <c r="AX81" i="36" s="1"/>
  <c r="AT81" i="36"/>
  <c r="BD80" i="36"/>
  <c r="BC80" i="36"/>
  <c r="BB80" i="36"/>
  <c r="BA80" i="36"/>
  <c r="AZ80" i="36"/>
  <c r="AY80" i="36"/>
  <c r="AX80" i="36" s="1"/>
  <c r="AT80" i="36"/>
  <c r="D80" i="36"/>
  <c r="BD79" i="36"/>
  <c r="BC79" i="36"/>
  <c r="BB79" i="36"/>
  <c r="BA79" i="36"/>
  <c r="AZ79" i="36"/>
  <c r="AY79" i="36"/>
  <c r="AX79" i="36" s="1"/>
  <c r="AT79" i="36"/>
  <c r="D79" i="36"/>
  <c r="BD78" i="36"/>
  <c r="BC78" i="36"/>
  <c r="BB78" i="36"/>
  <c r="BA78" i="36"/>
  <c r="AZ78" i="36"/>
  <c r="AY78" i="36"/>
  <c r="AX78" i="36" s="1"/>
  <c r="AT78" i="36"/>
  <c r="D78" i="36"/>
  <c r="BD77" i="36"/>
  <c r="BC77" i="36"/>
  <c r="BB77" i="36"/>
  <c r="BA77" i="36"/>
  <c r="AZ77" i="36"/>
  <c r="AY77" i="36"/>
  <c r="AX77" i="36" s="1"/>
  <c r="AT77" i="36"/>
  <c r="BD76" i="36"/>
  <c r="BD75" i="36" s="1"/>
  <c r="BC76" i="36"/>
  <c r="BC75" i="36" s="1"/>
  <c r="BB76" i="36"/>
  <c r="BB75" i="36" s="1"/>
  <c r="BA76" i="36"/>
  <c r="BA75" i="36" s="1"/>
  <c r="AZ76" i="36"/>
  <c r="AZ75" i="36" s="1"/>
  <c r="AY76" i="36"/>
  <c r="AY75" i="36" s="1"/>
  <c r="AT76" i="36"/>
  <c r="D76" i="36"/>
  <c r="O75" i="36"/>
  <c r="M75" i="36"/>
  <c r="L75" i="36"/>
  <c r="F75" i="36"/>
  <c r="E75" i="36"/>
  <c r="BD74" i="36"/>
  <c r="BC74" i="36"/>
  <c r="BB74" i="36"/>
  <c r="BA74" i="36"/>
  <c r="AZ74" i="36"/>
  <c r="AY74" i="36"/>
  <c r="AX74" i="36" s="1"/>
  <c r="AT74" i="36"/>
  <c r="D74" i="36"/>
  <c r="BD73" i="36"/>
  <c r="BC73" i="36"/>
  <c r="BB73" i="36"/>
  <c r="BA73" i="36"/>
  <c r="AZ73" i="36"/>
  <c r="AY73" i="36"/>
  <c r="AX73" i="36" s="1"/>
  <c r="AT73" i="36"/>
  <c r="BD72" i="36"/>
  <c r="BC72" i="36"/>
  <c r="BB72" i="36"/>
  <c r="BA72" i="36"/>
  <c r="AZ72" i="36"/>
  <c r="AY72" i="36"/>
  <c r="AX72" i="36" s="1"/>
  <c r="AT72" i="36"/>
  <c r="K72" i="36"/>
  <c r="D72" i="36"/>
  <c r="BD71" i="36"/>
  <c r="BD70" i="36" s="1"/>
  <c r="BC71" i="36"/>
  <c r="BC70" i="36" s="1"/>
  <c r="BB71" i="36"/>
  <c r="BB70" i="36" s="1"/>
  <c r="BA71" i="36"/>
  <c r="BA70" i="36" s="1"/>
  <c r="AZ71" i="36"/>
  <c r="AZ70" i="36" s="1"/>
  <c r="AY71" i="36"/>
  <c r="AX71" i="36" s="1"/>
  <c r="AT71" i="36"/>
  <c r="AT70" i="36" s="1"/>
  <c r="K71" i="36"/>
  <c r="D71" i="36"/>
  <c r="AY70" i="36"/>
  <c r="AX70" i="36" s="1"/>
  <c r="O70" i="36"/>
  <c r="M70" i="36"/>
  <c r="L70" i="36"/>
  <c r="F70" i="36"/>
  <c r="E70" i="36"/>
  <c r="BD69" i="36"/>
  <c r="BD68" i="36" s="1"/>
  <c r="BC69" i="36"/>
  <c r="BC68" i="36" s="1"/>
  <c r="BB69" i="36"/>
  <c r="BB68" i="36" s="1"/>
  <c r="BA69" i="36"/>
  <c r="BA68" i="36" s="1"/>
  <c r="AZ69" i="36"/>
  <c r="AZ68" i="36" s="1"/>
  <c r="AY69" i="36"/>
  <c r="AX69" i="36" s="1"/>
  <c r="AT69" i="36"/>
  <c r="AT68" i="36" s="1"/>
  <c r="D69" i="36"/>
  <c r="O68" i="36"/>
  <c r="M68" i="36"/>
  <c r="L68" i="36"/>
  <c r="F68" i="36"/>
  <c r="E68" i="36"/>
  <c r="BD67" i="36"/>
  <c r="BC67" i="36"/>
  <c r="BB67" i="36"/>
  <c r="BA67" i="36"/>
  <c r="AZ67" i="36"/>
  <c r="AY67" i="36"/>
  <c r="AX67" i="36" s="1"/>
  <c r="AT67" i="36"/>
  <c r="D67" i="36"/>
  <c r="BD66" i="36"/>
  <c r="BC66" i="36"/>
  <c r="BB66" i="36"/>
  <c r="BA66" i="36"/>
  <c r="AZ66" i="36"/>
  <c r="AY66" i="36"/>
  <c r="AX66" i="36" s="1"/>
  <c r="AT66" i="36"/>
  <c r="K66" i="36"/>
  <c r="BD65" i="36"/>
  <c r="BC65" i="36"/>
  <c r="BB65" i="36"/>
  <c r="BA65" i="36"/>
  <c r="AZ65" i="36"/>
  <c r="AY65" i="36"/>
  <c r="AX65" i="36" s="1"/>
  <c r="AT65" i="36"/>
  <c r="D65" i="36"/>
  <c r="BD64" i="36"/>
  <c r="BC64" i="36"/>
  <c r="BB64" i="36"/>
  <c r="BA64" i="36"/>
  <c r="AZ64" i="36"/>
  <c r="AY64" i="36"/>
  <c r="AX64" i="36" s="1"/>
  <c r="AT64" i="36"/>
  <c r="K64" i="36"/>
  <c r="D64" i="36"/>
  <c r="BD63" i="36"/>
  <c r="BC63" i="36"/>
  <c r="BB63" i="36"/>
  <c r="BA63" i="36"/>
  <c r="AZ63" i="36"/>
  <c r="AY63" i="36"/>
  <c r="AX63" i="36" s="1"/>
  <c r="AT63" i="36"/>
  <c r="BD62" i="36"/>
  <c r="BC62" i="36"/>
  <c r="BB62" i="36"/>
  <c r="BA62" i="36"/>
  <c r="AZ62" i="36"/>
  <c r="AY62" i="36"/>
  <c r="AX62" i="36" s="1"/>
  <c r="AT62" i="36"/>
  <c r="D62" i="36"/>
  <c r="BD61" i="36"/>
  <c r="BC61" i="36"/>
  <c r="BB61" i="36"/>
  <c r="BA61" i="36"/>
  <c r="AZ61" i="36"/>
  <c r="AY61" i="36"/>
  <c r="AX61" i="36" s="1"/>
  <c r="AT61" i="36"/>
  <c r="D61" i="36"/>
  <c r="BD60" i="36"/>
  <c r="BC60" i="36"/>
  <c r="BB60" i="36"/>
  <c r="BA60" i="36"/>
  <c r="AZ60" i="36"/>
  <c r="AY60" i="36"/>
  <c r="AX60" i="36" s="1"/>
  <c r="AT60" i="36"/>
  <c r="D60" i="36"/>
  <c r="BD59" i="36"/>
  <c r="BC59" i="36"/>
  <c r="BB59" i="36"/>
  <c r="BA59" i="36"/>
  <c r="AZ59" i="36"/>
  <c r="AY59" i="36"/>
  <c r="AX59" i="36" s="1"/>
  <c r="AT59" i="36"/>
  <c r="D59" i="36"/>
  <c r="BD58" i="36"/>
  <c r="BC58" i="36"/>
  <c r="BB58" i="36"/>
  <c r="BA58" i="36"/>
  <c r="AZ58" i="36"/>
  <c r="AY58" i="36"/>
  <c r="AX58" i="36" s="1"/>
  <c r="AT58" i="36"/>
  <c r="D58" i="36"/>
  <c r="BD57" i="36"/>
  <c r="BC57" i="36"/>
  <c r="BB57" i="36"/>
  <c r="BA57" i="36"/>
  <c r="AZ57" i="36"/>
  <c r="AY57" i="36"/>
  <c r="AX57" i="36" s="1"/>
  <c r="AT57" i="36"/>
  <c r="D57" i="36"/>
  <c r="BD56" i="36"/>
  <c r="BC56" i="36"/>
  <c r="BB56" i="36"/>
  <c r="BA56" i="36"/>
  <c r="AZ56" i="36"/>
  <c r="AY56" i="36"/>
  <c r="AX56" i="36" s="1"/>
  <c r="AT56" i="36"/>
  <c r="D56" i="36"/>
  <c r="BD55" i="36"/>
  <c r="BC55" i="36"/>
  <c r="BB55" i="36"/>
  <c r="BA55" i="36"/>
  <c r="AZ55" i="36"/>
  <c r="AY55" i="36"/>
  <c r="AX55" i="36" s="1"/>
  <c r="AT55" i="36"/>
  <c r="D55" i="36"/>
  <c r="BD54" i="36"/>
  <c r="BC54" i="36"/>
  <c r="BB54" i="36"/>
  <c r="BA54" i="36"/>
  <c r="AZ54" i="36"/>
  <c r="AY54" i="36"/>
  <c r="AX54" i="36" s="1"/>
  <c r="AT54" i="36"/>
  <c r="D54" i="36"/>
  <c r="BD53" i="36"/>
  <c r="BC53" i="36"/>
  <c r="BB53" i="36"/>
  <c r="BA53" i="36"/>
  <c r="AZ53" i="36"/>
  <c r="AY53" i="36"/>
  <c r="AX53" i="36" s="1"/>
  <c r="AT53" i="36"/>
  <c r="D53" i="36"/>
  <c r="BD52" i="36"/>
  <c r="BC52" i="36"/>
  <c r="BB52" i="36"/>
  <c r="BA52" i="36"/>
  <c r="AZ52" i="36"/>
  <c r="AY52" i="36"/>
  <c r="AX52" i="36" s="1"/>
  <c r="AT52" i="36"/>
  <c r="K52" i="36"/>
  <c r="D52" i="36"/>
  <c r="BD51" i="36"/>
  <c r="BC51" i="36"/>
  <c r="BB51" i="36"/>
  <c r="BA51" i="36"/>
  <c r="AZ51" i="36"/>
  <c r="AY51" i="36"/>
  <c r="AX51" i="36" s="1"/>
  <c r="AT51" i="36"/>
  <c r="D51" i="36"/>
  <c r="BD50" i="36"/>
  <c r="BC50" i="36"/>
  <c r="BB50" i="36"/>
  <c r="BA50" i="36"/>
  <c r="AZ50" i="36"/>
  <c r="AY50" i="36"/>
  <c r="AX50" i="36" s="1"/>
  <c r="AT50" i="36"/>
  <c r="K50" i="36"/>
  <c r="D50" i="36"/>
  <c r="BD49" i="36"/>
  <c r="BC49" i="36"/>
  <c r="BB49" i="36"/>
  <c r="BA49" i="36"/>
  <c r="AZ49" i="36"/>
  <c r="AY49" i="36"/>
  <c r="AX49" i="36" s="1"/>
  <c r="AT49" i="36"/>
  <c r="K49" i="36"/>
  <c r="D49" i="36"/>
  <c r="BD48" i="36"/>
  <c r="BC48" i="36"/>
  <c r="BB48" i="36"/>
  <c r="BA48" i="36"/>
  <c r="AZ48" i="36"/>
  <c r="AY48" i="36"/>
  <c r="AX48" i="36" s="1"/>
  <c r="AT48" i="36"/>
  <c r="K48" i="36"/>
  <c r="D48" i="36"/>
  <c r="BD47" i="36"/>
  <c r="BC47" i="36"/>
  <c r="BB47" i="36"/>
  <c r="BA47" i="36"/>
  <c r="AZ47" i="36"/>
  <c r="AY47" i="36"/>
  <c r="AX47" i="36" s="1"/>
  <c r="AT47" i="36"/>
  <c r="K47" i="36"/>
  <c r="D47" i="36"/>
  <c r="BD46" i="36"/>
  <c r="BD45" i="36" s="1"/>
  <c r="BC46" i="36"/>
  <c r="BC45" i="36" s="1"/>
  <c r="BB46" i="36"/>
  <c r="BB45" i="36" s="1"/>
  <c r="BA46" i="36"/>
  <c r="BA45" i="36" s="1"/>
  <c r="AZ46" i="36"/>
  <c r="AZ45" i="36" s="1"/>
  <c r="AY46" i="36"/>
  <c r="AX46" i="36" s="1"/>
  <c r="AT46" i="36"/>
  <c r="O45" i="36"/>
  <c r="M45" i="36"/>
  <c r="L45" i="36"/>
  <c r="F45" i="36"/>
  <c r="E45" i="36"/>
  <c r="BD44" i="36"/>
  <c r="BC44" i="36"/>
  <c r="BB44" i="36"/>
  <c r="BA44" i="36"/>
  <c r="AZ44" i="36"/>
  <c r="AY44" i="36"/>
  <c r="AX44" i="36" s="1"/>
  <c r="AT44" i="36"/>
  <c r="D44" i="36"/>
  <c r="BD43" i="36"/>
  <c r="BC43" i="36"/>
  <c r="BB43" i="36"/>
  <c r="BA43" i="36"/>
  <c r="AZ43" i="36"/>
  <c r="AY43" i="36"/>
  <c r="AX43" i="36" s="1"/>
  <c r="AT43" i="36"/>
  <c r="D43" i="36"/>
  <c r="BD42" i="36"/>
  <c r="BC42" i="36"/>
  <c r="BB42" i="36"/>
  <c r="BA42" i="36"/>
  <c r="AZ42" i="36"/>
  <c r="AY42" i="36"/>
  <c r="AX42" i="36" s="1"/>
  <c r="AT42" i="36"/>
  <c r="K42" i="36"/>
  <c r="D42" i="36"/>
  <c r="BD41" i="36"/>
  <c r="BC41" i="36"/>
  <c r="BB41" i="36"/>
  <c r="BA41" i="36"/>
  <c r="AZ41" i="36"/>
  <c r="AY41" i="36"/>
  <c r="AX41" i="36" s="1"/>
  <c r="AT41" i="36"/>
  <c r="D41" i="36"/>
  <c r="BD40" i="36"/>
  <c r="BD39" i="36" s="1"/>
  <c r="BC40" i="36"/>
  <c r="BC39" i="36" s="1"/>
  <c r="BB40" i="36"/>
  <c r="BB39" i="36" s="1"/>
  <c r="BA40" i="36"/>
  <c r="BA39" i="36" s="1"/>
  <c r="AZ40" i="36"/>
  <c r="AZ39" i="36" s="1"/>
  <c r="AY40" i="36"/>
  <c r="AX40" i="36" s="1"/>
  <c r="AT40" i="36"/>
  <c r="AT39" i="36" s="1"/>
  <c r="D40" i="36"/>
  <c r="F39" i="36"/>
  <c r="E39" i="36"/>
  <c r="BD38" i="36"/>
  <c r="BC38" i="36"/>
  <c r="BB38" i="36"/>
  <c r="BA38" i="36"/>
  <c r="AZ38" i="36"/>
  <c r="AY38" i="36"/>
  <c r="AX38" i="36" s="1"/>
  <c r="AT38" i="36"/>
  <c r="BD37" i="36"/>
  <c r="BC37" i="36"/>
  <c r="BB37" i="36"/>
  <c r="BA37" i="36"/>
  <c r="AZ37" i="36"/>
  <c r="AY37" i="36"/>
  <c r="AX37" i="36" s="1"/>
  <c r="AT37" i="36"/>
  <c r="D37" i="36"/>
  <c r="BD36" i="36"/>
  <c r="BC36" i="36"/>
  <c r="BB36" i="36"/>
  <c r="BA36" i="36"/>
  <c r="AZ36" i="36"/>
  <c r="AY36" i="36"/>
  <c r="AX36" i="36" s="1"/>
  <c r="AT36" i="36"/>
  <c r="D36" i="36"/>
  <c r="AX33" i="36"/>
  <c r="K33" i="36"/>
  <c r="D33" i="36"/>
  <c r="BD32" i="36"/>
  <c r="BC32" i="36"/>
  <c r="BB32" i="36"/>
  <c r="BA32" i="36"/>
  <c r="AZ32" i="36"/>
  <c r="AY32" i="36"/>
  <c r="AX32" i="36" s="1"/>
  <c r="AT32" i="36"/>
  <c r="K32" i="36"/>
  <c r="D32" i="36"/>
  <c r="BD31" i="36"/>
  <c r="BC31" i="36"/>
  <c r="BB31" i="36"/>
  <c r="BA31" i="36"/>
  <c r="AZ31" i="36"/>
  <c r="AY31" i="36"/>
  <c r="AX31" i="36" s="1"/>
  <c r="AT31" i="36"/>
  <c r="D31" i="36"/>
  <c r="BD30" i="36"/>
  <c r="BC30" i="36"/>
  <c r="BB30" i="36"/>
  <c r="BA30" i="36"/>
  <c r="AZ30" i="36"/>
  <c r="AY30" i="36"/>
  <c r="AX30" i="36" s="1"/>
  <c r="AT30" i="36"/>
  <c r="K30" i="36"/>
  <c r="BD29" i="36"/>
  <c r="BC29" i="36"/>
  <c r="BB29" i="36"/>
  <c r="BA29" i="36"/>
  <c r="AZ29" i="36"/>
  <c r="AY29" i="36"/>
  <c r="AX29" i="36" s="1"/>
  <c r="AT29" i="36"/>
  <c r="D29" i="36"/>
  <c r="BD28" i="36"/>
  <c r="BD26" i="36" s="1"/>
  <c r="BC28" i="36"/>
  <c r="BC26" i="36" s="1"/>
  <c r="BB28" i="36"/>
  <c r="BB26" i="36" s="1"/>
  <c r="BA28" i="36"/>
  <c r="BA26" i="36" s="1"/>
  <c r="AZ28" i="36"/>
  <c r="AZ26" i="36" s="1"/>
  <c r="AY28" i="36"/>
  <c r="AX28" i="36" s="1"/>
  <c r="AX26" i="36" s="1"/>
  <c r="AT28" i="36"/>
  <c r="AT26" i="36" s="1"/>
  <c r="D28" i="36"/>
  <c r="F26" i="36"/>
  <c r="E26" i="36"/>
  <c r="BD25" i="36"/>
  <c r="BC25" i="36"/>
  <c r="BB25" i="36"/>
  <c r="BA25" i="36"/>
  <c r="AZ25" i="36"/>
  <c r="AY25" i="36"/>
  <c r="AX25" i="36" s="1"/>
  <c r="AT25" i="36"/>
  <c r="K25" i="36"/>
  <c r="BD24" i="36"/>
  <c r="BC24" i="36"/>
  <c r="BB24" i="36"/>
  <c r="BA24" i="36"/>
  <c r="AZ24" i="36"/>
  <c r="AY24" i="36"/>
  <c r="AX24" i="36" s="1"/>
  <c r="AT24" i="36"/>
  <c r="K24" i="36"/>
  <c r="D24" i="36"/>
  <c r="BD23" i="36"/>
  <c r="BC23" i="36"/>
  <c r="BB23" i="36"/>
  <c r="BA23" i="36"/>
  <c r="AZ23" i="36"/>
  <c r="AY23" i="36"/>
  <c r="AX23" i="36" s="1"/>
  <c r="AT23" i="36"/>
  <c r="D23" i="36"/>
  <c r="AT22" i="36"/>
  <c r="O22" i="36"/>
  <c r="M22" i="36"/>
  <c r="L22" i="36"/>
  <c r="F22" i="36"/>
  <c r="E22" i="36"/>
  <c r="BD21" i="36"/>
  <c r="BC21" i="36"/>
  <c r="BB21" i="36"/>
  <c r="BA21" i="36"/>
  <c r="AZ21" i="36"/>
  <c r="AY21" i="36"/>
  <c r="AX21" i="36" s="1"/>
  <c r="AT21" i="36"/>
  <c r="D21" i="36"/>
  <c r="BD20" i="36"/>
  <c r="BC20" i="36"/>
  <c r="BB20" i="36"/>
  <c r="BA20" i="36"/>
  <c r="AZ20" i="36"/>
  <c r="AY20" i="36"/>
  <c r="AX20" i="36" s="1"/>
  <c r="AT20" i="36"/>
  <c r="K20" i="36"/>
  <c r="D20" i="36"/>
  <c r="BD19" i="36"/>
  <c r="BC19" i="36"/>
  <c r="BB19" i="36"/>
  <c r="BA19" i="36"/>
  <c r="AZ19" i="36"/>
  <c r="AY19" i="36"/>
  <c r="AX19" i="36" s="1"/>
  <c r="AT19" i="36"/>
  <c r="D19" i="36"/>
  <c r="BD18" i="36"/>
  <c r="BC18" i="36"/>
  <c r="BB18" i="36"/>
  <c r="BA18" i="36"/>
  <c r="AZ18" i="36"/>
  <c r="AY18" i="36"/>
  <c r="AX18" i="36" s="1"/>
  <c r="AT18" i="36"/>
  <c r="D18" i="36"/>
  <c r="BD17" i="36"/>
  <c r="BC17" i="36"/>
  <c r="BB17" i="36"/>
  <c r="BA17" i="36"/>
  <c r="AZ17" i="36"/>
  <c r="AY17" i="36"/>
  <c r="AX17" i="36" s="1"/>
  <c r="AT17" i="36"/>
  <c r="K17" i="36"/>
  <c r="D17" i="36"/>
  <c r="BD16" i="36"/>
  <c r="BC16" i="36"/>
  <c r="BB16" i="36"/>
  <c r="BA16" i="36"/>
  <c r="AZ16" i="36"/>
  <c r="AY16" i="36"/>
  <c r="AX16" i="36" s="1"/>
  <c r="AT16" i="36"/>
  <c r="D16" i="36"/>
  <c r="BD15" i="36"/>
  <c r="BC15" i="36"/>
  <c r="BB15" i="36"/>
  <c r="BA15" i="36"/>
  <c r="AZ15" i="36"/>
  <c r="AY15" i="36"/>
  <c r="AX15" i="36" s="1"/>
  <c r="AT15" i="36"/>
  <c r="BD14" i="36"/>
  <c r="BC14" i="36"/>
  <c r="BB14" i="36"/>
  <c r="BA14" i="36"/>
  <c r="AZ14" i="36"/>
  <c r="AY14" i="36"/>
  <c r="AX14" i="36" s="1"/>
  <c r="AT14" i="36"/>
  <c r="D14" i="36"/>
  <c r="BD13" i="36"/>
  <c r="BC13" i="36"/>
  <c r="BB13" i="36"/>
  <c r="BA13" i="36"/>
  <c r="AZ13" i="36"/>
  <c r="AY13" i="36"/>
  <c r="AX13" i="36" s="1"/>
  <c r="AT13" i="36"/>
  <c r="D13" i="36"/>
  <c r="BD12" i="36"/>
  <c r="BC12" i="36"/>
  <c r="BB12" i="36"/>
  <c r="BA12" i="36"/>
  <c r="AZ12" i="36"/>
  <c r="AY12" i="36"/>
  <c r="AX12" i="36" s="1"/>
  <c r="AT12" i="36"/>
  <c r="K12" i="36"/>
  <c r="D12" i="36"/>
  <c r="BD11" i="36"/>
  <c r="BD10" i="36" s="1"/>
  <c r="BC11" i="36"/>
  <c r="BC10" i="36" s="1"/>
  <c r="BB11" i="36"/>
  <c r="BB10" i="36" s="1"/>
  <c r="BA11" i="36"/>
  <c r="BA10" i="36" s="1"/>
  <c r="AZ11" i="36"/>
  <c r="AZ10" i="36" s="1"/>
  <c r="AY11" i="36"/>
  <c r="AY10" i="36" s="1"/>
  <c r="AT11" i="36"/>
  <c r="D11" i="36"/>
  <c r="O10" i="36"/>
  <c r="M10" i="36"/>
  <c r="L10" i="36"/>
  <c r="F10" i="36"/>
  <c r="E10" i="36"/>
  <c r="AY26" i="36" l="1"/>
  <c r="AU108" i="36"/>
  <c r="K114" i="36"/>
  <c r="D139" i="36"/>
  <c r="H92" i="36"/>
  <c r="AV112" i="36"/>
  <c r="AY39" i="36"/>
  <c r="AX39" i="36" s="1"/>
  <c r="N104" i="36"/>
  <c r="N113" i="36"/>
  <c r="N119" i="36"/>
  <c r="N124" i="36"/>
  <c r="N128" i="36"/>
  <c r="N106" i="36"/>
  <c r="N115" i="36"/>
  <c r="N114" i="36" s="1"/>
  <c r="N120" i="36"/>
  <c r="N125" i="36"/>
  <c r="N10" i="36"/>
  <c r="N75" i="36"/>
  <c r="N22" i="36"/>
  <c r="K22" i="36" s="1"/>
  <c r="BC22" i="36"/>
  <c r="BC8" i="36" s="1"/>
  <c r="AV53" i="36"/>
  <c r="AV41" i="36"/>
  <c r="L8" i="36"/>
  <c r="BB22" i="36"/>
  <c r="BB8" i="36" s="1"/>
  <c r="AZ22" i="36"/>
  <c r="AZ8" i="36" s="1"/>
  <c r="E8" i="36"/>
  <c r="AV87" i="36"/>
  <c r="AX110" i="36"/>
  <c r="AX137" i="36"/>
  <c r="AX139" i="36" s="1"/>
  <c r="AX138" i="36" s="1"/>
  <c r="M8" i="36"/>
  <c r="AU120" i="36"/>
  <c r="AU132" i="36"/>
  <c r="O8" i="36"/>
  <c r="AX76" i="36"/>
  <c r="AX75" i="36" s="1"/>
  <c r="M101" i="36"/>
  <c r="M114" i="36"/>
  <c r="O114" i="36"/>
  <c r="AU147" i="36"/>
  <c r="AV20" i="36"/>
  <c r="AU59" i="36"/>
  <c r="AV61" i="36"/>
  <c r="AV13" i="36"/>
  <c r="AU14" i="36"/>
  <c r="AV17" i="36"/>
  <c r="AV36" i="36"/>
  <c r="AU49" i="36"/>
  <c r="AU57" i="36"/>
  <c r="H34" i="36"/>
  <c r="H95" i="36"/>
  <c r="H94" i="36" s="1"/>
  <c r="AU18" i="36"/>
  <c r="AU56" i="36"/>
  <c r="H8" i="36"/>
  <c r="AV12" i="36"/>
  <c r="AU61" i="36"/>
  <c r="AY101" i="36"/>
  <c r="O101" i="36"/>
  <c r="AU124" i="36"/>
  <c r="F8" i="36"/>
  <c r="AX11" i="36"/>
  <c r="AX10" i="36" s="1"/>
  <c r="AU28" i="36"/>
  <c r="AU42" i="36"/>
  <c r="AU47" i="36"/>
  <c r="AU58" i="36"/>
  <c r="AY68" i="36"/>
  <c r="AX68" i="36" s="1"/>
  <c r="AU71" i="36"/>
  <c r="AV79" i="36"/>
  <c r="AV108" i="36"/>
  <c r="BA22" i="36"/>
  <c r="BA8" i="36" s="1"/>
  <c r="AZ95" i="36"/>
  <c r="AZ94" i="36" s="1"/>
  <c r="BD95" i="36"/>
  <c r="BD94" i="36" s="1"/>
  <c r="BB95" i="36"/>
  <c r="BB94" i="36" s="1"/>
  <c r="E95" i="36"/>
  <c r="E94" i="36" s="1"/>
  <c r="AU105" i="36"/>
  <c r="BD22" i="36"/>
  <c r="BD8" i="36" s="1"/>
  <c r="AZ34" i="36"/>
  <c r="BD34" i="36"/>
  <c r="E34" i="36"/>
  <c r="L101" i="36"/>
  <c r="AV85" i="36"/>
  <c r="BC95" i="36"/>
  <c r="BC94" i="36" s="1"/>
  <c r="AV89" i="36"/>
  <c r="BA34" i="36"/>
  <c r="AU43" i="36"/>
  <c r="F34" i="36"/>
  <c r="BC34" i="36"/>
  <c r="AU50" i="36"/>
  <c r="AU53" i="36"/>
  <c r="AU55" i="36"/>
  <c r="AV67" i="36"/>
  <c r="K70" i="36"/>
  <c r="AU74" i="36"/>
  <c r="AT91" i="36"/>
  <c r="AU99" i="36"/>
  <c r="L114" i="36"/>
  <c r="AU128" i="36"/>
  <c r="AV77" i="36"/>
  <c r="AV16" i="36"/>
  <c r="AU23" i="36"/>
  <c r="AU32" i="36"/>
  <c r="AU36" i="36"/>
  <c r="AU40" i="36"/>
  <c r="AU48" i="36"/>
  <c r="AU51" i="36"/>
  <c r="AU65" i="36"/>
  <c r="K68" i="36"/>
  <c r="AV83" i="36"/>
  <c r="BA95" i="36"/>
  <c r="BA94" i="36" s="1"/>
  <c r="AU134" i="36"/>
  <c r="AV81" i="36"/>
  <c r="AV132" i="36"/>
  <c r="D101" i="36"/>
  <c r="AV71" i="36"/>
  <c r="AV55" i="36"/>
  <c r="AV47" i="36"/>
  <c r="AV124" i="36"/>
  <c r="AV120" i="36"/>
  <c r="AV111" i="36"/>
  <c r="AV99" i="36"/>
  <c r="G95" i="36"/>
  <c r="G94" i="36" s="1"/>
  <c r="AV74" i="36"/>
  <c r="AU69" i="36"/>
  <c r="AU63" i="36"/>
  <c r="AV63" i="36"/>
  <c r="AV65" i="36"/>
  <c r="G45" i="36"/>
  <c r="G34" i="36" s="1"/>
  <c r="AV58" i="36"/>
  <c r="AU60" i="36"/>
  <c r="AV60" i="36"/>
  <c r="AV52" i="36"/>
  <c r="AV50" i="36"/>
  <c r="AU52" i="36"/>
  <c r="AV43" i="36"/>
  <c r="AV40" i="36"/>
  <c r="AU38" i="36"/>
  <c r="AV38" i="36"/>
  <c r="D30" i="36"/>
  <c r="AU25" i="36"/>
  <c r="AV25" i="36"/>
  <c r="AV23" i="36"/>
  <c r="AV21" i="36"/>
  <c r="G10" i="36"/>
  <c r="G8" i="36" s="1"/>
  <c r="D15" i="36"/>
  <c r="AU16" i="36"/>
  <c r="AV14" i="36"/>
  <c r="AV18" i="36"/>
  <c r="AV28" i="36"/>
  <c r="AU103" i="36"/>
  <c r="AU116" i="36"/>
  <c r="AU135" i="36"/>
  <c r="AU12" i="36"/>
  <c r="AU20" i="36"/>
  <c r="AV44" i="36"/>
  <c r="AV48" i="36"/>
  <c r="AV51" i="36"/>
  <c r="AV56" i="36"/>
  <c r="AV59" i="36"/>
  <c r="AU67" i="36"/>
  <c r="AV69" i="36"/>
  <c r="D70" i="36"/>
  <c r="AV73" i="36"/>
  <c r="AU111" i="36"/>
  <c r="AV113" i="36"/>
  <c r="O119" i="36"/>
  <c r="AV128" i="36"/>
  <c r="AV32" i="36"/>
  <c r="AU72" i="36"/>
  <c r="AU73" i="36"/>
  <c r="AV104" i="36"/>
  <c r="AU127" i="36"/>
  <c r="G92" i="36"/>
  <c r="AV11" i="36"/>
  <c r="AV19" i="36"/>
  <c r="AV37" i="36"/>
  <c r="AV42" i="36"/>
  <c r="AU44" i="36"/>
  <c r="AV46" i="36"/>
  <c r="AV49" i="36"/>
  <c r="AV54" i="36"/>
  <c r="AV57" i="36"/>
  <c r="AV76" i="36"/>
  <c r="AU77" i="36"/>
  <c r="AV78" i="36"/>
  <c r="AU79" i="36"/>
  <c r="AV80" i="36"/>
  <c r="AU81" i="36"/>
  <c r="AV82" i="36"/>
  <c r="AU83" i="36"/>
  <c r="AV84" i="36"/>
  <c r="AU85" i="36"/>
  <c r="AV86" i="36"/>
  <c r="AU87" i="36"/>
  <c r="AV88" i="36"/>
  <c r="AU89" i="36"/>
  <c r="AU98" i="36"/>
  <c r="AU113" i="36"/>
  <c r="AU123" i="36"/>
  <c r="AV134" i="36"/>
  <c r="AU37" i="36"/>
  <c r="AU46" i="36"/>
  <c r="AU54" i="36"/>
  <c r="AU62" i="36"/>
  <c r="AV64" i="36"/>
  <c r="AV72" i="36"/>
  <c r="AU76" i="36"/>
  <c r="AU78" i="36"/>
  <c r="AU80" i="36"/>
  <c r="AU82" i="36"/>
  <c r="AU84" i="36"/>
  <c r="AU86" i="36"/>
  <c r="AU88" i="36"/>
  <c r="AV105" i="36"/>
  <c r="AV106" i="36"/>
  <c r="AU119" i="36"/>
  <c r="AU131" i="36"/>
  <c r="D39" i="36"/>
  <c r="D68" i="36"/>
  <c r="D22" i="36"/>
  <c r="AU29" i="36"/>
  <c r="AU31" i="36"/>
  <c r="K10" i="36"/>
  <c r="AU11" i="36"/>
  <c r="AU13" i="36"/>
  <c r="AU17" i="36"/>
  <c r="AU19" i="36"/>
  <c r="AU21" i="36"/>
  <c r="AY22" i="36"/>
  <c r="AX22" i="36" s="1"/>
  <c r="AV24" i="36"/>
  <c r="BB34" i="36"/>
  <c r="AU66" i="36"/>
  <c r="AT10" i="36"/>
  <c r="AU24" i="36"/>
  <c r="AV29" i="36"/>
  <c r="AV31" i="36"/>
  <c r="AT45" i="36"/>
  <c r="AY45" i="36"/>
  <c r="AU100" i="36"/>
  <c r="AV100" i="36"/>
  <c r="AV107" i="36"/>
  <c r="AV133" i="36"/>
  <c r="AU133" i="36"/>
  <c r="F92" i="36"/>
  <c r="E92" i="36"/>
  <c r="AU41" i="36"/>
  <c r="AU64" i="36"/>
  <c r="AT90" i="36"/>
  <c r="AT92" i="36"/>
  <c r="AV97" i="36"/>
  <c r="AU97" i="36"/>
  <c r="AU107" i="36"/>
  <c r="F95" i="36"/>
  <c r="F94" i="36" s="1"/>
  <c r="D109" i="36"/>
  <c r="AV118" i="36"/>
  <c r="AT117" i="36"/>
  <c r="AU118" i="36"/>
  <c r="AV62" i="36"/>
  <c r="AV66" i="36"/>
  <c r="AX97" i="36"/>
  <c r="D117" i="36"/>
  <c r="AU137" i="36"/>
  <c r="AT139" i="36"/>
  <c r="AT138" i="36" s="1"/>
  <c r="AV98" i="36"/>
  <c r="AV103" i="36"/>
  <c r="AU104" i="36"/>
  <c r="AU112" i="36"/>
  <c r="AV115" i="36"/>
  <c r="AT114" i="36"/>
  <c r="AX118" i="36"/>
  <c r="AX117" i="36" s="1"/>
  <c r="AY117" i="36"/>
  <c r="AU129" i="36"/>
  <c r="AV129" i="36"/>
  <c r="AV130" i="36"/>
  <c r="AU130" i="36"/>
  <c r="AV110" i="36"/>
  <c r="AX115" i="36"/>
  <c r="AX114" i="36" s="1"/>
  <c r="AY114" i="36"/>
  <c r="AU125" i="36"/>
  <c r="AV125" i="36"/>
  <c r="AV126" i="36"/>
  <c r="AU126" i="36"/>
  <c r="D75" i="36"/>
  <c r="AT75" i="36"/>
  <c r="AU110" i="36"/>
  <c r="AU121" i="36"/>
  <c r="AV121" i="36"/>
  <c r="AV122" i="36"/>
  <c r="AU122" i="36"/>
  <c r="AU106" i="36"/>
  <c r="D114" i="36"/>
  <c r="AU115" i="36"/>
  <c r="AV116" i="36"/>
  <c r="AV119" i="36"/>
  <c r="AV123" i="36"/>
  <c r="AV127" i="36"/>
  <c r="AV131" i="36"/>
  <c r="AV135" i="36"/>
  <c r="L40" i="36" l="1"/>
  <c r="L41" i="36"/>
  <c r="N40" i="36"/>
  <c r="N41" i="36"/>
  <c r="K92" i="36"/>
  <c r="O40" i="36"/>
  <c r="O41" i="36"/>
  <c r="M40" i="36"/>
  <c r="M41" i="36"/>
  <c r="AV30" i="36"/>
  <c r="AU70" i="36"/>
  <c r="D138" i="36"/>
  <c r="N101" i="36"/>
  <c r="E6" i="36"/>
  <c r="E136" i="36" s="1"/>
  <c r="K75" i="36"/>
  <c r="D45" i="36"/>
  <c r="N8" i="36"/>
  <c r="AX8" i="36"/>
  <c r="H6" i="36"/>
  <c r="H136" i="36" s="1"/>
  <c r="BB6" i="36"/>
  <c r="BB136" i="36" s="1"/>
  <c r="BB140" i="36" s="1"/>
  <c r="D10" i="36"/>
  <c r="AU15" i="36"/>
  <c r="F6" i="36"/>
  <c r="F136" i="36" s="1"/>
  <c r="AZ6" i="36"/>
  <c r="AZ136" i="36" s="1"/>
  <c r="AZ140" i="36" s="1"/>
  <c r="AZ146" i="36" s="1"/>
  <c r="AU101" i="36"/>
  <c r="BC6" i="36"/>
  <c r="BC136" i="36" s="1"/>
  <c r="BC140" i="36" s="1"/>
  <c r="AY95" i="36"/>
  <c r="AY94" i="36" s="1"/>
  <c r="BA6" i="36"/>
  <c r="BA136" i="36" s="1"/>
  <c r="BA140" i="36" s="1"/>
  <c r="BA147" i="36" s="1"/>
  <c r="BD6" i="36"/>
  <c r="BD136" i="36" s="1"/>
  <c r="BD140" i="36" s="1"/>
  <c r="BD148" i="36" s="1"/>
  <c r="AU30" i="36"/>
  <c r="AY8" i="36"/>
  <c r="AV101" i="36"/>
  <c r="AV70" i="36"/>
  <c r="AU68" i="36"/>
  <c r="AV68" i="36"/>
  <c r="AU39" i="36"/>
  <c r="AV39" i="36"/>
  <c r="D34" i="36"/>
  <c r="G6" i="36"/>
  <c r="G136" i="36" s="1"/>
  <c r="D26" i="36"/>
  <c r="AV15" i="36"/>
  <c r="AU22" i="36"/>
  <c r="AV22" i="36"/>
  <c r="AU117" i="36"/>
  <c r="AU139" i="36"/>
  <c r="AU114" i="36"/>
  <c r="AV75" i="36"/>
  <c r="AV114" i="36"/>
  <c r="AV117" i="36"/>
  <c r="AT95" i="36"/>
  <c r="AT34" i="36"/>
  <c r="AU75" i="36"/>
  <c r="AX95" i="36"/>
  <c r="AX94" i="36" s="1"/>
  <c r="D92" i="36"/>
  <c r="AT8" i="36"/>
  <c r="D95" i="36"/>
  <c r="AU109" i="36"/>
  <c r="AV109" i="36"/>
  <c r="AY34" i="36"/>
  <c r="AX34" i="36" s="1"/>
  <c r="AX45" i="36"/>
  <c r="K8" i="36"/>
  <c r="O136" i="33"/>
  <c r="O131" i="39" s="1"/>
  <c r="P136" i="33"/>
  <c r="Q136" i="33"/>
  <c r="R136" i="33"/>
  <c r="S136" i="33"/>
  <c r="O98" i="33"/>
  <c r="O93" i="39" s="1"/>
  <c r="AJ93" i="39" s="1"/>
  <c r="AK93" i="39" s="1"/>
  <c r="N99" i="33"/>
  <c r="N94" i="39" s="1"/>
  <c r="P98" i="33"/>
  <c r="Q98" i="33"/>
  <c r="R98" i="33"/>
  <c r="S98" i="33"/>
  <c r="N98" i="33"/>
  <c r="N93" i="39" s="1"/>
  <c r="M93" i="39" l="1"/>
  <c r="M39" i="36"/>
  <c r="M34" i="36" s="1"/>
  <c r="N39" i="36"/>
  <c r="O39" i="36"/>
  <c r="O34" i="36" s="1"/>
  <c r="L39" i="36"/>
  <c r="L34" i="36" s="1"/>
  <c r="F140" i="36"/>
  <c r="F146" i="36" s="1"/>
  <c r="AU146" i="36" s="1"/>
  <c r="H140" i="36"/>
  <c r="H148" i="36" s="1"/>
  <c r="AU148" i="36" s="1"/>
  <c r="E140" i="36"/>
  <c r="E145" i="36" s="1"/>
  <c r="AU145" i="36" s="1"/>
  <c r="G140" i="36"/>
  <c r="G147" i="36" s="1"/>
  <c r="AU138" i="36"/>
  <c r="AV10" i="36"/>
  <c r="AX6" i="36"/>
  <c r="AX136" i="36" s="1"/>
  <c r="AX140" i="36" s="1"/>
  <c r="AU45" i="36"/>
  <c r="AV45" i="36"/>
  <c r="AU10" i="36"/>
  <c r="D8" i="36"/>
  <c r="AU26" i="36"/>
  <c r="F90" i="36"/>
  <c r="H90" i="36"/>
  <c r="E90" i="36"/>
  <c r="AV26" i="36"/>
  <c r="AV34" i="36"/>
  <c r="G90" i="36"/>
  <c r="AU34" i="36"/>
  <c r="AV95" i="36"/>
  <c r="AT94" i="36"/>
  <c r="AT6" i="36"/>
  <c r="D94" i="36"/>
  <c r="AU95" i="36"/>
  <c r="AY6" i="36"/>
  <c r="AY136" i="36" s="1"/>
  <c r="AY140" i="36" s="1"/>
  <c r="AY145" i="36" s="1"/>
  <c r="O150" i="35"/>
  <c r="N150" i="35"/>
  <c r="O148" i="35"/>
  <c r="N148" i="35"/>
  <c r="O138" i="35"/>
  <c r="N137" i="35"/>
  <c r="M137" i="35" s="1"/>
  <c r="K135" i="35"/>
  <c r="K134" i="35" s="1"/>
  <c r="J135" i="35"/>
  <c r="J134" i="35" s="1"/>
  <c r="I135" i="35"/>
  <c r="I134" i="35" s="1"/>
  <c r="H135" i="35"/>
  <c r="H134" i="35" s="1"/>
  <c r="G135" i="35"/>
  <c r="G134" i="35" s="1"/>
  <c r="F135" i="35"/>
  <c r="X133" i="35"/>
  <c r="W133" i="35"/>
  <c r="W135" i="35" s="1"/>
  <c r="W134" i="35" s="1"/>
  <c r="E133" i="35"/>
  <c r="D133" i="35"/>
  <c r="D135" i="35" s="1"/>
  <c r="D134" i="35" s="1"/>
  <c r="X131" i="35"/>
  <c r="W131" i="35"/>
  <c r="E131" i="35"/>
  <c r="D131" i="35"/>
  <c r="O130" i="35"/>
  <c r="N130" i="35"/>
  <c r="E130" i="35"/>
  <c r="D130" i="35"/>
  <c r="O129" i="35"/>
  <c r="N129" i="35"/>
  <c r="E129" i="35"/>
  <c r="Z129" i="35" s="1"/>
  <c r="D129" i="35"/>
  <c r="V128" i="35"/>
  <c r="E128" i="35"/>
  <c r="D128" i="35"/>
  <c r="V127" i="35"/>
  <c r="E127" i="35"/>
  <c r="D127" i="35"/>
  <c r="V126" i="35"/>
  <c r="E126" i="35"/>
  <c r="D126" i="35"/>
  <c r="V125" i="35"/>
  <c r="E125" i="35"/>
  <c r="D125" i="35"/>
  <c r="V124" i="35"/>
  <c r="E124" i="35"/>
  <c r="D124" i="35"/>
  <c r="V123" i="35"/>
  <c r="E123" i="35"/>
  <c r="D123" i="35"/>
  <c r="E122" i="35"/>
  <c r="D122" i="35"/>
  <c r="V121" i="35"/>
  <c r="E121" i="35"/>
  <c r="D121" i="35"/>
  <c r="V120" i="35"/>
  <c r="E120" i="35"/>
  <c r="D120" i="35"/>
  <c r="V119" i="35"/>
  <c r="E119" i="35"/>
  <c r="D119" i="35"/>
  <c r="V118" i="35"/>
  <c r="Z118" i="35" s="1"/>
  <c r="E118" i="35"/>
  <c r="D118" i="35"/>
  <c r="V117" i="35"/>
  <c r="E117" i="35"/>
  <c r="D117" i="35"/>
  <c r="V116" i="35"/>
  <c r="E116" i="35"/>
  <c r="D116" i="35"/>
  <c r="V115" i="35"/>
  <c r="E115" i="35"/>
  <c r="D115" i="35"/>
  <c r="V114" i="35"/>
  <c r="Z114" i="35" s="1"/>
  <c r="E114" i="35"/>
  <c r="D114" i="35"/>
  <c r="K113" i="35"/>
  <c r="J113" i="35"/>
  <c r="I113" i="35"/>
  <c r="H113" i="35"/>
  <c r="G113" i="35"/>
  <c r="F113" i="35"/>
  <c r="X110" i="35"/>
  <c r="W110" i="35"/>
  <c r="V112" i="35"/>
  <c r="E112" i="35"/>
  <c r="D112" i="35"/>
  <c r="V111" i="35"/>
  <c r="E111" i="35"/>
  <c r="D111" i="35"/>
  <c r="K110" i="35"/>
  <c r="J110" i="35"/>
  <c r="I110" i="35"/>
  <c r="H110" i="35"/>
  <c r="G110" i="35"/>
  <c r="F110" i="35"/>
  <c r="E109" i="35"/>
  <c r="D109" i="35"/>
  <c r="X108" i="35"/>
  <c r="W108" i="35"/>
  <c r="O108" i="35"/>
  <c r="N108" i="35"/>
  <c r="E108" i="35"/>
  <c r="D108" i="35"/>
  <c r="V107" i="35"/>
  <c r="E107" i="35"/>
  <c r="D107" i="35"/>
  <c r="V106" i="35"/>
  <c r="E106" i="35"/>
  <c r="D106" i="35"/>
  <c r="K105" i="35"/>
  <c r="J105" i="35"/>
  <c r="I105" i="35"/>
  <c r="H105" i="35"/>
  <c r="G105" i="35"/>
  <c r="F105" i="35"/>
  <c r="X104" i="35"/>
  <c r="W104" i="35"/>
  <c r="AA104" i="35"/>
  <c r="P104" i="35"/>
  <c r="O104" i="35"/>
  <c r="N104" i="35"/>
  <c r="D104" i="35"/>
  <c r="E103" i="35"/>
  <c r="D103" i="35"/>
  <c r="V102" i="35"/>
  <c r="Z102" i="35" s="1"/>
  <c r="E102" i="35"/>
  <c r="D102" i="35"/>
  <c r="V101" i="35"/>
  <c r="O101" i="35"/>
  <c r="N101" i="35"/>
  <c r="E101" i="35"/>
  <c r="D101" i="35"/>
  <c r="V100" i="35"/>
  <c r="Z100" i="35" s="1"/>
  <c r="E100" i="35"/>
  <c r="D100" i="35"/>
  <c r="V99" i="35"/>
  <c r="E99" i="35"/>
  <c r="D99" i="35"/>
  <c r="P98" i="35"/>
  <c r="X97" i="35"/>
  <c r="W97" i="35"/>
  <c r="K97" i="35"/>
  <c r="J97" i="35"/>
  <c r="I97" i="35"/>
  <c r="H97" i="35"/>
  <c r="G97" i="35"/>
  <c r="F97" i="35"/>
  <c r="E96" i="35"/>
  <c r="D96" i="35"/>
  <c r="E95" i="35"/>
  <c r="D95" i="35"/>
  <c r="V94" i="35"/>
  <c r="E94" i="35"/>
  <c r="D94" i="35"/>
  <c r="V93" i="35"/>
  <c r="E93" i="35"/>
  <c r="D93" i="35"/>
  <c r="V89" i="35"/>
  <c r="O89" i="35"/>
  <c r="N89" i="35"/>
  <c r="E89" i="35"/>
  <c r="D89" i="35"/>
  <c r="V88" i="35"/>
  <c r="O88" i="35"/>
  <c r="N88" i="35"/>
  <c r="E88" i="35"/>
  <c r="D88" i="35"/>
  <c r="V87" i="35"/>
  <c r="O87" i="35"/>
  <c r="N87" i="35"/>
  <c r="E87" i="35"/>
  <c r="D87" i="35"/>
  <c r="V86" i="35"/>
  <c r="Z86" i="35" s="1"/>
  <c r="O86" i="35"/>
  <c r="N86" i="35"/>
  <c r="E86" i="35"/>
  <c r="D86" i="35"/>
  <c r="O85" i="35"/>
  <c r="X85" i="35" s="1"/>
  <c r="X75" i="35" s="1"/>
  <c r="N85" i="35"/>
  <c r="W85" i="35" s="1"/>
  <c r="E85" i="35"/>
  <c r="D85" i="35"/>
  <c r="V84" i="35"/>
  <c r="O84" i="35"/>
  <c r="N84" i="35"/>
  <c r="E84" i="35"/>
  <c r="D84" i="35"/>
  <c r="O83" i="35"/>
  <c r="N83" i="35"/>
  <c r="E83" i="35"/>
  <c r="D83" i="35"/>
  <c r="V82" i="35"/>
  <c r="O82" i="35"/>
  <c r="N82" i="35"/>
  <c r="E82" i="35"/>
  <c r="D82" i="35"/>
  <c r="V81" i="35"/>
  <c r="O81" i="35"/>
  <c r="N81" i="35"/>
  <c r="E81" i="35"/>
  <c r="D81" i="35"/>
  <c r="V80" i="35"/>
  <c r="Z80" i="35" s="1"/>
  <c r="E80" i="35"/>
  <c r="D80" i="35"/>
  <c r="V79" i="35"/>
  <c r="O79" i="35"/>
  <c r="N79" i="35"/>
  <c r="E79" i="35"/>
  <c r="D79" i="35"/>
  <c r="V78" i="35"/>
  <c r="Z78" i="35" s="1"/>
  <c r="O78" i="35"/>
  <c r="N78" i="35"/>
  <c r="E78" i="35"/>
  <c r="D78" i="35"/>
  <c r="V77" i="35"/>
  <c r="O77" i="35"/>
  <c r="N77" i="35"/>
  <c r="E77" i="35"/>
  <c r="D77" i="35"/>
  <c r="V76" i="35"/>
  <c r="O76" i="35"/>
  <c r="N76" i="35"/>
  <c r="E76" i="35"/>
  <c r="D76" i="35"/>
  <c r="K75" i="35"/>
  <c r="J75" i="35"/>
  <c r="I75" i="35"/>
  <c r="H75" i="35"/>
  <c r="G75" i="35"/>
  <c r="F75" i="35"/>
  <c r="V74" i="35"/>
  <c r="O74" i="35"/>
  <c r="N74" i="35"/>
  <c r="E74" i="35"/>
  <c r="D74" i="35"/>
  <c r="V73" i="35"/>
  <c r="O73" i="35"/>
  <c r="N73" i="35"/>
  <c r="E73" i="35"/>
  <c r="D73" i="35"/>
  <c r="V72" i="35"/>
  <c r="O72" i="35"/>
  <c r="N72" i="35"/>
  <c r="E72" i="35"/>
  <c r="D72" i="35"/>
  <c r="V71" i="35"/>
  <c r="Z71" i="35" s="1"/>
  <c r="O71" i="35"/>
  <c r="N71" i="35"/>
  <c r="E71" i="35"/>
  <c r="D71" i="35"/>
  <c r="X70" i="35"/>
  <c r="W70" i="35"/>
  <c r="K70" i="35"/>
  <c r="J70" i="35"/>
  <c r="I70" i="35"/>
  <c r="H70" i="35"/>
  <c r="G70" i="35"/>
  <c r="F70" i="35"/>
  <c r="V69" i="35"/>
  <c r="O69" i="35"/>
  <c r="N69" i="35"/>
  <c r="E69" i="35"/>
  <c r="D69" i="35"/>
  <c r="X68" i="35"/>
  <c r="W68" i="35"/>
  <c r="K68" i="35"/>
  <c r="J68" i="35"/>
  <c r="I68" i="35"/>
  <c r="H68" i="35"/>
  <c r="G68" i="35"/>
  <c r="F68" i="35"/>
  <c r="X67" i="35"/>
  <c r="W67" i="35"/>
  <c r="E67" i="35"/>
  <c r="Z67" i="35" s="1"/>
  <c r="D67" i="35"/>
  <c r="X66" i="35"/>
  <c r="W66" i="35"/>
  <c r="O66" i="35"/>
  <c r="N66" i="35"/>
  <c r="E66" i="35"/>
  <c r="Z66" i="35" s="1"/>
  <c r="D66" i="35"/>
  <c r="V65" i="35"/>
  <c r="Z65" i="35" s="1"/>
  <c r="O65" i="35"/>
  <c r="N65" i="35"/>
  <c r="E65" i="35"/>
  <c r="D65" i="35"/>
  <c r="O64" i="35"/>
  <c r="N64" i="35"/>
  <c r="E64" i="35"/>
  <c r="Z64" i="35" s="1"/>
  <c r="D64" i="35"/>
  <c r="O63" i="35"/>
  <c r="X63" i="35" s="1"/>
  <c r="N63" i="35"/>
  <c r="W63" i="35" s="1"/>
  <c r="E63" i="35"/>
  <c r="D63" i="35"/>
  <c r="V62" i="35"/>
  <c r="O62" i="35"/>
  <c r="N62" i="35"/>
  <c r="E62" i="35"/>
  <c r="D62" i="35"/>
  <c r="V61" i="35"/>
  <c r="O61" i="35"/>
  <c r="N61" i="35"/>
  <c r="E61" i="35"/>
  <c r="D61" i="35"/>
  <c r="V60" i="35"/>
  <c r="O60" i="35"/>
  <c r="N60" i="35"/>
  <c r="E60" i="35"/>
  <c r="D60" i="35"/>
  <c r="V59" i="35"/>
  <c r="Z59" i="35" s="1"/>
  <c r="O59" i="35"/>
  <c r="N59" i="35"/>
  <c r="E59" i="35"/>
  <c r="D59" i="35"/>
  <c r="V58" i="35"/>
  <c r="O58" i="35"/>
  <c r="N58" i="35"/>
  <c r="E58" i="35"/>
  <c r="D58" i="35"/>
  <c r="V57" i="35"/>
  <c r="O57" i="35"/>
  <c r="N57" i="35"/>
  <c r="E57" i="35"/>
  <c r="D57" i="35"/>
  <c r="V56" i="35"/>
  <c r="O56" i="35"/>
  <c r="N56" i="35"/>
  <c r="E56" i="35"/>
  <c r="D56" i="35"/>
  <c r="V55" i="35"/>
  <c r="Z55" i="35" s="1"/>
  <c r="O55" i="35"/>
  <c r="E55" i="35"/>
  <c r="D55" i="35"/>
  <c r="V54" i="35"/>
  <c r="Z54" i="35" s="1"/>
  <c r="O54" i="35"/>
  <c r="N54" i="35"/>
  <c r="E54" i="35"/>
  <c r="D54" i="35"/>
  <c r="V53" i="35"/>
  <c r="O53" i="35"/>
  <c r="N53" i="35"/>
  <c r="E53" i="35"/>
  <c r="D53" i="35"/>
  <c r="O52" i="35"/>
  <c r="N52" i="35"/>
  <c r="E52" i="35"/>
  <c r="Z52" i="35" s="1"/>
  <c r="D52" i="35"/>
  <c r="O51" i="35"/>
  <c r="N51" i="35"/>
  <c r="E51" i="35"/>
  <c r="Z51" i="35" s="1"/>
  <c r="D51" i="35"/>
  <c r="O50" i="35"/>
  <c r="N50" i="35"/>
  <c r="E50" i="35"/>
  <c r="Z50" i="35" s="1"/>
  <c r="D50" i="35"/>
  <c r="O49" i="35"/>
  <c r="N49" i="35"/>
  <c r="E49" i="35"/>
  <c r="D49" i="35"/>
  <c r="V48" i="35"/>
  <c r="O48" i="35"/>
  <c r="N48" i="35"/>
  <c r="E48" i="35"/>
  <c r="D48" i="35"/>
  <c r="O47" i="35"/>
  <c r="N47" i="35"/>
  <c r="E47" i="35"/>
  <c r="Z47" i="35" s="1"/>
  <c r="D47" i="35"/>
  <c r="V46" i="35"/>
  <c r="O46" i="35"/>
  <c r="E46" i="35"/>
  <c r="D46" i="35"/>
  <c r="K45" i="35"/>
  <c r="J45" i="35"/>
  <c r="I45" i="35"/>
  <c r="H45" i="35"/>
  <c r="G45" i="35"/>
  <c r="F45" i="35"/>
  <c r="V44" i="35"/>
  <c r="O44" i="35"/>
  <c r="N44" i="35"/>
  <c r="E44" i="35"/>
  <c r="D44" i="35"/>
  <c r="V43" i="35"/>
  <c r="O43" i="35"/>
  <c r="N43" i="35"/>
  <c r="E43" i="35"/>
  <c r="D43" i="35"/>
  <c r="V42" i="35"/>
  <c r="O42" i="35"/>
  <c r="N42" i="35"/>
  <c r="E42" i="35"/>
  <c r="D42" i="35"/>
  <c r="E41" i="35"/>
  <c r="D41" i="35"/>
  <c r="V40" i="35"/>
  <c r="O40" i="35"/>
  <c r="N40" i="35"/>
  <c r="E40" i="35"/>
  <c r="D40" i="35"/>
  <c r="K39" i="35"/>
  <c r="J39" i="35"/>
  <c r="I39" i="35"/>
  <c r="H39" i="35"/>
  <c r="G39" i="35"/>
  <c r="F39" i="35"/>
  <c r="O38" i="35"/>
  <c r="X38" i="35" s="1"/>
  <c r="N38" i="35"/>
  <c r="E38" i="35"/>
  <c r="D38" i="35"/>
  <c r="O37" i="35"/>
  <c r="X37" i="35" s="1"/>
  <c r="N37" i="35"/>
  <c r="W37" i="35" s="1"/>
  <c r="E37" i="35"/>
  <c r="D37" i="35"/>
  <c r="V36" i="35"/>
  <c r="O36" i="35"/>
  <c r="E36" i="35"/>
  <c r="D36" i="35"/>
  <c r="R33" i="35"/>
  <c r="P33" i="35"/>
  <c r="D33" i="35"/>
  <c r="O32" i="35"/>
  <c r="X32" i="35" s="1"/>
  <c r="N32" i="35"/>
  <c r="W32" i="35" s="1"/>
  <c r="E32" i="35"/>
  <c r="D32" i="35"/>
  <c r="O31" i="35"/>
  <c r="X31" i="35" s="1"/>
  <c r="X26" i="35" s="1"/>
  <c r="N31" i="35"/>
  <c r="E31" i="35"/>
  <c r="D31" i="35"/>
  <c r="O30" i="35"/>
  <c r="X30" i="35" s="1"/>
  <c r="N30" i="35"/>
  <c r="W30" i="35" s="1"/>
  <c r="E30" i="35"/>
  <c r="Z30" i="35" s="1"/>
  <c r="D30" i="35"/>
  <c r="V29" i="35"/>
  <c r="Z29" i="35" s="1"/>
  <c r="E29" i="35"/>
  <c r="D29" i="35"/>
  <c r="V28" i="35"/>
  <c r="E28" i="35"/>
  <c r="D28" i="35"/>
  <c r="K26" i="35"/>
  <c r="J26" i="35"/>
  <c r="I26" i="35"/>
  <c r="H26" i="35"/>
  <c r="G26" i="35"/>
  <c r="F26" i="35"/>
  <c r="O25" i="35"/>
  <c r="X25" i="35" s="1"/>
  <c r="N25" i="35"/>
  <c r="W25" i="35" s="1"/>
  <c r="E25" i="35"/>
  <c r="D25" i="35"/>
  <c r="V24" i="35"/>
  <c r="Z24" i="35" s="1"/>
  <c r="O24" i="35"/>
  <c r="N24" i="35"/>
  <c r="E24" i="35"/>
  <c r="D24" i="35"/>
  <c r="V23" i="35"/>
  <c r="O23" i="35"/>
  <c r="N23" i="35"/>
  <c r="E23" i="35"/>
  <c r="D23" i="35"/>
  <c r="K22" i="35"/>
  <c r="J22" i="35"/>
  <c r="I22" i="35"/>
  <c r="H22" i="35"/>
  <c r="G22" i="35"/>
  <c r="F22" i="35"/>
  <c r="V21" i="35"/>
  <c r="Z21" i="35" s="1"/>
  <c r="O21" i="35"/>
  <c r="N21" i="35"/>
  <c r="E21" i="35"/>
  <c r="D21" i="35"/>
  <c r="V20" i="35"/>
  <c r="O20" i="35"/>
  <c r="N20" i="35"/>
  <c r="E20" i="35"/>
  <c r="D20" i="35"/>
  <c r="O19" i="35"/>
  <c r="N19" i="35"/>
  <c r="W19" i="35" s="1"/>
  <c r="E19" i="35"/>
  <c r="D19" i="35"/>
  <c r="O18" i="35"/>
  <c r="X18" i="35" s="1"/>
  <c r="N18" i="35"/>
  <c r="W18" i="35" s="1"/>
  <c r="E18" i="35"/>
  <c r="D18" i="35"/>
  <c r="O17" i="35"/>
  <c r="X17" i="35" s="1"/>
  <c r="N17" i="35"/>
  <c r="W17" i="35" s="1"/>
  <c r="E17" i="35"/>
  <c r="D17" i="35"/>
  <c r="O16" i="35"/>
  <c r="X16" i="35" s="1"/>
  <c r="N16" i="35"/>
  <c r="E16" i="35"/>
  <c r="D16" i="35"/>
  <c r="O15" i="35"/>
  <c r="X15" i="35" s="1"/>
  <c r="N15" i="35"/>
  <c r="W15" i="35" s="1"/>
  <c r="E15" i="35"/>
  <c r="Z15" i="35" s="1"/>
  <c r="D15" i="35"/>
  <c r="O14" i="35"/>
  <c r="X14" i="35" s="1"/>
  <c r="N14" i="35"/>
  <c r="W14" i="35" s="1"/>
  <c r="E14" i="35"/>
  <c r="Z14" i="35" s="1"/>
  <c r="D14" i="35"/>
  <c r="O13" i="35"/>
  <c r="X13" i="35" s="1"/>
  <c r="N13" i="35"/>
  <c r="W13" i="35" s="1"/>
  <c r="E13" i="35"/>
  <c r="D13" i="35"/>
  <c r="O12" i="35"/>
  <c r="X12" i="35" s="1"/>
  <c r="N12" i="35"/>
  <c r="E12" i="35"/>
  <c r="D12" i="35"/>
  <c r="O11" i="35"/>
  <c r="X11" i="35" s="1"/>
  <c r="N11" i="35"/>
  <c r="E11" i="35"/>
  <c r="D11" i="35"/>
  <c r="K10" i="35"/>
  <c r="K8" i="35" s="1"/>
  <c r="J10" i="35"/>
  <c r="I10" i="35"/>
  <c r="H10" i="35"/>
  <c r="G10" i="35"/>
  <c r="G8" i="35" s="1"/>
  <c r="F10" i="35"/>
  <c r="O41" i="35"/>
  <c r="N41" i="35"/>
  <c r="W41" i="35" s="1"/>
  <c r="W39" i="35" s="1"/>
  <c r="Z40" i="35" l="1"/>
  <c r="Z48" i="35"/>
  <c r="Z57" i="35"/>
  <c r="Z93" i="35"/>
  <c r="Z106" i="35"/>
  <c r="Z111" i="35"/>
  <c r="Z116" i="35"/>
  <c r="Z120" i="35"/>
  <c r="Z127" i="35"/>
  <c r="Z36" i="35"/>
  <c r="Z125" i="35"/>
  <c r="Z61" i="35"/>
  <c r="Z82" i="35"/>
  <c r="Z88" i="35"/>
  <c r="Z123" i="35"/>
  <c r="Q49" i="35"/>
  <c r="Z49" i="35"/>
  <c r="Q83" i="35"/>
  <c r="R83" i="35" s="1"/>
  <c r="Z83" i="35"/>
  <c r="AA83" i="35" s="1"/>
  <c r="Z28" i="35"/>
  <c r="Z42" i="35"/>
  <c r="Z46" i="35"/>
  <c r="Z56" i="35"/>
  <c r="Z60" i="35"/>
  <c r="Z72" i="35"/>
  <c r="Z79" i="35"/>
  <c r="Z81" i="35"/>
  <c r="Z87" i="35"/>
  <c r="Z94" i="35"/>
  <c r="Z99" i="35"/>
  <c r="Z101" i="35"/>
  <c r="Z107" i="35"/>
  <c r="Z112" i="35"/>
  <c r="Z117" i="35"/>
  <c r="Z121" i="35"/>
  <c r="Z124" i="35"/>
  <c r="Z128" i="35"/>
  <c r="Z43" i="35"/>
  <c r="Z73" i="35"/>
  <c r="Z76" i="35"/>
  <c r="Z20" i="35"/>
  <c r="Z23" i="35"/>
  <c r="Z44" i="35"/>
  <c r="Z53" i="35"/>
  <c r="Z58" i="35"/>
  <c r="Z62" i="35"/>
  <c r="V68" i="35"/>
  <c r="Z69" i="35"/>
  <c r="Z74" i="35"/>
  <c r="Z77" i="35"/>
  <c r="Z84" i="35"/>
  <c r="Z89" i="35"/>
  <c r="Z115" i="35"/>
  <c r="Z119" i="35"/>
  <c r="Z126" i="35"/>
  <c r="Q130" i="35"/>
  <c r="Z130" i="35"/>
  <c r="P93" i="39"/>
  <c r="Q93" i="39"/>
  <c r="R93" i="39" s="1"/>
  <c r="Y14" i="35"/>
  <c r="Q14" i="35"/>
  <c r="Q50" i="35"/>
  <c r="Q52" i="35"/>
  <c r="Q67" i="35"/>
  <c r="P129" i="35"/>
  <c r="Q129" i="35"/>
  <c r="Q30" i="35"/>
  <c r="Y30" i="35" s="1"/>
  <c r="Q47" i="35"/>
  <c r="Q64" i="35"/>
  <c r="Y15" i="35"/>
  <c r="Q15" i="35"/>
  <c r="AA15" i="35" s="1"/>
  <c r="Q51" i="35"/>
  <c r="Q66" i="35"/>
  <c r="R66" i="35" s="1"/>
  <c r="K39" i="36"/>
  <c r="H34" i="35"/>
  <c r="F34" i="35"/>
  <c r="V110" i="35"/>
  <c r="E26" i="35"/>
  <c r="E75" i="35"/>
  <c r="F8" i="35"/>
  <c r="J8" i="35"/>
  <c r="F91" i="35"/>
  <c r="F90" i="35" s="1"/>
  <c r="J91" i="35"/>
  <c r="J90" i="35" s="1"/>
  <c r="P108" i="35"/>
  <c r="I34" i="35"/>
  <c r="I8" i="35"/>
  <c r="E22" i="35"/>
  <c r="K91" i="35"/>
  <c r="K90" i="35" s="1"/>
  <c r="V133" i="35"/>
  <c r="V135" i="35" s="1"/>
  <c r="V134" i="35" s="1"/>
  <c r="D113" i="35"/>
  <c r="H8" i="35"/>
  <c r="H6" i="35" s="1"/>
  <c r="V22" i="35"/>
  <c r="G34" i="35"/>
  <c r="G6" i="35" s="1"/>
  <c r="K34" i="35"/>
  <c r="K6" i="35" s="1"/>
  <c r="I91" i="35"/>
  <c r="I90" i="35" s="1"/>
  <c r="E110" i="35"/>
  <c r="D110" i="35"/>
  <c r="V131" i="35"/>
  <c r="Z131" i="35" s="1"/>
  <c r="F91" i="36"/>
  <c r="E91" i="36"/>
  <c r="D6" i="36"/>
  <c r="AU8" i="36"/>
  <c r="AV8" i="36"/>
  <c r="G91" i="36"/>
  <c r="H91" i="36"/>
  <c r="D90" i="36"/>
  <c r="AU94" i="36"/>
  <c r="AT136" i="36"/>
  <c r="AV94" i="36"/>
  <c r="X135" i="35"/>
  <c r="X134" i="35" s="1"/>
  <c r="P14" i="35"/>
  <c r="D10" i="35"/>
  <c r="P47" i="35"/>
  <c r="P51" i="35"/>
  <c r="P52" i="35"/>
  <c r="D75" i="35"/>
  <c r="D97" i="35"/>
  <c r="Y104" i="35"/>
  <c r="Y33" i="35"/>
  <c r="J34" i="35"/>
  <c r="P64" i="35"/>
  <c r="G91" i="35"/>
  <c r="G90" i="35" s="1"/>
  <c r="R104" i="35"/>
  <c r="E10" i="35"/>
  <c r="D22" i="35"/>
  <c r="D26" i="35"/>
  <c r="H91" i="35"/>
  <c r="H90" i="35" s="1"/>
  <c r="E113" i="35"/>
  <c r="M11" i="35"/>
  <c r="P11" i="35" s="1"/>
  <c r="V63" i="35"/>
  <c r="M87" i="35"/>
  <c r="M101" i="35"/>
  <c r="X45" i="35"/>
  <c r="O22" i="35"/>
  <c r="M24" i="35"/>
  <c r="M41" i="35"/>
  <c r="Q41" i="35" s="1"/>
  <c r="M84" i="35"/>
  <c r="M89" i="35"/>
  <c r="W105" i="35"/>
  <c r="X105" i="35"/>
  <c r="M12" i="35"/>
  <c r="M54" i="35"/>
  <c r="M62" i="35"/>
  <c r="M79" i="35"/>
  <c r="W12" i="35"/>
  <c r="V12" i="35" s="1"/>
  <c r="M13" i="35"/>
  <c r="O10" i="35"/>
  <c r="M73" i="35"/>
  <c r="M74" i="35"/>
  <c r="M81" i="35"/>
  <c r="M82" i="35"/>
  <c r="M86" i="35"/>
  <c r="V18" i="35"/>
  <c r="M21" i="35"/>
  <c r="M48" i="35"/>
  <c r="M53" i="35"/>
  <c r="M60" i="35"/>
  <c r="M77" i="35"/>
  <c r="V17" i="35"/>
  <c r="Z17" i="35" s="1"/>
  <c r="M18" i="35"/>
  <c r="M32" i="35"/>
  <c r="Q32" i="35" s="1"/>
  <c r="M42" i="35"/>
  <c r="Q42" i="35" s="1"/>
  <c r="M43" i="35"/>
  <c r="M44" i="35"/>
  <c r="W45" i="35"/>
  <c r="M56" i="35"/>
  <c r="M57" i="35"/>
  <c r="M58" i="35"/>
  <c r="M59" i="35"/>
  <c r="M72" i="35"/>
  <c r="M88" i="35"/>
  <c r="X41" i="35"/>
  <c r="X39" i="35" s="1"/>
  <c r="W137" i="35"/>
  <c r="V32" i="35"/>
  <c r="V13" i="35"/>
  <c r="M17" i="35"/>
  <c r="M61" i="35"/>
  <c r="Q61" i="35" s="1"/>
  <c r="M78" i="35"/>
  <c r="V25" i="35"/>
  <c r="Z25" i="35" s="1"/>
  <c r="M31" i="35"/>
  <c r="W38" i="35"/>
  <c r="V38" i="35" s="1"/>
  <c r="Z38" i="35" s="1"/>
  <c r="M38" i="35"/>
  <c r="E39" i="35"/>
  <c r="D39" i="35"/>
  <c r="M40" i="35"/>
  <c r="E45" i="35"/>
  <c r="W75" i="35"/>
  <c r="V85" i="35"/>
  <c r="Z85" i="35" s="1"/>
  <c r="V37" i="35"/>
  <c r="Z37" i="35" s="1"/>
  <c r="P49" i="35"/>
  <c r="W11" i="35"/>
  <c r="E70" i="35"/>
  <c r="D70" i="35"/>
  <c r="N10" i="35"/>
  <c r="P15" i="35"/>
  <c r="W16" i="35"/>
  <c r="V16" i="35" s="1"/>
  <c r="Z16" i="35" s="1"/>
  <c r="M16" i="35"/>
  <c r="X19" i="35"/>
  <c r="V19" i="35" s="1"/>
  <c r="Z19" i="35" s="1"/>
  <c r="M19" i="35"/>
  <c r="Q19" i="35" s="1"/>
  <c r="M20" i="35"/>
  <c r="M23" i="35"/>
  <c r="Q23" i="35" s="1"/>
  <c r="M65" i="35"/>
  <c r="P67" i="35"/>
  <c r="M76" i="35"/>
  <c r="N22" i="35"/>
  <c r="W31" i="35"/>
  <c r="AA33" i="35"/>
  <c r="D45" i="35"/>
  <c r="M63" i="35"/>
  <c r="P83" i="35"/>
  <c r="M25" i="35"/>
  <c r="P30" i="35"/>
  <c r="M37" i="35"/>
  <c r="P50" i="35"/>
  <c r="P66" i="35"/>
  <c r="E68" i="35"/>
  <c r="D68" i="35"/>
  <c r="M69" i="35"/>
  <c r="Q69" i="35" s="1"/>
  <c r="V70" i="35"/>
  <c r="M71" i="35"/>
  <c r="Q71" i="35" s="1"/>
  <c r="M85" i="35"/>
  <c r="E97" i="35"/>
  <c r="D105" i="35"/>
  <c r="E105" i="35"/>
  <c r="F134" i="35"/>
  <c r="E134" i="35" s="1"/>
  <c r="E135" i="35"/>
  <c r="P130" i="35"/>
  <c r="X138" i="35"/>
  <c r="M138" i="35"/>
  <c r="V97" i="35"/>
  <c r="Z97" i="35" s="1"/>
  <c r="Z70" i="35" l="1"/>
  <c r="Z68" i="35"/>
  <c r="Z110" i="35"/>
  <c r="Z22" i="35"/>
  <c r="E34" i="35"/>
  <c r="Y32" i="35"/>
  <c r="Z32" i="35"/>
  <c r="Y12" i="35"/>
  <c r="Z12" i="35"/>
  <c r="Y63" i="35"/>
  <c r="Z63" i="35"/>
  <c r="Y13" i="35"/>
  <c r="Z13" i="35"/>
  <c r="Y18" i="35"/>
  <c r="Z18" i="35"/>
  <c r="Q85" i="35"/>
  <c r="R85" i="35" s="1"/>
  <c r="Q38" i="35"/>
  <c r="R38" i="35" s="1"/>
  <c r="Q17" i="35"/>
  <c r="R17" i="35" s="1"/>
  <c r="Q58" i="35"/>
  <c r="P81" i="35"/>
  <c r="Q81" i="35"/>
  <c r="P76" i="35"/>
  <c r="Q76" i="35"/>
  <c r="P40" i="35"/>
  <c r="Q40" i="35"/>
  <c r="Q88" i="35"/>
  <c r="P57" i="35"/>
  <c r="Q57" i="35"/>
  <c r="Q43" i="35"/>
  <c r="Q60" i="35"/>
  <c r="Q74" i="35"/>
  <c r="Q13" i="35"/>
  <c r="R13" i="35" s="1"/>
  <c r="Q54" i="35"/>
  <c r="Q89" i="35"/>
  <c r="Q87" i="35"/>
  <c r="AA66" i="35"/>
  <c r="AA30" i="35"/>
  <c r="Q65" i="35"/>
  <c r="Q25" i="35"/>
  <c r="R25" i="35" s="1"/>
  <c r="Q16" i="35"/>
  <c r="R16" i="35" s="1"/>
  <c r="Q31" i="35"/>
  <c r="R31" i="35" s="1"/>
  <c r="Q78" i="35"/>
  <c r="Q72" i="35"/>
  <c r="Q56" i="35"/>
  <c r="Q18" i="35"/>
  <c r="Q53" i="35"/>
  <c r="Q86" i="35"/>
  <c r="Q73" i="35"/>
  <c r="Q12" i="35"/>
  <c r="Q84" i="35"/>
  <c r="R30" i="35"/>
  <c r="P44" i="35"/>
  <c r="Q44" i="35"/>
  <c r="Q77" i="35"/>
  <c r="Q21" i="35"/>
  <c r="Q62" i="35"/>
  <c r="Q24" i="35"/>
  <c r="Q101" i="35"/>
  <c r="R101" i="35" s="1"/>
  <c r="Q37" i="35"/>
  <c r="R37" i="35" s="1"/>
  <c r="Q63" i="35"/>
  <c r="R63" i="35" s="1"/>
  <c r="Q20" i="35"/>
  <c r="Q59" i="35"/>
  <c r="Q48" i="35"/>
  <c r="Q82" i="35"/>
  <c r="Q79" i="35"/>
  <c r="Q11" i="35"/>
  <c r="R11" i="35" s="1"/>
  <c r="I6" i="35"/>
  <c r="F6" i="35"/>
  <c r="E6" i="35" s="1"/>
  <c r="P32" i="35"/>
  <c r="P24" i="35"/>
  <c r="V45" i="35"/>
  <c r="Z45" i="35" s="1"/>
  <c r="H132" i="35"/>
  <c r="H136" i="35" s="1"/>
  <c r="H142" i="35" s="1"/>
  <c r="J6" i="35"/>
  <c r="J132" i="35" s="1"/>
  <c r="J136" i="35" s="1"/>
  <c r="J145" i="35" s="1"/>
  <c r="P88" i="35"/>
  <c r="P82" i="35"/>
  <c r="X34" i="35"/>
  <c r="E8" i="35"/>
  <c r="P54" i="35"/>
  <c r="E91" i="35"/>
  <c r="P59" i="35"/>
  <c r="E90" i="35"/>
  <c r="P73" i="35"/>
  <c r="D34" i="35"/>
  <c r="AA29" i="35"/>
  <c r="K132" i="35"/>
  <c r="K136" i="35" s="1"/>
  <c r="K146" i="35" s="1"/>
  <c r="G132" i="35"/>
  <c r="G136" i="35" s="1"/>
  <c r="G143" i="35" s="1"/>
  <c r="D8" i="35"/>
  <c r="I132" i="35"/>
  <c r="I136" i="35" s="1"/>
  <c r="I144" i="35" s="1"/>
  <c r="D91" i="35"/>
  <c r="D90" i="35" s="1"/>
  <c r="P21" i="35"/>
  <c r="P17" i="35"/>
  <c r="D136" i="36"/>
  <c r="AV6" i="36"/>
  <c r="AU6" i="36"/>
  <c r="D91" i="36"/>
  <c r="AT140" i="36"/>
  <c r="R15" i="35"/>
  <c r="P62" i="35"/>
  <c r="P87" i="35"/>
  <c r="P41" i="35"/>
  <c r="P101" i="35"/>
  <c r="AA101" i="35"/>
  <c r="V105" i="35"/>
  <c r="Z105" i="35" s="1"/>
  <c r="P84" i="35"/>
  <c r="P12" i="35"/>
  <c r="P43" i="35"/>
  <c r="P89" i="35"/>
  <c r="AA28" i="35"/>
  <c r="P13" i="35"/>
  <c r="P74" i="35"/>
  <c r="P79" i="35"/>
  <c r="O8" i="35"/>
  <c r="W34" i="35"/>
  <c r="P53" i="35"/>
  <c r="P58" i="35"/>
  <c r="P18" i="35"/>
  <c r="P48" i="35"/>
  <c r="P77" i="35"/>
  <c r="P86" i="35"/>
  <c r="P60" i="35"/>
  <c r="Y17" i="35"/>
  <c r="P78" i="35"/>
  <c r="P38" i="35"/>
  <c r="P61" i="35"/>
  <c r="P42" i="35"/>
  <c r="P85" i="35"/>
  <c r="P72" i="35"/>
  <c r="P16" i="35"/>
  <c r="P63" i="35"/>
  <c r="P56" i="35"/>
  <c r="V41" i="35"/>
  <c r="Z41" i="35" s="1"/>
  <c r="V11" i="35"/>
  <c r="Z11" i="35" s="1"/>
  <c r="W10" i="35"/>
  <c r="W8" i="35" s="1"/>
  <c r="M70" i="35"/>
  <c r="P71" i="35"/>
  <c r="AA50" i="35"/>
  <c r="R50" i="35"/>
  <c r="R64" i="35"/>
  <c r="AA64" i="35"/>
  <c r="Y64" i="35"/>
  <c r="P25" i="35"/>
  <c r="R14" i="35"/>
  <c r="AA14" i="35"/>
  <c r="AA49" i="35"/>
  <c r="R49" i="35"/>
  <c r="M22" i="35"/>
  <c r="Q22" i="35" s="1"/>
  <c r="Y19" i="35"/>
  <c r="AA16" i="35"/>
  <c r="Y16" i="35"/>
  <c r="N8" i="35"/>
  <c r="P23" i="35"/>
  <c r="M39" i="35"/>
  <c r="Q39" i="35" s="1"/>
  <c r="Y25" i="35"/>
  <c r="M10" i="35"/>
  <c r="Q10" i="35" s="1"/>
  <c r="AA37" i="35"/>
  <c r="Y37" i="35"/>
  <c r="Y85" i="35"/>
  <c r="M68" i="35"/>
  <c r="P69" i="35"/>
  <c r="R47" i="35"/>
  <c r="AA47" i="35"/>
  <c r="Y47" i="35"/>
  <c r="W26" i="35"/>
  <c r="V31" i="35"/>
  <c r="Z31" i="35" s="1"/>
  <c r="P65" i="35"/>
  <c r="P20" i="35"/>
  <c r="Y38" i="35"/>
  <c r="R19" i="35"/>
  <c r="P19" i="35"/>
  <c r="AA129" i="35"/>
  <c r="R129" i="35"/>
  <c r="R130" i="35"/>
  <c r="AA130" i="35"/>
  <c r="V75" i="35"/>
  <c r="Z75" i="35" s="1"/>
  <c r="R51" i="35"/>
  <c r="AA51" i="35"/>
  <c r="R52" i="35"/>
  <c r="AA52" i="35"/>
  <c r="P37" i="35"/>
  <c r="AA67" i="35"/>
  <c r="R67" i="35"/>
  <c r="P31" i="35"/>
  <c r="X10" i="35"/>
  <c r="X8" i="35" s="1"/>
  <c r="AA18" i="35" l="1"/>
  <c r="AA12" i="35"/>
  <c r="AA63" i="35"/>
  <c r="AA25" i="35"/>
  <c r="AA17" i="35"/>
  <c r="R18" i="35"/>
  <c r="AA38" i="35"/>
  <c r="AA13" i="35"/>
  <c r="R12" i="35"/>
  <c r="AA85" i="35"/>
  <c r="Q70" i="35"/>
  <c r="Q68" i="35"/>
  <c r="F132" i="35"/>
  <c r="E132" i="35" s="1"/>
  <c r="X6" i="35"/>
  <c r="D140" i="36"/>
  <c r="D153" i="36" s="1"/>
  <c r="AU136" i="36"/>
  <c r="D6" i="35"/>
  <c r="D132" i="35" s="1"/>
  <c r="D136" i="35" s="1"/>
  <c r="P68" i="35"/>
  <c r="AV136" i="36"/>
  <c r="P39" i="35"/>
  <c r="V39" i="35"/>
  <c r="Z39" i="35" s="1"/>
  <c r="Y41" i="35"/>
  <c r="W6" i="35"/>
  <c r="AA19" i="35"/>
  <c r="AA11" i="35"/>
  <c r="Y11" i="35"/>
  <c r="V10" i="35"/>
  <c r="Y31" i="35"/>
  <c r="V26" i="35"/>
  <c r="Z26" i="35" s="1"/>
  <c r="R10" i="35"/>
  <c r="M8" i="35"/>
  <c r="Q8" i="35" s="1"/>
  <c r="P10" i="35"/>
  <c r="P70" i="35"/>
  <c r="P22" i="35"/>
  <c r="Y10" i="35" l="1"/>
  <c r="Z10" i="35"/>
  <c r="AA10" i="35" s="1"/>
  <c r="F136" i="35"/>
  <c r="E136" i="35" s="1"/>
  <c r="AU140" i="36"/>
  <c r="V34" i="35"/>
  <c r="Z34" i="35" s="1"/>
  <c r="Y26" i="35"/>
  <c r="R8" i="35"/>
  <c r="P8" i="35"/>
  <c r="V8" i="35"/>
  <c r="Z8" i="35" s="1"/>
  <c r="F142" i="35" l="1"/>
  <c r="V6" i="35"/>
  <c r="AA8" i="35"/>
  <c r="Z6" i="35" l="1"/>
  <c r="AA6" i="35" s="1"/>
  <c r="N136" i="33" l="1"/>
  <c r="N131" i="39" s="1"/>
  <c r="M131" i="39" s="1"/>
  <c r="P131" i="39" l="1"/>
  <c r="AG131" i="39" s="1"/>
  <c r="Q131" i="39"/>
  <c r="AH131" i="39" s="1"/>
  <c r="N131" i="35"/>
  <c r="AF131" i="39" l="1"/>
  <c r="AJ131" i="39" s="1"/>
  <c r="P101" i="33"/>
  <c r="Q101" i="33"/>
  <c r="R101" i="33"/>
  <c r="S101" i="33"/>
  <c r="O101" i="33"/>
  <c r="N101" i="33"/>
  <c r="N96" i="35" l="1"/>
  <c r="N96" i="39"/>
  <c r="O96" i="35"/>
  <c r="X96" i="35" s="1"/>
  <c r="O96" i="39"/>
  <c r="X96" i="39" s="1"/>
  <c r="AG96" i="39" s="1"/>
  <c r="AF96" i="39" s="1"/>
  <c r="AJ96" i="39" s="1"/>
  <c r="W96" i="35"/>
  <c r="O119" i="33"/>
  <c r="P119" i="33"/>
  <c r="Q119" i="33"/>
  <c r="R119" i="33"/>
  <c r="S119" i="33"/>
  <c r="N119" i="33"/>
  <c r="O131" i="35"/>
  <c r="M131" i="35" s="1"/>
  <c r="Q131" i="35" s="1"/>
  <c r="O132" i="33"/>
  <c r="P132" i="33"/>
  <c r="Q132" i="33"/>
  <c r="R132" i="33"/>
  <c r="S132" i="33"/>
  <c r="N132" i="33"/>
  <c r="O131" i="33"/>
  <c r="P131" i="33"/>
  <c r="Q131" i="33"/>
  <c r="R131" i="33"/>
  <c r="S131" i="33"/>
  <c r="N131" i="33"/>
  <c r="O129" i="33"/>
  <c r="P129" i="33"/>
  <c r="Q129" i="33"/>
  <c r="R129" i="33"/>
  <c r="S129" i="33"/>
  <c r="N129" i="33"/>
  <c r="O128" i="33"/>
  <c r="P128" i="33"/>
  <c r="Q128" i="33"/>
  <c r="R128" i="33"/>
  <c r="S128" i="33"/>
  <c r="N128" i="33"/>
  <c r="O127" i="33"/>
  <c r="P127" i="33"/>
  <c r="Q127" i="33"/>
  <c r="R127" i="33"/>
  <c r="S127" i="33"/>
  <c r="N127" i="33"/>
  <c r="O126" i="33"/>
  <c r="P126" i="33"/>
  <c r="Q126" i="33"/>
  <c r="R126" i="33"/>
  <c r="S126" i="33"/>
  <c r="N126" i="33"/>
  <c r="O125" i="33"/>
  <c r="P125" i="33"/>
  <c r="Q125" i="33"/>
  <c r="R125" i="33"/>
  <c r="S125" i="33"/>
  <c r="N125" i="33"/>
  <c r="O124" i="33"/>
  <c r="P124" i="33"/>
  <c r="Q124" i="33"/>
  <c r="R124" i="33"/>
  <c r="S124" i="33"/>
  <c r="N124" i="33"/>
  <c r="O122" i="33"/>
  <c r="P122" i="33"/>
  <c r="Q122" i="33"/>
  <c r="R122" i="33"/>
  <c r="S122" i="33"/>
  <c r="N122" i="33"/>
  <c r="O121" i="33"/>
  <c r="P121" i="33"/>
  <c r="Q121" i="33"/>
  <c r="R121" i="33"/>
  <c r="S121" i="33"/>
  <c r="N121" i="33"/>
  <c r="O120" i="33"/>
  <c r="P120" i="33"/>
  <c r="Q120" i="33"/>
  <c r="R120" i="33"/>
  <c r="N120" i="33"/>
  <c r="O117" i="33"/>
  <c r="P117" i="33"/>
  <c r="Q117" i="33"/>
  <c r="R117" i="33"/>
  <c r="S117" i="33"/>
  <c r="N117" i="33"/>
  <c r="S116" i="33"/>
  <c r="R116" i="33"/>
  <c r="Q116" i="33"/>
  <c r="P116" i="33"/>
  <c r="O116" i="33"/>
  <c r="N116" i="33"/>
  <c r="O114" i="33"/>
  <c r="P114" i="33"/>
  <c r="Q114" i="33"/>
  <c r="R114" i="33"/>
  <c r="S114" i="33"/>
  <c r="N114" i="33"/>
  <c r="O112" i="33"/>
  <c r="P112" i="33"/>
  <c r="Q112" i="33"/>
  <c r="R112" i="33"/>
  <c r="S112" i="33"/>
  <c r="N112" i="33"/>
  <c r="O111" i="33"/>
  <c r="P111" i="33"/>
  <c r="Q111" i="33"/>
  <c r="R111" i="33"/>
  <c r="S111" i="33"/>
  <c r="N111" i="33"/>
  <c r="O108" i="33"/>
  <c r="P108" i="33"/>
  <c r="Q108" i="33"/>
  <c r="R108" i="33"/>
  <c r="S108" i="33"/>
  <c r="N108" i="33"/>
  <c r="O107" i="33"/>
  <c r="P107" i="33"/>
  <c r="Q107" i="33"/>
  <c r="R107" i="33"/>
  <c r="S107" i="33"/>
  <c r="N107" i="33"/>
  <c r="O105" i="33"/>
  <c r="P105" i="33"/>
  <c r="Q105" i="33"/>
  <c r="R105" i="33"/>
  <c r="S105" i="33"/>
  <c r="N105" i="33"/>
  <c r="O104" i="33"/>
  <c r="P104" i="33"/>
  <c r="Q104" i="33"/>
  <c r="R104" i="33"/>
  <c r="S104" i="33"/>
  <c r="N104" i="33"/>
  <c r="O100" i="33"/>
  <c r="P100" i="33"/>
  <c r="Q100" i="33"/>
  <c r="R100" i="33"/>
  <c r="S100" i="33"/>
  <c r="N100" i="33"/>
  <c r="O99" i="33"/>
  <c r="P99" i="33"/>
  <c r="Q99" i="33"/>
  <c r="R99" i="33"/>
  <c r="S99" i="33"/>
  <c r="N94" i="35"/>
  <c r="O93" i="35"/>
  <c r="N93" i="35"/>
  <c r="O40" i="33"/>
  <c r="P40" i="33"/>
  <c r="Q40" i="33"/>
  <c r="R40" i="33"/>
  <c r="S40" i="33"/>
  <c r="V96" i="35" l="1"/>
  <c r="Z96" i="35" s="1"/>
  <c r="M96" i="35"/>
  <c r="Q96" i="35" s="1"/>
  <c r="O123" i="35"/>
  <c r="O123" i="39"/>
  <c r="AJ123" i="39" s="1"/>
  <c r="N114" i="35"/>
  <c r="N114" i="39"/>
  <c r="O39" i="35"/>
  <c r="O39" i="39"/>
  <c r="AJ39" i="39" s="1"/>
  <c r="O94" i="35"/>
  <c r="O94" i="39"/>
  <c r="AJ94" i="39" s="1"/>
  <c r="AK94" i="39" s="1"/>
  <c r="O99" i="35"/>
  <c r="O99" i="39"/>
  <c r="AJ99" i="39" s="1"/>
  <c r="O102" i="35"/>
  <c r="O102" i="39"/>
  <c r="AJ102" i="39" s="1"/>
  <c r="O106" i="35"/>
  <c r="O106" i="39"/>
  <c r="AJ106" i="39" s="1"/>
  <c r="O109" i="35"/>
  <c r="X109" i="35" s="1"/>
  <c r="O109" i="39"/>
  <c r="X109" i="39" s="1"/>
  <c r="AG109" i="39" s="1"/>
  <c r="O112" i="35"/>
  <c r="O112" i="39"/>
  <c r="AJ112" i="39" s="1"/>
  <c r="N117" i="35"/>
  <c r="N117" i="39"/>
  <c r="N120" i="35"/>
  <c r="N120" i="39"/>
  <c r="N122" i="35"/>
  <c r="W122" i="35" s="1"/>
  <c r="N122" i="39"/>
  <c r="N124" i="35"/>
  <c r="N124" i="39"/>
  <c r="N127" i="35"/>
  <c r="N127" i="39"/>
  <c r="O114" i="35"/>
  <c r="O114" i="39"/>
  <c r="AJ114" i="39" s="1"/>
  <c r="N99" i="35"/>
  <c r="N99" i="39"/>
  <c r="N102" i="35"/>
  <c r="M102" i="35" s="1"/>
  <c r="N102" i="39"/>
  <c r="N106" i="35"/>
  <c r="N106" i="39"/>
  <c r="N109" i="35"/>
  <c r="W109" i="35" s="1"/>
  <c r="V109" i="35" s="1"/>
  <c r="Z109" i="35" s="1"/>
  <c r="N109" i="39"/>
  <c r="N112" i="35"/>
  <c r="N112" i="39"/>
  <c r="O121" i="35"/>
  <c r="O121" i="39"/>
  <c r="AJ121" i="39" s="1"/>
  <c r="N95" i="35"/>
  <c r="W95" i="35" s="1"/>
  <c r="N95" i="39"/>
  <c r="N100" i="35"/>
  <c r="N97" i="35" s="1"/>
  <c r="N100" i="39"/>
  <c r="N103" i="35"/>
  <c r="W103" i="35" s="1"/>
  <c r="N103" i="39"/>
  <c r="N107" i="35"/>
  <c r="N105" i="35" s="1"/>
  <c r="N107" i="39"/>
  <c r="N111" i="35"/>
  <c r="N110" i="35" s="1"/>
  <c r="N111" i="39"/>
  <c r="N115" i="35"/>
  <c r="N115" i="39"/>
  <c r="O115" i="35"/>
  <c r="O115" i="39"/>
  <c r="AJ115" i="39" s="1"/>
  <c r="O117" i="35"/>
  <c r="M117" i="35" s="1"/>
  <c r="Q117" i="35" s="1"/>
  <c r="O117" i="39"/>
  <c r="AJ117" i="39" s="1"/>
  <c r="O120" i="35"/>
  <c r="O120" i="39"/>
  <c r="AJ120" i="39" s="1"/>
  <c r="O122" i="35"/>
  <c r="X122" i="35" s="1"/>
  <c r="X113" i="35" s="1"/>
  <c r="O122" i="39"/>
  <c r="X122" i="39" s="1"/>
  <c r="O124" i="35"/>
  <c r="O124" i="39"/>
  <c r="AJ124" i="39" s="1"/>
  <c r="O127" i="35"/>
  <c r="O127" i="39"/>
  <c r="AJ127" i="39" s="1"/>
  <c r="M96" i="39"/>
  <c r="W96" i="39"/>
  <c r="V96" i="39" s="1"/>
  <c r="Z96" i="39" s="1"/>
  <c r="O116" i="35"/>
  <c r="O116" i="39"/>
  <c r="AJ116" i="39" s="1"/>
  <c r="O119" i="35"/>
  <c r="O119" i="39"/>
  <c r="AJ119" i="39" s="1"/>
  <c r="O126" i="35"/>
  <c r="O126" i="39"/>
  <c r="AJ126" i="39" s="1"/>
  <c r="O95" i="35"/>
  <c r="X95" i="35" s="1"/>
  <c r="O95" i="39"/>
  <c r="X95" i="39" s="1"/>
  <c r="AG95" i="39" s="1"/>
  <c r="O100" i="35"/>
  <c r="O97" i="35" s="1"/>
  <c r="O100" i="39"/>
  <c r="AJ100" i="39" s="1"/>
  <c r="O103" i="35"/>
  <c r="X103" i="35" s="1"/>
  <c r="O103" i="39"/>
  <c r="X103" i="39" s="1"/>
  <c r="AG103" i="39" s="1"/>
  <c r="O107" i="35"/>
  <c r="O105" i="35" s="1"/>
  <c r="O107" i="39"/>
  <c r="O111" i="35"/>
  <c r="O111" i="39"/>
  <c r="AJ111" i="39" s="1"/>
  <c r="N116" i="35"/>
  <c r="M116" i="35" s="1"/>
  <c r="N116" i="39"/>
  <c r="M116" i="39" s="1"/>
  <c r="N119" i="35"/>
  <c r="M119" i="35" s="1"/>
  <c r="Q119" i="35" s="1"/>
  <c r="N119" i="39"/>
  <c r="N121" i="35"/>
  <c r="M121" i="35" s="1"/>
  <c r="Q121" i="35" s="1"/>
  <c r="N121" i="39"/>
  <c r="M121" i="39" s="1"/>
  <c r="N123" i="35"/>
  <c r="N123" i="39"/>
  <c r="N126" i="35"/>
  <c r="M126" i="35" s="1"/>
  <c r="Q126" i="35" s="1"/>
  <c r="N126" i="39"/>
  <c r="M126" i="39" s="1"/>
  <c r="M94" i="35"/>
  <c r="M93" i="35"/>
  <c r="Q93" i="35" s="1"/>
  <c r="M109" i="35"/>
  <c r="Q109" i="35" s="1"/>
  <c r="P96" i="35"/>
  <c r="P131" i="35"/>
  <c r="N110" i="33"/>
  <c r="M107" i="39" l="1"/>
  <c r="AJ107" i="39"/>
  <c r="X113" i="39"/>
  <c r="AG122" i="39"/>
  <c r="M114" i="35"/>
  <c r="Q114" i="35" s="1"/>
  <c r="O110" i="35"/>
  <c r="M100" i="35"/>
  <c r="Q100" i="35" s="1"/>
  <c r="M123" i="35"/>
  <c r="Q123" i="35" s="1"/>
  <c r="M124" i="35"/>
  <c r="P124" i="35" s="1"/>
  <c r="M120" i="35"/>
  <c r="Q120" i="35" s="1"/>
  <c r="M112" i="35"/>
  <c r="Q112" i="35" s="1"/>
  <c r="M106" i="35"/>
  <c r="Q106" i="35" s="1"/>
  <c r="M99" i="35"/>
  <c r="Q99" i="35" s="1"/>
  <c r="M107" i="35"/>
  <c r="Q107" i="35" s="1"/>
  <c r="M122" i="35"/>
  <c r="Q122" i="35" s="1"/>
  <c r="R122" i="35" s="1"/>
  <c r="M127" i="35"/>
  <c r="Q127" i="35" s="1"/>
  <c r="M103" i="35"/>
  <c r="Q103" i="35" s="1"/>
  <c r="R103" i="35" s="1"/>
  <c r="M111" i="35"/>
  <c r="Q111" i="35" s="1"/>
  <c r="O110" i="39"/>
  <c r="AJ110" i="39" s="1"/>
  <c r="M112" i="39"/>
  <c r="P112" i="39" s="1"/>
  <c r="M123" i="39"/>
  <c r="P123" i="39" s="1"/>
  <c r="M115" i="39"/>
  <c r="P115" i="39" s="1"/>
  <c r="X91" i="39"/>
  <c r="X90" i="39" s="1"/>
  <c r="X132" i="39" s="1"/>
  <c r="X136" i="39" s="1"/>
  <c r="X143" i="39" s="1"/>
  <c r="M127" i="39"/>
  <c r="Q127" i="39" s="1"/>
  <c r="M117" i="39"/>
  <c r="Q117" i="39" s="1"/>
  <c r="X91" i="35"/>
  <c r="X90" i="35" s="1"/>
  <c r="X132" i="35" s="1"/>
  <c r="X136" i="35" s="1"/>
  <c r="X143" i="35" s="1"/>
  <c r="V103" i="35"/>
  <c r="Z103" i="35" s="1"/>
  <c r="V95" i="35"/>
  <c r="Z95" i="35" s="1"/>
  <c r="Q96" i="39"/>
  <c r="P96" i="39"/>
  <c r="N105" i="39"/>
  <c r="M106" i="39"/>
  <c r="M99" i="39"/>
  <c r="N97" i="39"/>
  <c r="M122" i="39"/>
  <c r="W122" i="39"/>
  <c r="M94" i="39"/>
  <c r="Q126" i="39"/>
  <c r="P126" i="39"/>
  <c r="Q121" i="39"/>
  <c r="P121" i="39"/>
  <c r="Q116" i="39"/>
  <c r="P116" i="39"/>
  <c r="Q107" i="39"/>
  <c r="P107" i="39"/>
  <c r="O97" i="39"/>
  <c r="AJ97" i="39" s="1"/>
  <c r="M100" i="39"/>
  <c r="Q112" i="39"/>
  <c r="P117" i="39"/>
  <c r="M95" i="35"/>
  <c r="Q95" i="35" s="1"/>
  <c r="R95" i="35" s="1"/>
  <c r="M115" i="35"/>
  <c r="W109" i="39"/>
  <c r="V109" i="39" s="1"/>
  <c r="M109" i="39"/>
  <c r="M102" i="39"/>
  <c r="M124" i="39"/>
  <c r="M120" i="39"/>
  <c r="O105" i="39"/>
  <c r="AJ105" i="39" s="1"/>
  <c r="M114" i="39"/>
  <c r="M119" i="39"/>
  <c r="N110" i="39"/>
  <c r="M111" i="39"/>
  <c r="W103" i="39"/>
  <c r="V103" i="39" s="1"/>
  <c r="M103" i="39"/>
  <c r="W95" i="39"/>
  <c r="M95" i="39"/>
  <c r="P102" i="35"/>
  <c r="Q102" i="35"/>
  <c r="P94" i="35"/>
  <c r="Q94" i="35"/>
  <c r="R94" i="35" s="1"/>
  <c r="P116" i="35"/>
  <c r="Q116" i="35"/>
  <c r="P112" i="35"/>
  <c r="P120" i="35"/>
  <c r="M105" i="35"/>
  <c r="P126" i="35"/>
  <c r="P117" i="35"/>
  <c r="Y109" i="35"/>
  <c r="P111" i="35"/>
  <c r="P93" i="35"/>
  <c r="R109" i="35"/>
  <c r="P109" i="35"/>
  <c r="AA94" i="35"/>
  <c r="P100" i="35"/>
  <c r="P122" i="35"/>
  <c r="P119" i="35"/>
  <c r="P121" i="35"/>
  <c r="P107" i="35"/>
  <c r="V122" i="35"/>
  <c r="Z122" i="35" s="1"/>
  <c r="W113" i="35"/>
  <c r="W91" i="35" s="1"/>
  <c r="W90" i="35" s="1"/>
  <c r="W132" i="35" s="1"/>
  <c r="W136" i="35" s="1"/>
  <c r="W142" i="35" s="1"/>
  <c r="M154" i="33"/>
  <c r="M118" i="33"/>
  <c r="M115" i="33"/>
  <c r="S115" i="33"/>
  <c r="R115" i="33"/>
  <c r="Q115" i="33"/>
  <c r="M109" i="33"/>
  <c r="P102" i="33"/>
  <c r="R102" i="33"/>
  <c r="Q102" i="33"/>
  <c r="S102" i="33"/>
  <c r="M102" i="33"/>
  <c r="M91" i="33"/>
  <c r="S76" i="33"/>
  <c r="R76" i="33"/>
  <c r="Q76" i="33"/>
  <c r="P76" i="33"/>
  <c r="M73" i="33"/>
  <c r="M72" i="33"/>
  <c r="S71" i="33"/>
  <c r="R71" i="33"/>
  <c r="Q71" i="33"/>
  <c r="P71" i="33"/>
  <c r="O71" i="33"/>
  <c r="O70" i="39" s="1"/>
  <c r="AJ70" i="39" s="1"/>
  <c r="N71" i="33"/>
  <c r="S69" i="33"/>
  <c r="R69" i="33"/>
  <c r="Q69" i="33"/>
  <c r="P69" i="33"/>
  <c r="O69" i="33"/>
  <c r="O68" i="39" s="1"/>
  <c r="AJ68" i="39" s="1"/>
  <c r="N69" i="33"/>
  <c r="M53" i="33"/>
  <c r="M52" i="33"/>
  <c r="M51" i="33"/>
  <c r="M50" i="33"/>
  <c r="M49" i="33"/>
  <c r="M48" i="33"/>
  <c r="M43" i="33"/>
  <c r="M34" i="33"/>
  <c r="M33" i="33"/>
  <c r="M32" i="33"/>
  <c r="M31" i="33"/>
  <c r="M26" i="33"/>
  <c r="M25" i="33"/>
  <c r="M24" i="33"/>
  <c r="S23" i="33"/>
  <c r="R23" i="33"/>
  <c r="Q23" i="33"/>
  <c r="P23" i="33"/>
  <c r="O23" i="33"/>
  <c r="N23" i="33"/>
  <c r="M22" i="33"/>
  <c r="M21" i="33"/>
  <c r="M18" i="33"/>
  <c r="M16" i="33"/>
  <c r="M15" i="33"/>
  <c r="S11" i="33"/>
  <c r="R11" i="33"/>
  <c r="Q11" i="33"/>
  <c r="P11" i="33"/>
  <c r="O11" i="33"/>
  <c r="N11" i="33"/>
  <c r="AY29" i="33"/>
  <c r="AZ29" i="33"/>
  <c r="BA29" i="33"/>
  <c r="BB29" i="33"/>
  <c r="BC29" i="33"/>
  <c r="BD29" i="33"/>
  <c r="AY30" i="33"/>
  <c r="AZ30" i="33"/>
  <c r="BA30" i="33"/>
  <c r="BB30" i="33"/>
  <c r="BC30" i="33"/>
  <c r="BD30" i="33"/>
  <c r="AG113" i="39" l="1"/>
  <c r="AG91" i="39" s="1"/>
  <c r="AG90" i="39" s="1"/>
  <c r="AG132" i="39" s="1"/>
  <c r="P123" i="35"/>
  <c r="P127" i="35"/>
  <c r="P114" i="35"/>
  <c r="P99" i="35"/>
  <c r="P103" i="35"/>
  <c r="Q124" i="35"/>
  <c r="Q123" i="39"/>
  <c r="M97" i="35"/>
  <c r="Q97" i="35" s="1"/>
  <c r="P106" i="35"/>
  <c r="M110" i="35"/>
  <c r="Q110" i="35" s="1"/>
  <c r="P95" i="35"/>
  <c r="Y95" i="35"/>
  <c r="P127" i="39"/>
  <c r="Y103" i="35"/>
  <c r="M105" i="39"/>
  <c r="Q105" i="39" s="1"/>
  <c r="Q115" i="39"/>
  <c r="Q120" i="39"/>
  <c r="P120" i="39"/>
  <c r="Q109" i="39"/>
  <c r="R109" i="39" s="1"/>
  <c r="P109" i="39"/>
  <c r="Q106" i="39"/>
  <c r="P106" i="39"/>
  <c r="N68" i="35"/>
  <c r="N68" i="39"/>
  <c r="Q103" i="39"/>
  <c r="R103" i="39" s="1"/>
  <c r="P103" i="39"/>
  <c r="Q119" i="39"/>
  <c r="P119" i="39"/>
  <c r="Q114" i="39"/>
  <c r="P114" i="39"/>
  <c r="Q124" i="39"/>
  <c r="P124" i="39"/>
  <c r="Y109" i="39"/>
  <c r="AH109" i="39" s="1"/>
  <c r="AF109" i="39" s="1"/>
  <c r="Z109" i="39"/>
  <c r="AA109" i="39" s="1"/>
  <c r="P122" i="39"/>
  <c r="Q122" i="39"/>
  <c r="R122" i="39" s="1"/>
  <c r="V95" i="39"/>
  <c r="Z103" i="39"/>
  <c r="AA103" i="39" s="1"/>
  <c r="Y103" i="39"/>
  <c r="AH103" i="39" s="1"/>
  <c r="AF103" i="39" s="1"/>
  <c r="Q115" i="35"/>
  <c r="P115" i="35"/>
  <c r="Q100" i="39"/>
  <c r="P100" i="39"/>
  <c r="P94" i="39"/>
  <c r="Q94" i="39"/>
  <c r="R94" i="39" s="1"/>
  <c r="W113" i="39"/>
  <c r="W91" i="39" s="1"/>
  <c r="W90" i="39" s="1"/>
  <c r="W132" i="39" s="1"/>
  <c r="W136" i="39" s="1"/>
  <c r="W142" i="39" s="1"/>
  <c r="V122" i="39"/>
  <c r="N70" i="35"/>
  <c r="N70" i="39"/>
  <c r="Q95" i="39"/>
  <c r="R95" i="39" s="1"/>
  <c r="P95" i="39"/>
  <c r="M110" i="39"/>
  <c r="P111" i="39"/>
  <c r="Q111" i="39"/>
  <c r="P105" i="39"/>
  <c r="Q102" i="39"/>
  <c r="P102" i="39"/>
  <c r="P99" i="39"/>
  <c r="Q99" i="39"/>
  <c r="M97" i="39"/>
  <c r="Q105" i="35"/>
  <c r="Q9" i="33"/>
  <c r="O9" i="33"/>
  <c r="S9" i="33"/>
  <c r="P105" i="35"/>
  <c r="AA103" i="35"/>
  <c r="O70" i="35"/>
  <c r="O68" i="35"/>
  <c r="AA95" i="35"/>
  <c r="P110" i="35"/>
  <c r="V113" i="35"/>
  <c r="Z113" i="35" s="1"/>
  <c r="Y122" i="35"/>
  <c r="AA122" i="35"/>
  <c r="R93" i="35"/>
  <c r="AA93" i="35"/>
  <c r="P97" i="35"/>
  <c r="AA109" i="35"/>
  <c r="M71" i="33"/>
  <c r="M69" i="33"/>
  <c r="N9" i="33"/>
  <c r="R9" i="33"/>
  <c r="M23" i="33"/>
  <c r="P9" i="33"/>
  <c r="M11" i="33"/>
  <c r="N102" i="33"/>
  <c r="O102" i="33"/>
  <c r="P115" i="33"/>
  <c r="N115" i="33"/>
  <c r="O115" i="33"/>
  <c r="Q110" i="33"/>
  <c r="M93" i="33"/>
  <c r="R110" i="33"/>
  <c r="S110" i="33"/>
  <c r="AI109" i="39" l="1"/>
  <c r="AJ109" i="39"/>
  <c r="AK109" i="39" s="1"/>
  <c r="AI103" i="39"/>
  <c r="AJ103" i="39"/>
  <c r="AK103" i="39" s="1"/>
  <c r="Y95" i="39"/>
  <c r="AH95" i="39" s="1"/>
  <c r="Z95" i="39"/>
  <c r="AA95" i="39" s="1"/>
  <c r="V113" i="39"/>
  <c r="Z113" i="39" s="1"/>
  <c r="AA113" i="39" s="1"/>
  <c r="Z122" i="39"/>
  <c r="AA122" i="39" s="1"/>
  <c r="Y122" i="39"/>
  <c r="AH122" i="39" s="1"/>
  <c r="Q110" i="39"/>
  <c r="P110" i="39"/>
  <c r="Q97" i="39"/>
  <c r="P97" i="39"/>
  <c r="V91" i="35"/>
  <c r="Z91" i="35" s="1"/>
  <c r="O110" i="33"/>
  <c r="M9" i="33"/>
  <c r="P110" i="33"/>
  <c r="AH113" i="39" l="1"/>
  <c r="AH91" i="39" s="1"/>
  <c r="AH90" i="39" s="1"/>
  <c r="AH132" i="39" s="1"/>
  <c r="AH136" i="39" s="1"/>
  <c r="AH143" i="39" s="1"/>
  <c r="AF122" i="39"/>
  <c r="AF95" i="39"/>
  <c r="M110" i="33"/>
  <c r="M96" i="33" s="1"/>
  <c r="V91" i="39"/>
  <c r="V90" i="35"/>
  <c r="Z90" i="35" s="1"/>
  <c r="AY92" i="33"/>
  <c r="AZ92" i="33"/>
  <c r="BA92" i="33"/>
  <c r="BB92" i="33"/>
  <c r="BC92" i="33"/>
  <c r="BD92" i="33"/>
  <c r="AY93" i="33"/>
  <c r="AZ93" i="33"/>
  <c r="BA93" i="33"/>
  <c r="BB93" i="33"/>
  <c r="BC93" i="33"/>
  <c r="BD93" i="33"/>
  <c r="AZ91" i="33"/>
  <c r="BA91" i="33"/>
  <c r="BB91" i="33"/>
  <c r="BC91" i="33"/>
  <c r="BD91" i="33"/>
  <c r="AY91" i="33"/>
  <c r="BD147" i="33"/>
  <c r="BC146" i="33"/>
  <c r="BB145" i="33"/>
  <c r="AZ143" i="33"/>
  <c r="BA144" i="33"/>
  <c r="AY142" i="33"/>
  <c r="AZ138" i="33"/>
  <c r="BA138" i="33"/>
  <c r="BB138" i="33"/>
  <c r="BC138" i="33"/>
  <c r="BD138" i="33"/>
  <c r="AY138" i="33"/>
  <c r="AZ136" i="33"/>
  <c r="BA136" i="33"/>
  <c r="BB136" i="33"/>
  <c r="BC136" i="33"/>
  <c r="BD136" i="33"/>
  <c r="AY136" i="33"/>
  <c r="AY120" i="33"/>
  <c r="AZ120" i="33"/>
  <c r="BA120" i="33"/>
  <c r="BB120" i="33"/>
  <c r="BC120" i="33"/>
  <c r="BD120" i="33"/>
  <c r="AY121" i="33"/>
  <c r="AZ121" i="33"/>
  <c r="BA121" i="33"/>
  <c r="BB121" i="33"/>
  <c r="BC121" i="33"/>
  <c r="BD121" i="33"/>
  <c r="AY122" i="33"/>
  <c r="AZ122" i="33"/>
  <c r="BA122" i="33"/>
  <c r="BB122" i="33"/>
  <c r="BC122" i="33"/>
  <c r="BD122" i="33"/>
  <c r="AY123" i="33"/>
  <c r="AZ123" i="33"/>
  <c r="BA123" i="33"/>
  <c r="BB123" i="33"/>
  <c r="BC123" i="33"/>
  <c r="BD123" i="33"/>
  <c r="AY124" i="33"/>
  <c r="AZ124" i="33"/>
  <c r="BA124" i="33"/>
  <c r="BB124" i="33"/>
  <c r="BC124" i="33"/>
  <c r="BD124" i="33"/>
  <c r="AY125" i="33"/>
  <c r="AZ125" i="33"/>
  <c r="BA125" i="33"/>
  <c r="BB125" i="33"/>
  <c r="BC125" i="33"/>
  <c r="BD125" i="33"/>
  <c r="AY126" i="33"/>
  <c r="AZ126" i="33"/>
  <c r="BA126" i="33"/>
  <c r="BB126" i="33"/>
  <c r="BC126" i="33"/>
  <c r="BD126" i="33"/>
  <c r="AY127" i="33"/>
  <c r="AZ127" i="33"/>
  <c r="BA127" i="33"/>
  <c r="BB127" i="33"/>
  <c r="BC127" i="33"/>
  <c r="BD127" i="33"/>
  <c r="AY128" i="33"/>
  <c r="AZ128" i="33"/>
  <c r="BA128" i="33"/>
  <c r="BB128" i="33"/>
  <c r="BC128" i="33"/>
  <c r="BD128" i="33"/>
  <c r="AY129" i="33"/>
  <c r="AZ129" i="33"/>
  <c r="BA129" i="33"/>
  <c r="BB129" i="33"/>
  <c r="BC129" i="33"/>
  <c r="BD129" i="33"/>
  <c r="AY130" i="33"/>
  <c r="AZ130" i="33"/>
  <c r="BA130" i="33"/>
  <c r="BB130" i="33"/>
  <c r="BC130" i="33"/>
  <c r="BD130" i="33"/>
  <c r="AY131" i="33"/>
  <c r="AZ131" i="33"/>
  <c r="BA131" i="33"/>
  <c r="BB131" i="33"/>
  <c r="BC131" i="33"/>
  <c r="BD131" i="33"/>
  <c r="AY132" i="33"/>
  <c r="AZ132" i="33"/>
  <c r="BA132" i="33"/>
  <c r="BB132" i="33"/>
  <c r="BC132" i="33"/>
  <c r="BD132" i="33"/>
  <c r="AY133" i="33"/>
  <c r="AZ133" i="33"/>
  <c r="BA133" i="33"/>
  <c r="BB133" i="33"/>
  <c r="BC133" i="33"/>
  <c r="BD133" i="33"/>
  <c r="AZ119" i="33"/>
  <c r="BA119" i="33"/>
  <c r="BB119" i="33"/>
  <c r="BC119" i="33"/>
  <c r="BD119" i="33"/>
  <c r="AY119" i="33"/>
  <c r="AY117" i="33"/>
  <c r="AZ117" i="33"/>
  <c r="BA117" i="33"/>
  <c r="BB117" i="33"/>
  <c r="BC117" i="33"/>
  <c r="BD117" i="33"/>
  <c r="AZ116" i="33"/>
  <c r="BA116" i="33"/>
  <c r="BB116" i="33"/>
  <c r="BC116" i="33"/>
  <c r="BD116" i="33"/>
  <c r="AY116" i="33"/>
  <c r="AZ114" i="33"/>
  <c r="BA114" i="33"/>
  <c r="BB114" i="33"/>
  <c r="BC114" i="33"/>
  <c r="BD114" i="33"/>
  <c r="AY114" i="33"/>
  <c r="AY112" i="33"/>
  <c r="AZ112" i="33"/>
  <c r="BA112" i="33"/>
  <c r="BB112" i="33"/>
  <c r="BC112" i="33"/>
  <c r="BD112" i="33"/>
  <c r="AZ111" i="33"/>
  <c r="BA111" i="33"/>
  <c r="BB111" i="33"/>
  <c r="BC111" i="33"/>
  <c r="BD111" i="33"/>
  <c r="AY111" i="33"/>
  <c r="AZ108" i="33"/>
  <c r="BA108" i="33"/>
  <c r="BB108" i="33"/>
  <c r="BC108" i="33"/>
  <c r="BD108" i="33"/>
  <c r="AY108" i="33"/>
  <c r="AY105" i="33"/>
  <c r="AZ105" i="33"/>
  <c r="BA105" i="33"/>
  <c r="BB105" i="33"/>
  <c r="BC105" i="33"/>
  <c r="BD105" i="33"/>
  <c r="AY106" i="33"/>
  <c r="AZ106" i="33"/>
  <c r="BA106" i="33"/>
  <c r="BB106" i="33"/>
  <c r="BC106" i="33"/>
  <c r="BD106" i="33"/>
  <c r="AY107" i="33"/>
  <c r="AZ107" i="33"/>
  <c r="BA107" i="33"/>
  <c r="BB107" i="33"/>
  <c r="BC107" i="33"/>
  <c r="BD107" i="33"/>
  <c r="AZ104" i="33"/>
  <c r="BA104" i="33"/>
  <c r="BB104" i="33"/>
  <c r="BC104" i="33"/>
  <c r="BD104" i="33"/>
  <c r="AY104" i="33"/>
  <c r="AY99" i="33"/>
  <c r="AZ99" i="33"/>
  <c r="BA99" i="33"/>
  <c r="BB99" i="33"/>
  <c r="BC99" i="33"/>
  <c r="BD99" i="33"/>
  <c r="AY100" i="33"/>
  <c r="AZ100" i="33"/>
  <c r="BA100" i="33"/>
  <c r="BB100" i="33"/>
  <c r="BC100" i="33"/>
  <c r="BD100" i="33"/>
  <c r="AY101" i="33"/>
  <c r="AZ101" i="33"/>
  <c r="BA101" i="33"/>
  <c r="BB101" i="33"/>
  <c r="BC101" i="33"/>
  <c r="BD101" i="33"/>
  <c r="AZ98" i="33"/>
  <c r="BA98" i="33"/>
  <c r="BB98" i="33"/>
  <c r="BC98" i="33"/>
  <c r="BD98" i="33"/>
  <c r="AY98" i="33"/>
  <c r="AY78" i="33"/>
  <c r="AZ78" i="33"/>
  <c r="BA78" i="33"/>
  <c r="BB78" i="33"/>
  <c r="BC78" i="33"/>
  <c r="BD78" i="33"/>
  <c r="AY79" i="33"/>
  <c r="AZ79" i="33"/>
  <c r="BA79" i="33"/>
  <c r="BB79" i="33"/>
  <c r="BC79" i="33"/>
  <c r="BD79" i="33"/>
  <c r="AY80" i="33"/>
  <c r="AZ80" i="33"/>
  <c r="BA80" i="33"/>
  <c r="BB80" i="33"/>
  <c r="BC80" i="33"/>
  <c r="BD80" i="33"/>
  <c r="AY81" i="33"/>
  <c r="AZ81" i="33"/>
  <c r="BA81" i="33"/>
  <c r="BB81" i="33"/>
  <c r="BC81" i="33"/>
  <c r="BD81" i="33"/>
  <c r="AY82" i="33"/>
  <c r="AZ82" i="33"/>
  <c r="BA82" i="33"/>
  <c r="BB82" i="33"/>
  <c r="BC82" i="33"/>
  <c r="BD82" i="33"/>
  <c r="AY83" i="33"/>
  <c r="AZ83" i="33"/>
  <c r="BA83" i="33"/>
  <c r="BB83" i="33"/>
  <c r="BC83" i="33"/>
  <c r="BD83" i="33"/>
  <c r="AY84" i="33"/>
  <c r="AZ84" i="33"/>
  <c r="BA84" i="33"/>
  <c r="BB84" i="33"/>
  <c r="BC84" i="33"/>
  <c r="BD84" i="33"/>
  <c r="AY85" i="33"/>
  <c r="AZ85" i="33"/>
  <c r="BA85" i="33"/>
  <c r="BB85" i="33"/>
  <c r="BC85" i="33"/>
  <c r="BD85" i="33"/>
  <c r="AY86" i="33"/>
  <c r="AZ86" i="33"/>
  <c r="BA86" i="33"/>
  <c r="BB86" i="33"/>
  <c r="BC86" i="33"/>
  <c r="BD86" i="33"/>
  <c r="AY87" i="33"/>
  <c r="AZ87" i="33"/>
  <c r="BA87" i="33"/>
  <c r="BB87" i="33"/>
  <c r="BC87" i="33"/>
  <c r="BD87" i="33"/>
  <c r="AY88" i="33"/>
  <c r="AZ88" i="33"/>
  <c r="BA88" i="33"/>
  <c r="BB88" i="33"/>
  <c r="BC88" i="33"/>
  <c r="BD88" i="33"/>
  <c r="AY89" i="33"/>
  <c r="AZ89" i="33"/>
  <c r="BA89" i="33"/>
  <c r="BB89" i="33"/>
  <c r="BC89" i="33"/>
  <c r="BD89" i="33"/>
  <c r="AY90" i="33"/>
  <c r="AZ90" i="33"/>
  <c r="BA90" i="33"/>
  <c r="BB90" i="33"/>
  <c r="BC90" i="33"/>
  <c r="BD90" i="33"/>
  <c r="AZ77" i="33"/>
  <c r="BA77" i="33"/>
  <c r="BB77" i="33"/>
  <c r="BC77" i="33"/>
  <c r="BD77" i="33"/>
  <c r="AY77" i="33"/>
  <c r="AY73" i="33"/>
  <c r="AZ73" i="33"/>
  <c r="BA73" i="33"/>
  <c r="BB73" i="33"/>
  <c r="BC73" i="33"/>
  <c r="BD73" i="33"/>
  <c r="AY74" i="33"/>
  <c r="AZ74" i="33"/>
  <c r="BA74" i="33"/>
  <c r="BB74" i="33"/>
  <c r="BC74" i="33"/>
  <c r="BD74" i="33"/>
  <c r="AY75" i="33"/>
  <c r="AZ75" i="33"/>
  <c r="BA75" i="33"/>
  <c r="BB75" i="33"/>
  <c r="BC75" i="33"/>
  <c r="BD75" i="33"/>
  <c r="AZ72" i="33"/>
  <c r="BA72" i="33"/>
  <c r="BB72" i="33"/>
  <c r="BC72" i="33"/>
  <c r="BD72" i="33"/>
  <c r="AY72" i="33"/>
  <c r="AZ70" i="33"/>
  <c r="BA70" i="33"/>
  <c r="BB70" i="33"/>
  <c r="BC70" i="33"/>
  <c r="BD70" i="33"/>
  <c r="AY70" i="33"/>
  <c r="AY59" i="33"/>
  <c r="AZ59" i="33"/>
  <c r="BA59" i="33"/>
  <c r="BB59" i="33"/>
  <c r="BC59" i="33"/>
  <c r="BD59" i="33"/>
  <c r="AY60" i="33"/>
  <c r="AZ60" i="33"/>
  <c r="BA60" i="33"/>
  <c r="BB60" i="33"/>
  <c r="BC60" i="33"/>
  <c r="BD60" i="33"/>
  <c r="AY61" i="33"/>
  <c r="AZ61" i="33"/>
  <c r="BA61" i="33"/>
  <c r="BB61" i="33"/>
  <c r="BC61" i="33"/>
  <c r="BD61" i="33"/>
  <c r="AY62" i="33"/>
  <c r="AZ62" i="33"/>
  <c r="BA62" i="33"/>
  <c r="BB62" i="33"/>
  <c r="BC62" i="33"/>
  <c r="BD62" i="33"/>
  <c r="AY63" i="33"/>
  <c r="AZ63" i="33"/>
  <c r="BA63" i="33"/>
  <c r="BB63" i="33"/>
  <c r="BC63" i="33"/>
  <c r="BD63" i="33"/>
  <c r="AY64" i="33"/>
  <c r="AZ64" i="33"/>
  <c r="BA64" i="33"/>
  <c r="BB64" i="33"/>
  <c r="BC64" i="33"/>
  <c r="BD64" i="33"/>
  <c r="AY65" i="33"/>
  <c r="AZ65" i="33"/>
  <c r="BA65" i="33"/>
  <c r="BB65" i="33"/>
  <c r="BC65" i="33"/>
  <c r="BD65" i="33"/>
  <c r="AY66" i="33"/>
  <c r="AZ66" i="33"/>
  <c r="BA66" i="33"/>
  <c r="BB66" i="33"/>
  <c r="BC66" i="33"/>
  <c r="BD66" i="33"/>
  <c r="AY67" i="33"/>
  <c r="AZ67" i="33"/>
  <c r="BA67" i="33"/>
  <c r="BB67" i="33"/>
  <c r="BC67" i="33"/>
  <c r="BD67" i="33"/>
  <c r="AY68" i="33"/>
  <c r="AZ68" i="33"/>
  <c r="BA68" i="33"/>
  <c r="BB68" i="33"/>
  <c r="BC68" i="33"/>
  <c r="BD68" i="33"/>
  <c r="AY58" i="33"/>
  <c r="AZ58" i="33"/>
  <c r="BA58" i="33"/>
  <c r="BB58" i="33"/>
  <c r="BC58" i="33"/>
  <c r="BD58" i="33"/>
  <c r="AY48" i="33"/>
  <c r="AZ48" i="33"/>
  <c r="BA48" i="33"/>
  <c r="BB48" i="33"/>
  <c r="BC48" i="33"/>
  <c r="BD48" i="33"/>
  <c r="AY49" i="33"/>
  <c r="AZ49" i="33"/>
  <c r="BA49" i="33"/>
  <c r="BB49" i="33"/>
  <c r="BC49" i="33"/>
  <c r="BD49" i="33"/>
  <c r="AY50" i="33"/>
  <c r="AZ50" i="33"/>
  <c r="BA50" i="33"/>
  <c r="BB50" i="33"/>
  <c r="BC50" i="33"/>
  <c r="BD50" i="33"/>
  <c r="AY51" i="33"/>
  <c r="AZ51" i="33"/>
  <c r="BA51" i="33"/>
  <c r="BB51" i="33"/>
  <c r="BC51" i="33"/>
  <c r="BD51" i="33"/>
  <c r="AY52" i="33"/>
  <c r="AZ52" i="33"/>
  <c r="BA52" i="33"/>
  <c r="BB52" i="33"/>
  <c r="BC52" i="33"/>
  <c r="BD52" i="33"/>
  <c r="AY53" i="33"/>
  <c r="AZ53" i="33"/>
  <c r="BA53" i="33"/>
  <c r="BB53" i="33"/>
  <c r="BC53" i="33"/>
  <c r="BD53" i="33"/>
  <c r="AY54" i="33"/>
  <c r="AZ54" i="33"/>
  <c r="BA54" i="33"/>
  <c r="BB54" i="33"/>
  <c r="BC54" i="33"/>
  <c r="BD54" i="33"/>
  <c r="AY55" i="33"/>
  <c r="AZ55" i="33"/>
  <c r="BA55" i="33"/>
  <c r="BB55" i="33"/>
  <c r="BC55" i="33"/>
  <c r="BD55" i="33"/>
  <c r="AY56" i="33"/>
  <c r="AZ56" i="33"/>
  <c r="BA56" i="33"/>
  <c r="BB56" i="33"/>
  <c r="BC56" i="33"/>
  <c r="BD56" i="33"/>
  <c r="AY57" i="33"/>
  <c r="AZ57" i="33"/>
  <c r="BA57" i="33"/>
  <c r="BB57" i="33"/>
  <c r="BC57" i="33"/>
  <c r="BD57" i="33"/>
  <c r="AZ47" i="33"/>
  <c r="BA47" i="33"/>
  <c r="BB47" i="33"/>
  <c r="BC47" i="33"/>
  <c r="BD47" i="33"/>
  <c r="AY47" i="33"/>
  <c r="AY42" i="33"/>
  <c r="AZ42" i="33"/>
  <c r="BA42" i="33"/>
  <c r="BB42" i="33"/>
  <c r="BC42" i="33"/>
  <c r="BD42" i="33"/>
  <c r="AY43" i="33"/>
  <c r="AZ43" i="33"/>
  <c r="BA43" i="33"/>
  <c r="BB43" i="33"/>
  <c r="BC43" i="33"/>
  <c r="BD43" i="33"/>
  <c r="AY44" i="33"/>
  <c r="AZ44" i="33"/>
  <c r="BA44" i="33"/>
  <c r="BB44" i="33"/>
  <c r="BC44" i="33"/>
  <c r="BD44" i="33"/>
  <c r="AY45" i="33"/>
  <c r="AZ45" i="33"/>
  <c r="BA45" i="33"/>
  <c r="BB45" i="33"/>
  <c r="BC45" i="33"/>
  <c r="BD45" i="33"/>
  <c r="AZ41" i="33"/>
  <c r="BA41" i="33"/>
  <c r="BB41" i="33"/>
  <c r="BC41" i="33"/>
  <c r="BD41" i="33"/>
  <c r="AY41" i="33"/>
  <c r="AY38" i="33"/>
  <c r="AZ38" i="33"/>
  <c r="BA38" i="33"/>
  <c r="BB38" i="33"/>
  <c r="BC38" i="33"/>
  <c r="BD38" i="33"/>
  <c r="AY39" i="33"/>
  <c r="AZ39" i="33"/>
  <c r="BA39" i="33"/>
  <c r="BB39" i="33"/>
  <c r="BC39" i="33"/>
  <c r="BD39" i="33"/>
  <c r="AZ37" i="33"/>
  <c r="BA37" i="33"/>
  <c r="BB37" i="33"/>
  <c r="BC37" i="33"/>
  <c r="BD37" i="33"/>
  <c r="AY37" i="33"/>
  <c r="AZ33" i="33"/>
  <c r="BA33" i="33"/>
  <c r="BB33" i="33"/>
  <c r="BC33" i="33"/>
  <c r="BD33" i="33"/>
  <c r="AY33" i="33"/>
  <c r="AY31" i="33"/>
  <c r="AZ31" i="33"/>
  <c r="BA31" i="33"/>
  <c r="BB31" i="33"/>
  <c r="BC31" i="33"/>
  <c r="BD31" i="33"/>
  <c r="AY32" i="33"/>
  <c r="AZ32" i="33"/>
  <c r="BA32" i="33"/>
  <c r="BB32" i="33"/>
  <c r="BC32" i="33"/>
  <c r="BD32" i="33"/>
  <c r="AZ26" i="33"/>
  <c r="BA26" i="33"/>
  <c r="BB26" i="33"/>
  <c r="BC26" i="33"/>
  <c r="BD26" i="33"/>
  <c r="AY26" i="33"/>
  <c r="AY25" i="33"/>
  <c r="AZ25" i="33"/>
  <c r="BA25" i="33"/>
  <c r="BB25" i="33"/>
  <c r="BC25" i="33"/>
  <c r="BD25" i="33"/>
  <c r="AZ24" i="33"/>
  <c r="BA24" i="33"/>
  <c r="BB24" i="33"/>
  <c r="BC24" i="33"/>
  <c r="BD24" i="33"/>
  <c r="AY24" i="33"/>
  <c r="AY13" i="33"/>
  <c r="AZ13" i="33"/>
  <c r="BA13" i="33"/>
  <c r="BB13" i="33"/>
  <c r="BC13" i="33"/>
  <c r="BD13" i="33"/>
  <c r="AY14" i="33"/>
  <c r="AZ14" i="33"/>
  <c r="BA14" i="33"/>
  <c r="BB14" i="33"/>
  <c r="BC14" i="33"/>
  <c r="BD14" i="33"/>
  <c r="AY15" i="33"/>
  <c r="AZ15" i="33"/>
  <c r="BA15" i="33"/>
  <c r="BB15" i="33"/>
  <c r="BC15" i="33"/>
  <c r="BD15" i="33"/>
  <c r="AY16" i="33"/>
  <c r="AZ16" i="33"/>
  <c r="BA16" i="33"/>
  <c r="BB16" i="33"/>
  <c r="BC16" i="33"/>
  <c r="BD16" i="33"/>
  <c r="AY17" i="33"/>
  <c r="AZ17" i="33"/>
  <c r="BA17" i="33"/>
  <c r="BB17" i="33"/>
  <c r="BC17" i="33"/>
  <c r="BD17" i="33"/>
  <c r="AY18" i="33"/>
  <c r="AZ18" i="33"/>
  <c r="BA18" i="33"/>
  <c r="BB18" i="33"/>
  <c r="BC18" i="33"/>
  <c r="BD18" i="33"/>
  <c r="AY19" i="33"/>
  <c r="AZ19" i="33"/>
  <c r="BA19" i="33"/>
  <c r="BB19" i="33"/>
  <c r="BC19" i="33"/>
  <c r="BD19" i="33"/>
  <c r="AY20" i="33"/>
  <c r="AZ20" i="33"/>
  <c r="BA20" i="33"/>
  <c r="BB20" i="33"/>
  <c r="BC20" i="33"/>
  <c r="BD20" i="33"/>
  <c r="AY21" i="33"/>
  <c r="AZ21" i="33"/>
  <c r="BA21" i="33"/>
  <c r="BB21" i="33"/>
  <c r="BC21" i="33"/>
  <c r="BD21" i="33"/>
  <c r="AY22" i="33"/>
  <c r="AZ22" i="33"/>
  <c r="BA22" i="33"/>
  <c r="BB22" i="33"/>
  <c r="BC22" i="33"/>
  <c r="BD22" i="33"/>
  <c r="AZ12" i="33"/>
  <c r="BA12" i="33"/>
  <c r="BB12" i="33"/>
  <c r="BC12" i="33"/>
  <c r="BD12" i="33"/>
  <c r="AY12" i="33"/>
  <c r="AI95" i="39" l="1"/>
  <c r="AJ95" i="39"/>
  <c r="AK95" i="39" s="1"/>
  <c r="AI122" i="39"/>
  <c r="AJ122" i="39"/>
  <c r="AK122" i="39" s="1"/>
  <c r="AF113" i="39"/>
  <c r="AF91" i="39" s="1"/>
  <c r="V90" i="39"/>
  <c r="Z91" i="39"/>
  <c r="AA91" i="39" s="1"/>
  <c r="V132" i="35"/>
  <c r="Z132" i="35" s="1"/>
  <c r="M95" i="33"/>
  <c r="AT92" i="33"/>
  <c r="AT93" i="33"/>
  <c r="AT91" i="33"/>
  <c r="AX152" i="33"/>
  <c r="BD140" i="33"/>
  <c r="BD139" i="33" s="1"/>
  <c r="BC140" i="33"/>
  <c r="BC139" i="33" s="1"/>
  <c r="BB140" i="33"/>
  <c r="BB139" i="33" s="1"/>
  <c r="BA140" i="33"/>
  <c r="BA139" i="33" s="1"/>
  <c r="AZ140" i="33"/>
  <c r="AZ139" i="33" s="1"/>
  <c r="AY140" i="33"/>
  <c r="AY139" i="33" s="1"/>
  <c r="AX138" i="33"/>
  <c r="AX140" i="33" s="1"/>
  <c r="AX139" i="33" s="1"/>
  <c r="AX136" i="33"/>
  <c r="AX135" i="33"/>
  <c r="AX134" i="33"/>
  <c r="AX133" i="33"/>
  <c r="AX132" i="33"/>
  <c r="AX131" i="33"/>
  <c r="AX130" i="33"/>
  <c r="AX129" i="33"/>
  <c r="AX128" i="33"/>
  <c r="AX127" i="33"/>
  <c r="AX126" i="33"/>
  <c r="AX125" i="33"/>
  <c r="AX124" i="33"/>
  <c r="AX123" i="33"/>
  <c r="AX122" i="33"/>
  <c r="AX121" i="33"/>
  <c r="AX120" i="33"/>
  <c r="AX119" i="33"/>
  <c r="BD118" i="33"/>
  <c r="BC118" i="33"/>
  <c r="BB118" i="33"/>
  <c r="BA118" i="33"/>
  <c r="AZ118" i="33"/>
  <c r="AY118" i="33"/>
  <c r="AX117" i="33"/>
  <c r="AX116" i="33"/>
  <c r="BD115" i="33"/>
  <c r="BC115" i="33"/>
  <c r="BB115" i="33"/>
  <c r="BA115" i="33"/>
  <c r="AZ115" i="33"/>
  <c r="AY115" i="33"/>
  <c r="AX114" i="33"/>
  <c r="AX113" i="33"/>
  <c r="AX112" i="33"/>
  <c r="AX111" i="33"/>
  <c r="BD110" i="33"/>
  <c r="BC110" i="33"/>
  <c r="BB110" i="33"/>
  <c r="BA110" i="33"/>
  <c r="AZ110" i="33"/>
  <c r="AY110" i="33"/>
  <c r="AX109" i="33"/>
  <c r="AX108" i="33"/>
  <c r="AX107" i="33"/>
  <c r="AX106" i="33"/>
  <c r="AX105" i="33"/>
  <c r="AX104" i="33"/>
  <c r="BD102" i="33"/>
  <c r="BC102" i="33"/>
  <c r="BB102" i="33"/>
  <c r="BA102" i="33"/>
  <c r="AZ102" i="33"/>
  <c r="AY102" i="33"/>
  <c r="AX101" i="33"/>
  <c r="AX100" i="33"/>
  <c r="AX99" i="33"/>
  <c r="AX98" i="33"/>
  <c r="AX93" i="33"/>
  <c r="AX90" i="33"/>
  <c r="AX89" i="33"/>
  <c r="AX88" i="33"/>
  <c r="AX87" i="33"/>
  <c r="AX86" i="33"/>
  <c r="AX85" i="33"/>
  <c r="AX84" i="33"/>
  <c r="AX83" i="33"/>
  <c r="AX82" i="33"/>
  <c r="AX81" i="33"/>
  <c r="AX80" i="33"/>
  <c r="AX79" i="33"/>
  <c r="AX78" i="33"/>
  <c r="AX77" i="33"/>
  <c r="BD76" i="33"/>
  <c r="BC76" i="33"/>
  <c r="BB76" i="33"/>
  <c r="BA76" i="33"/>
  <c r="AZ76" i="33"/>
  <c r="AY76" i="33"/>
  <c r="AX75" i="33"/>
  <c r="AX74" i="33"/>
  <c r="AX73" i="33"/>
  <c r="AX72" i="33"/>
  <c r="BD71" i="33"/>
  <c r="BC71" i="33"/>
  <c r="BB71" i="33"/>
  <c r="BA71" i="33"/>
  <c r="AZ71" i="33"/>
  <c r="AY71" i="33"/>
  <c r="AX70" i="33"/>
  <c r="BD69" i="33"/>
  <c r="BC69" i="33"/>
  <c r="BB69" i="33"/>
  <c r="BA69" i="33"/>
  <c r="AZ69" i="33"/>
  <c r="AY69" i="33"/>
  <c r="AX68" i="33"/>
  <c r="AX67" i="33"/>
  <c r="AX66" i="33"/>
  <c r="AX65" i="33"/>
  <c r="AX64" i="33"/>
  <c r="AX63" i="33"/>
  <c r="AX62" i="33"/>
  <c r="AX61" i="33"/>
  <c r="AX60" i="33"/>
  <c r="AX59" i="33"/>
  <c r="AX58" i="33"/>
  <c r="AX57" i="33"/>
  <c r="AX56" i="33"/>
  <c r="AX55" i="33"/>
  <c r="AX54" i="33"/>
  <c r="AX53" i="33"/>
  <c r="AX52" i="33"/>
  <c r="AX51" i="33"/>
  <c r="AX50" i="33"/>
  <c r="AX49" i="33"/>
  <c r="AX48" i="33"/>
  <c r="AX47" i="33"/>
  <c r="BD46" i="33"/>
  <c r="BC46" i="33"/>
  <c r="BB46" i="33"/>
  <c r="BA46" i="33"/>
  <c r="AZ46" i="33"/>
  <c r="AY46" i="33"/>
  <c r="AX45" i="33"/>
  <c r="AX44" i="33"/>
  <c r="AX43" i="33"/>
  <c r="AX42" i="33"/>
  <c r="AX41" i="33"/>
  <c r="BD40" i="33"/>
  <c r="BC40" i="33"/>
  <c r="BB40" i="33"/>
  <c r="BA40" i="33"/>
  <c r="AZ40" i="33"/>
  <c r="AY40" i="33"/>
  <c r="AX39" i="33"/>
  <c r="AX38" i="33"/>
  <c r="AX37" i="33"/>
  <c r="AX34" i="33"/>
  <c r="AX33" i="33"/>
  <c r="AX32" i="33"/>
  <c r="AX31" i="33"/>
  <c r="AX30" i="33"/>
  <c r="AX29" i="33"/>
  <c r="BD27" i="33"/>
  <c r="BC27" i="33"/>
  <c r="BB27" i="33"/>
  <c r="BA27" i="33"/>
  <c r="AZ27" i="33"/>
  <c r="AY27" i="33"/>
  <c r="AX91" i="33" s="1"/>
  <c r="AX26" i="33"/>
  <c r="AX25" i="33"/>
  <c r="AX24" i="33"/>
  <c r="BD23" i="33"/>
  <c r="BC23" i="33"/>
  <c r="BB23" i="33"/>
  <c r="BA23" i="33"/>
  <c r="AZ23" i="33"/>
  <c r="AY23" i="33"/>
  <c r="AX22" i="33"/>
  <c r="AX21" i="33"/>
  <c r="AX20" i="33"/>
  <c r="AX19" i="33"/>
  <c r="AX18" i="33"/>
  <c r="AX17" i="33"/>
  <c r="AX16" i="33"/>
  <c r="AX15" i="33"/>
  <c r="AX14" i="33"/>
  <c r="AX13" i="33"/>
  <c r="AX12" i="33"/>
  <c r="BD11" i="33"/>
  <c r="BC11" i="33"/>
  <c r="BB11" i="33"/>
  <c r="BA11" i="33"/>
  <c r="AZ11" i="33"/>
  <c r="AY11" i="33"/>
  <c r="D154" i="33"/>
  <c r="AT147" i="33"/>
  <c r="AT146" i="33"/>
  <c r="AT145" i="33"/>
  <c r="AT144" i="33"/>
  <c r="AT143" i="33"/>
  <c r="AT142" i="33"/>
  <c r="J140" i="33"/>
  <c r="J139" i="33" s="1"/>
  <c r="I140" i="33"/>
  <c r="I139" i="33" s="1"/>
  <c r="H140" i="33"/>
  <c r="H139" i="33" s="1"/>
  <c r="G140" i="33"/>
  <c r="G139" i="33" s="1"/>
  <c r="F140" i="33"/>
  <c r="F139" i="33" s="1"/>
  <c r="D136" i="33"/>
  <c r="D135" i="33"/>
  <c r="D134" i="33"/>
  <c r="D133" i="33"/>
  <c r="D132" i="33"/>
  <c r="D131" i="33"/>
  <c r="D130" i="33"/>
  <c r="D129" i="33"/>
  <c r="D128" i="33"/>
  <c r="D127" i="33"/>
  <c r="D126" i="33"/>
  <c r="D125" i="33"/>
  <c r="D124" i="33"/>
  <c r="D123" i="33"/>
  <c r="D122" i="33"/>
  <c r="D121" i="33"/>
  <c r="D120" i="33"/>
  <c r="D119" i="33"/>
  <c r="J118" i="33"/>
  <c r="I118" i="33"/>
  <c r="H118" i="33"/>
  <c r="G118" i="33"/>
  <c r="F118" i="33"/>
  <c r="E118" i="33"/>
  <c r="D117" i="33"/>
  <c r="D116" i="33"/>
  <c r="J115" i="33"/>
  <c r="I115" i="33"/>
  <c r="H115" i="33"/>
  <c r="G115" i="33"/>
  <c r="F115" i="33"/>
  <c r="E115" i="33"/>
  <c r="D114" i="33"/>
  <c r="D113" i="33"/>
  <c r="D112" i="33"/>
  <c r="D111" i="33"/>
  <c r="J110" i="33"/>
  <c r="I110" i="33"/>
  <c r="H110" i="33"/>
  <c r="G110" i="33"/>
  <c r="F110" i="33"/>
  <c r="E110" i="33"/>
  <c r="D109" i="33"/>
  <c r="AU109" i="33" s="1"/>
  <c r="D108" i="33"/>
  <c r="D107" i="33"/>
  <c r="D106" i="33"/>
  <c r="D105" i="33"/>
  <c r="D104" i="33"/>
  <c r="J102" i="33"/>
  <c r="I102" i="33"/>
  <c r="H102" i="33"/>
  <c r="G102" i="33"/>
  <c r="F102" i="33"/>
  <c r="E102" i="33"/>
  <c r="D101" i="33"/>
  <c r="D100" i="33"/>
  <c r="D99" i="33"/>
  <c r="D98" i="33"/>
  <c r="D90" i="33"/>
  <c r="D89" i="33"/>
  <c r="D88" i="33"/>
  <c r="D87" i="33"/>
  <c r="D86" i="33"/>
  <c r="D85" i="33"/>
  <c r="D84" i="33"/>
  <c r="D83" i="33"/>
  <c r="D82" i="33"/>
  <c r="D81" i="33"/>
  <c r="D80" i="33"/>
  <c r="D79" i="33"/>
  <c r="D78" i="33"/>
  <c r="D77" i="33"/>
  <c r="J76" i="33"/>
  <c r="I76" i="33"/>
  <c r="H76" i="33"/>
  <c r="G76" i="33"/>
  <c r="F76" i="33"/>
  <c r="E76" i="33"/>
  <c r="D75" i="33"/>
  <c r="D74" i="33"/>
  <c r="D73" i="33"/>
  <c r="D72" i="33"/>
  <c r="J71" i="33"/>
  <c r="I71" i="33"/>
  <c r="H71" i="33"/>
  <c r="G71" i="33"/>
  <c r="F71" i="33"/>
  <c r="E71" i="33"/>
  <c r="D70" i="33"/>
  <c r="J69" i="33"/>
  <c r="I69" i="33"/>
  <c r="H69" i="33"/>
  <c r="G69" i="33"/>
  <c r="F69" i="33"/>
  <c r="E69" i="33"/>
  <c r="D68" i="33"/>
  <c r="D67" i="33"/>
  <c r="D66" i="33"/>
  <c r="D65" i="33"/>
  <c r="D64" i="33"/>
  <c r="U64" i="33" s="1"/>
  <c r="D63" i="33"/>
  <c r="D62" i="33"/>
  <c r="D61" i="33"/>
  <c r="D60" i="33"/>
  <c r="D59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J46" i="33"/>
  <c r="I46" i="33"/>
  <c r="H46" i="33"/>
  <c r="G46" i="33"/>
  <c r="F46" i="33"/>
  <c r="E46" i="33"/>
  <c r="D45" i="33"/>
  <c r="D44" i="33"/>
  <c r="D43" i="33"/>
  <c r="D42" i="33"/>
  <c r="D41" i="33"/>
  <c r="J40" i="33"/>
  <c r="I40" i="33"/>
  <c r="H40" i="33"/>
  <c r="G40" i="33"/>
  <c r="F40" i="33"/>
  <c r="E40" i="33"/>
  <c r="D39" i="33"/>
  <c r="D38" i="33"/>
  <c r="D37" i="33"/>
  <c r="D34" i="33"/>
  <c r="D33" i="33"/>
  <c r="D185" i="33" s="1"/>
  <c r="D32" i="33"/>
  <c r="D31" i="33"/>
  <c r="D30" i="33"/>
  <c r="D29" i="33"/>
  <c r="J27" i="33"/>
  <c r="J181" i="33" s="1"/>
  <c r="I27" i="33"/>
  <c r="I181" i="33" s="1"/>
  <c r="H27" i="33"/>
  <c r="H181" i="33" s="1"/>
  <c r="G27" i="33"/>
  <c r="G181" i="33" s="1"/>
  <c r="F27" i="33"/>
  <c r="F181" i="33" s="1"/>
  <c r="E27" i="33"/>
  <c r="E181" i="33" s="1"/>
  <c r="D26" i="33"/>
  <c r="D25" i="33"/>
  <c r="D24" i="33"/>
  <c r="J23" i="33"/>
  <c r="I23" i="33"/>
  <c r="H23" i="33"/>
  <c r="G23" i="33"/>
  <c r="F23" i="33"/>
  <c r="E23" i="33"/>
  <c r="D22" i="33"/>
  <c r="D21" i="33"/>
  <c r="D20" i="33"/>
  <c r="D19" i="33"/>
  <c r="D18" i="33"/>
  <c r="D17" i="33"/>
  <c r="D16" i="33"/>
  <c r="D15" i="33"/>
  <c r="D14" i="33"/>
  <c r="D13" i="33"/>
  <c r="D12" i="33"/>
  <c r="J11" i="33"/>
  <c r="I11" i="33"/>
  <c r="H11" i="33"/>
  <c r="G11" i="33"/>
  <c r="F11" i="33"/>
  <c r="E11" i="33"/>
  <c r="AF90" i="39" l="1"/>
  <c r="F184" i="33"/>
  <c r="J184" i="33"/>
  <c r="E184" i="33"/>
  <c r="G184" i="33"/>
  <c r="I184" i="33"/>
  <c r="H184" i="33"/>
  <c r="Z90" i="39"/>
  <c r="V132" i="39"/>
  <c r="AZ96" i="33"/>
  <c r="AZ95" i="33" s="1"/>
  <c r="BD96" i="33"/>
  <c r="BD95" i="33" s="1"/>
  <c r="E9" i="33"/>
  <c r="U17" i="33"/>
  <c r="V17" i="33"/>
  <c r="V24" i="33"/>
  <c r="U24" i="33"/>
  <c r="U31" i="33"/>
  <c r="V31" i="33"/>
  <c r="U44" i="33"/>
  <c r="V44" i="33"/>
  <c r="V55" i="33"/>
  <c r="U55" i="33"/>
  <c r="V67" i="33"/>
  <c r="U67" i="33"/>
  <c r="V70" i="33"/>
  <c r="U70" i="33"/>
  <c r="V80" i="33"/>
  <c r="U80" i="33"/>
  <c r="V98" i="33"/>
  <c r="U98" i="33"/>
  <c r="U113" i="33"/>
  <c r="U126" i="33"/>
  <c r="V126" i="33"/>
  <c r="U134" i="33"/>
  <c r="V134" i="33"/>
  <c r="V14" i="33"/>
  <c r="U14" i="33"/>
  <c r="U18" i="33"/>
  <c r="V18" i="33"/>
  <c r="U22" i="33"/>
  <c r="V22" i="33"/>
  <c r="V25" i="33"/>
  <c r="U25" i="33"/>
  <c r="U32" i="33"/>
  <c r="V32" i="33"/>
  <c r="V38" i="33"/>
  <c r="U38" i="33"/>
  <c r="V41" i="33"/>
  <c r="U41" i="33"/>
  <c r="V45" i="33"/>
  <c r="U45" i="33"/>
  <c r="V48" i="33"/>
  <c r="U48" i="33"/>
  <c r="V52" i="33"/>
  <c r="U52" i="33"/>
  <c r="U60" i="33"/>
  <c r="V60" i="33"/>
  <c r="V64" i="33"/>
  <c r="U74" i="33"/>
  <c r="V74" i="33"/>
  <c r="U77" i="33"/>
  <c r="V77" i="33"/>
  <c r="U85" i="33"/>
  <c r="V85" i="33"/>
  <c r="U89" i="33"/>
  <c r="V89" i="33"/>
  <c r="V99" i="33"/>
  <c r="U99" i="33"/>
  <c r="V107" i="33"/>
  <c r="U107" i="33"/>
  <c r="AU113" i="33"/>
  <c r="U119" i="33"/>
  <c r="V119" i="33"/>
  <c r="U123" i="33"/>
  <c r="V123" i="33"/>
  <c r="U127" i="33"/>
  <c r="V127" i="33"/>
  <c r="U131" i="33"/>
  <c r="V131" i="33"/>
  <c r="U135" i="33"/>
  <c r="V135" i="33"/>
  <c r="U13" i="33"/>
  <c r="V13" i="33"/>
  <c r="V51" i="33"/>
  <c r="U51" i="33"/>
  <c r="V59" i="33"/>
  <c r="U59" i="33"/>
  <c r="U88" i="33"/>
  <c r="V88" i="33"/>
  <c r="U106" i="33"/>
  <c r="V106" i="33"/>
  <c r="V112" i="33"/>
  <c r="U112" i="33"/>
  <c r="U122" i="33"/>
  <c r="V122" i="33"/>
  <c r="U130" i="33"/>
  <c r="V130" i="33"/>
  <c r="U15" i="33"/>
  <c r="V15" i="33"/>
  <c r="V19" i="33"/>
  <c r="U19" i="33"/>
  <c r="U26" i="33"/>
  <c r="V26" i="33"/>
  <c r="E93" i="33"/>
  <c r="V33" i="33"/>
  <c r="U33" i="33"/>
  <c r="V39" i="33"/>
  <c r="U39" i="33"/>
  <c r="V49" i="33"/>
  <c r="U49" i="33"/>
  <c r="U53" i="33"/>
  <c r="V53" i="33"/>
  <c r="V57" i="33"/>
  <c r="U57" i="33"/>
  <c r="U61" i="33"/>
  <c r="V61" i="33"/>
  <c r="V65" i="33"/>
  <c r="U65" i="33"/>
  <c r="U75" i="33"/>
  <c r="V75" i="33"/>
  <c r="U78" i="33"/>
  <c r="V78" i="33"/>
  <c r="U82" i="33"/>
  <c r="V82" i="33"/>
  <c r="U86" i="33"/>
  <c r="V86" i="33"/>
  <c r="U90" i="33"/>
  <c r="V90" i="33"/>
  <c r="U100" i="33"/>
  <c r="V100" i="33"/>
  <c r="V104" i="33"/>
  <c r="U104" i="33"/>
  <c r="U108" i="33"/>
  <c r="V108" i="33"/>
  <c r="AV113" i="33"/>
  <c r="U116" i="33"/>
  <c r="V116" i="33"/>
  <c r="V120" i="33"/>
  <c r="S120" i="33"/>
  <c r="U120" i="33"/>
  <c r="V124" i="33"/>
  <c r="U124" i="33"/>
  <c r="V128" i="33"/>
  <c r="U128" i="33"/>
  <c r="V132" i="33"/>
  <c r="U132" i="33"/>
  <c r="V136" i="33"/>
  <c r="U136" i="33"/>
  <c r="U21" i="33"/>
  <c r="V21" i="33"/>
  <c r="U63" i="33"/>
  <c r="V63" i="33"/>
  <c r="V73" i="33"/>
  <c r="U73" i="33"/>
  <c r="U84" i="33"/>
  <c r="V84" i="33"/>
  <c r="G9" i="33"/>
  <c r="V12" i="33"/>
  <c r="U12" i="33"/>
  <c r="V16" i="33"/>
  <c r="U16" i="33"/>
  <c r="U20" i="33"/>
  <c r="V20" i="33"/>
  <c r="D27" i="33"/>
  <c r="D181" i="33" s="1"/>
  <c r="U43" i="33"/>
  <c r="V43" i="33"/>
  <c r="U50" i="33"/>
  <c r="V50" i="33"/>
  <c r="U54" i="33"/>
  <c r="V54" i="33"/>
  <c r="V58" i="33"/>
  <c r="U58" i="33"/>
  <c r="V62" i="33"/>
  <c r="U62" i="33"/>
  <c r="V66" i="33"/>
  <c r="U66" i="33"/>
  <c r="V72" i="33"/>
  <c r="U72" i="33"/>
  <c r="U79" i="33"/>
  <c r="V79" i="33"/>
  <c r="V83" i="33"/>
  <c r="U83" i="33"/>
  <c r="V87" i="33"/>
  <c r="U87" i="33"/>
  <c r="J93" i="33"/>
  <c r="U101" i="33"/>
  <c r="V101" i="33"/>
  <c r="U105" i="33"/>
  <c r="V105" i="33"/>
  <c r="AV109" i="33"/>
  <c r="U109" i="33"/>
  <c r="V109" i="33"/>
  <c r="U111" i="33"/>
  <c r="V111" i="33"/>
  <c r="V114" i="33"/>
  <c r="U114" i="33"/>
  <c r="U117" i="33"/>
  <c r="V117" i="33"/>
  <c r="V121" i="33"/>
  <c r="U121" i="33"/>
  <c r="V125" i="33"/>
  <c r="U125" i="33"/>
  <c r="V129" i="33"/>
  <c r="U129" i="33"/>
  <c r="V133" i="33"/>
  <c r="U133" i="33"/>
  <c r="F35" i="33"/>
  <c r="V136" i="35"/>
  <c r="Y136" i="35" s="1"/>
  <c r="E96" i="33"/>
  <c r="E95" i="33" s="1"/>
  <c r="I96" i="33"/>
  <c r="I95" i="33" s="1"/>
  <c r="F9" i="33"/>
  <c r="D71" i="33"/>
  <c r="F96" i="33"/>
  <c r="F95" i="33" s="1"/>
  <c r="J96" i="33"/>
  <c r="J95" i="33" s="1"/>
  <c r="H96" i="33"/>
  <c r="H95" i="33" s="1"/>
  <c r="J9" i="33"/>
  <c r="I35" i="33"/>
  <c r="I9" i="33"/>
  <c r="H9" i="33"/>
  <c r="G35" i="33"/>
  <c r="H35" i="33"/>
  <c r="J35" i="33"/>
  <c r="D46" i="33"/>
  <c r="G96" i="33"/>
  <c r="G95" i="33" s="1"/>
  <c r="BC35" i="33"/>
  <c r="D23" i="33"/>
  <c r="D69" i="33"/>
  <c r="D40" i="33"/>
  <c r="D110" i="33"/>
  <c r="AZ35" i="33"/>
  <c r="BD35" i="33"/>
  <c r="BA35" i="33"/>
  <c r="BB35" i="33"/>
  <c r="AY9" i="33"/>
  <c r="BC9" i="33"/>
  <c r="AY96" i="33"/>
  <c r="AY95" i="33" s="1"/>
  <c r="BC96" i="33"/>
  <c r="BC95" i="33" s="1"/>
  <c r="AX118" i="33"/>
  <c r="AX11" i="33"/>
  <c r="BB9" i="33"/>
  <c r="AX115" i="33"/>
  <c r="AX110" i="33"/>
  <c r="BA96" i="33"/>
  <c r="BA95" i="33" s="1"/>
  <c r="BB96" i="33"/>
  <c r="BB95" i="33" s="1"/>
  <c r="AX102" i="33"/>
  <c r="AX76" i="33"/>
  <c r="AX71" i="33"/>
  <c r="AX69" i="33"/>
  <c r="AX46" i="33"/>
  <c r="AX40" i="33"/>
  <c r="AX27" i="33"/>
  <c r="AX23" i="33"/>
  <c r="AZ9" i="33"/>
  <c r="BD9" i="33"/>
  <c r="BA9" i="33"/>
  <c r="AX92" i="33"/>
  <c r="AY35" i="33"/>
  <c r="D11" i="33"/>
  <c r="E35" i="33"/>
  <c r="D118" i="33"/>
  <c r="I93" i="33"/>
  <c r="H93" i="33"/>
  <c r="G93" i="33"/>
  <c r="D76" i="33"/>
  <c r="F93" i="33"/>
  <c r="D102" i="33"/>
  <c r="D115" i="33"/>
  <c r="G183" i="33" l="1"/>
  <c r="AF132" i="39"/>
  <c r="J183" i="33"/>
  <c r="E183" i="33"/>
  <c r="H183" i="33"/>
  <c r="F7" i="33"/>
  <c r="F137" i="33" s="1"/>
  <c r="F141" i="33" s="1"/>
  <c r="F149" i="33" s="1"/>
  <c r="F183" i="33"/>
  <c r="I183" i="33"/>
  <c r="J180" i="33"/>
  <c r="G180" i="33"/>
  <c r="F180" i="33"/>
  <c r="H180" i="33"/>
  <c r="E180" i="33"/>
  <c r="I180" i="33"/>
  <c r="J160" i="39"/>
  <c r="J160" i="35"/>
  <c r="K160" i="39"/>
  <c r="K160" i="35"/>
  <c r="Z132" i="39"/>
  <c r="V136" i="39"/>
  <c r="Y136" i="39" s="1"/>
  <c r="G160" i="39"/>
  <c r="G150" i="39"/>
  <c r="G160" i="35"/>
  <c r="H160" i="39"/>
  <c r="H160" i="35"/>
  <c r="I160" i="39"/>
  <c r="I160" i="35"/>
  <c r="F150" i="39"/>
  <c r="F160" i="39"/>
  <c r="E160" i="39" s="1"/>
  <c r="F160" i="35"/>
  <c r="G7" i="33"/>
  <c r="I7" i="33"/>
  <c r="I137" i="33" s="1"/>
  <c r="I141" i="33" s="1"/>
  <c r="I152" i="33" s="1"/>
  <c r="BC7" i="33"/>
  <c r="BC137" i="33" s="1"/>
  <c r="BC141" i="33" s="1"/>
  <c r="BC152" i="33" s="1"/>
  <c r="U102" i="33"/>
  <c r="V102" i="33"/>
  <c r="U118" i="33"/>
  <c r="V118" i="33"/>
  <c r="E91" i="33"/>
  <c r="J91" i="33"/>
  <c r="I91" i="33"/>
  <c r="U11" i="33"/>
  <c r="V11" i="33"/>
  <c r="U115" i="33"/>
  <c r="V115" i="33"/>
  <c r="H91" i="33"/>
  <c r="F150" i="35"/>
  <c r="G91" i="33"/>
  <c r="F91" i="33"/>
  <c r="G150" i="35"/>
  <c r="U23" i="33"/>
  <c r="V23" i="33"/>
  <c r="H7" i="33"/>
  <c r="H137" i="33" s="1"/>
  <c r="H141" i="33" s="1"/>
  <c r="H151" i="33" s="1"/>
  <c r="V69" i="33"/>
  <c r="U69" i="33"/>
  <c r="U71" i="33"/>
  <c r="V71" i="33"/>
  <c r="U110" i="33"/>
  <c r="V110" i="33"/>
  <c r="AZ7" i="33"/>
  <c r="AZ137" i="33" s="1"/>
  <c r="AZ141" i="33" s="1"/>
  <c r="AZ149" i="33" s="1"/>
  <c r="D35" i="33"/>
  <c r="BD7" i="33"/>
  <c r="BD137" i="33" s="1"/>
  <c r="BD141" i="33" s="1"/>
  <c r="BD153" i="33" s="1"/>
  <c r="J7" i="33"/>
  <c r="J137" i="33" s="1"/>
  <c r="J141" i="33" s="1"/>
  <c r="J153" i="33" s="1"/>
  <c r="G137" i="33"/>
  <c r="G141" i="33" s="1"/>
  <c r="G150" i="33" s="1"/>
  <c r="BA7" i="33"/>
  <c r="BA137" i="33" s="1"/>
  <c r="BA141" i="33" s="1"/>
  <c r="BA150" i="33" s="1"/>
  <c r="BB7" i="33"/>
  <c r="BB137" i="33" s="1"/>
  <c r="BB141" i="33" s="1"/>
  <c r="BB151" i="33" s="1"/>
  <c r="AX35" i="33"/>
  <c r="AX9" i="33"/>
  <c r="AX96" i="33"/>
  <c r="AX95" i="33" s="1"/>
  <c r="AY7" i="33"/>
  <c r="AY137" i="33" s="1"/>
  <c r="AY141" i="33" s="1"/>
  <c r="AY148" i="33" s="1"/>
  <c r="D9" i="33"/>
  <c r="D96" i="33"/>
  <c r="D93" i="33"/>
  <c r="E7" i="33"/>
  <c r="E137" i="33" s="1"/>
  <c r="D183" i="33" l="1"/>
  <c r="G182" i="33" s="1"/>
  <c r="I158" i="39"/>
  <c r="I158" i="35"/>
  <c r="H158" i="39"/>
  <c r="H158" i="35"/>
  <c r="K158" i="39"/>
  <c r="K158" i="35"/>
  <c r="E160" i="35"/>
  <c r="D184" i="33"/>
  <c r="G158" i="39"/>
  <c r="G148" i="39"/>
  <c r="G158" i="35"/>
  <c r="J158" i="39"/>
  <c r="J158" i="35"/>
  <c r="F148" i="39"/>
  <c r="D180" i="33"/>
  <c r="F158" i="39"/>
  <c r="F158" i="35"/>
  <c r="D91" i="33"/>
  <c r="V91" i="33" s="1"/>
  <c r="F148" i="35"/>
  <c r="G148" i="35"/>
  <c r="V9" i="33"/>
  <c r="U9" i="33"/>
  <c r="U93" i="33"/>
  <c r="V93" i="33"/>
  <c r="V96" i="33"/>
  <c r="U96" i="33"/>
  <c r="AX7" i="33"/>
  <c r="AX137" i="33" s="1"/>
  <c r="AX141" i="33" s="1"/>
  <c r="AX154" i="33" s="1"/>
  <c r="D95" i="33"/>
  <c r="D7" i="33"/>
  <c r="I92" i="33"/>
  <c r="E92" i="33"/>
  <c r="G92" i="33"/>
  <c r="F92" i="33"/>
  <c r="J92" i="33"/>
  <c r="H92" i="33"/>
  <c r="J182" i="33" l="1"/>
  <c r="H182" i="33"/>
  <c r="F182" i="33"/>
  <c r="I182" i="33"/>
  <c r="E182" i="33"/>
  <c r="E158" i="39"/>
  <c r="I159" i="39"/>
  <c r="I159" i="35"/>
  <c r="K159" i="39"/>
  <c r="K159" i="35"/>
  <c r="J159" i="39"/>
  <c r="J159" i="35"/>
  <c r="G159" i="39"/>
  <c r="G149" i="39"/>
  <c r="G159" i="35"/>
  <c r="E158" i="35"/>
  <c r="F149" i="39"/>
  <c r="F159" i="39"/>
  <c r="F159" i="35"/>
  <c r="E159" i="35" s="1"/>
  <c r="H159" i="39"/>
  <c r="H159" i="35"/>
  <c r="U91" i="33"/>
  <c r="F149" i="35"/>
  <c r="G149" i="35"/>
  <c r="V95" i="33"/>
  <c r="U95" i="33"/>
  <c r="D92" i="33"/>
  <c r="D137" i="33"/>
  <c r="E159" i="39" l="1"/>
  <c r="D182" i="33"/>
  <c r="AT138" i="33"/>
  <c r="AT117" i="33"/>
  <c r="AT33" i="33"/>
  <c r="AT13" i="33" l="1"/>
  <c r="AT37" i="33"/>
  <c r="AT79" i="33"/>
  <c r="AT85" i="33"/>
  <c r="AT14" i="33"/>
  <c r="AT18" i="33"/>
  <c r="AT20" i="33"/>
  <c r="AT22" i="33"/>
  <c r="AT24" i="33"/>
  <c r="AT26" i="33"/>
  <c r="AT29" i="33"/>
  <c r="AT31" i="33"/>
  <c r="AV33" i="33"/>
  <c r="AU33" i="33"/>
  <c r="AT49" i="33"/>
  <c r="AT51" i="33"/>
  <c r="AT53" i="33"/>
  <c r="AT55" i="33"/>
  <c r="AT57" i="33"/>
  <c r="AT59" i="33"/>
  <c r="AT61" i="33"/>
  <c r="AT63" i="33"/>
  <c r="AT65" i="33"/>
  <c r="AT67" i="33"/>
  <c r="AT90" i="33"/>
  <c r="AT99" i="33"/>
  <c r="AT101" i="33"/>
  <c r="AT104" i="33"/>
  <c r="AT106" i="33"/>
  <c r="AT108" i="33"/>
  <c r="AT111" i="33"/>
  <c r="AT116" i="33"/>
  <c r="AT119" i="33"/>
  <c r="AT121" i="33"/>
  <c r="AT123" i="33"/>
  <c r="AT125" i="33"/>
  <c r="AT127" i="33"/>
  <c r="AT129" i="33"/>
  <c r="AT131" i="33"/>
  <c r="AT133" i="33"/>
  <c r="AT136" i="33"/>
  <c r="AT42" i="33"/>
  <c r="AT44" i="33"/>
  <c r="AT48" i="33"/>
  <c r="AT73" i="33"/>
  <c r="AT77" i="33"/>
  <c r="AT83" i="33"/>
  <c r="AT16" i="33"/>
  <c r="AT38" i="33"/>
  <c r="AT41" i="33"/>
  <c r="AT43" i="33"/>
  <c r="AT45" i="33"/>
  <c r="AT47" i="33"/>
  <c r="AT70" i="33"/>
  <c r="AT72" i="33"/>
  <c r="AT74" i="33"/>
  <c r="AT78" i="33"/>
  <c r="AT80" i="33"/>
  <c r="AT82" i="33"/>
  <c r="AT84" i="33"/>
  <c r="AT86" i="33"/>
  <c r="AT88" i="33"/>
  <c r="AT112" i="33"/>
  <c r="AT39" i="33"/>
  <c r="AT75" i="33"/>
  <c r="AT81" i="33"/>
  <c r="AT87" i="33"/>
  <c r="AT135" i="33"/>
  <c r="AT12" i="33"/>
  <c r="AT15" i="33"/>
  <c r="AT17" i="33"/>
  <c r="AT19" i="33"/>
  <c r="AT21" i="33"/>
  <c r="AT25" i="33"/>
  <c r="AT30" i="33"/>
  <c r="AT32" i="33"/>
  <c r="AT50" i="33"/>
  <c r="AT52" i="33"/>
  <c r="AT54" i="33"/>
  <c r="AT56" i="33"/>
  <c r="AT58" i="33"/>
  <c r="AT60" i="33"/>
  <c r="AT62" i="33"/>
  <c r="AT64" i="33"/>
  <c r="AT66" i="33"/>
  <c r="AT68" i="33"/>
  <c r="AT89" i="33"/>
  <c r="AT98" i="33"/>
  <c r="AT100" i="33"/>
  <c r="AT105" i="33"/>
  <c r="AT107" i="33"/>
  <c r="AT114" i="33"/>
  <c r="AV117" i="33"/>
  <c r="AU117" i="33"/>
  <c r="AT120" i="33"/>
  <c r="AT122" i="33"/>
  <c r="AT124" i="33"/>
  <c r="AT126" i="33"/>
  <c r="AT128" i="33"/>
  <c r="AT130" i="33"/>
  <c r="AT132" i="33"/>
  <c r="AT134" i="33"/>
  <c r="AT140" i="33"/>
  <c r="AT23" i="33"/>
  <c r="AV83" i="33" l="1"/>
  <c r="AU83" i="33"/>
  <c r="AU44" i="33"/>
  <c r="AV44" i="33"/>
  <c r="AV131" i="33"/>
  <c r="AU131" i="33"/>
  <c r="AV123" i="33"/>
  <c r="AU123" i="33"/>
  <c r="AU111" i="33"/>
  <c r="AV111" i="33"/>
  <c r="AV101" i="33"/>
  <c r="AU101" i="33"/>
  <c r="AV61" i="33"/>
  <c r="AU61" i="33"/>
  <c r="AV53" i="33"/>
  <c r="AU53" i="33"/>
  <c r="AV31" i="33"/>
  <c r="AU31" i="33"/>
  <c r="AV22" i="33"/>
  <c r="AU22" i="33"/>
  <c r="AV18" i="33"/>
  <c r="AU18" i="33"/>
  <c r="AV37" i="33"/>
  <c r="AU37" i="33"/>
  <c r="AV23" i="33"/>
  <c r="AU23" i="33"/>
  <c r="AV132" i="33"/>
  <c r="AU132" i="33"/>
  <c r="AV128" i="33"/>
  <c r="AU128" i="33"/>
  <c r="AV124" i="33"/>
  <c r="AU124" i="33"/>
  <c r="AV120" i="33"/>
  <c r="AU120" i="33"/>
  <c r="AV114" i="33"/>
  <c r="AU114" i="33"/>
  <c r="AV105" i="33"/>
  <c r="AU105" i="33"/>
  <c r="AV98" i="33"/>
  <c r="AU98" i="33"/>
  <c r="AV68" i="33"/>
  <c r="AU68" i="33"/>
  <c r="AV64" i="33"/>
  <c r="AU64" i="33"/>
  <c r="AV60" i="33"/>
  <c r="AU60" i="33"/>
  <c r="AV56" i="33"/>
  <c r="AU56" i="33"/>
  <c r="AV52" i="33"/>
  <c r="AU52" i="33"/>
  <c r="AV32" i="33"/>
  <c r="AU32" i="33"/>
  <c r="AV25" i="33"/>
  <c r="AU25" i="33"/>
  <c r="AV19" i="33"/>
  <c r="AU19" i="33"/>
  <c r="AV15" i="33"/>
  <c r="AU15" i="33"/>
  <c r="AV135" i="33"/>
  <c r="AU135" i="33"/>
  <c r="AU81" i="33"/>
  <c r="AV81" i="33"/>
  <c r="AV39" i="33"/>
  <c r="AU39" i="33"/>
  <c r="AU88" i="33"/>
  <c r="AV88" i="33"/>
  <c r="AU84" i="33"/>
  <c r="AV84" i="33"/>
  <c r="AU80" i="33"/>
  <c r="AV80" i="33"/>
  <c r="AV74" i="33"/>
  <c r="AU74" i="33"/>
  <c r="AT69" i="33"/>
  <c r="AU70" i="33"/>
  <c r="AV70" i="33"/>
  <c r="AU45" i="33"/>
  <c r="AV45" i="33"/>
  <c r="AT40" i="33"/>
  <c r="AV41" i="33"/>
  <c r="AU41" i="33"/>
  <c r="AU26" i="33"/>
  <c r="AV26" i="33"/>
  <c r="AT139" i="33"/>
  <c r="AV16" i="33"/>
  <c r="AU16" i="33"/>
  <c r="AT76" i="33"/>
  <c r="AV77" i="33"/>
  <c r="AU77" i="33"/>
  <c r="AV48" i="33"/>
  <c r="AU48" i="33"/>
  <c r="AV42" i="33"/>
  <c r="AU42" i="33"/>
  <c r="AV133" i="33"/>
  <c r="AU133" i="33"/>
  <c r="AV129" i="33"/>
  <c r="AU129" i="33"/>
  <c r="AV125" i="33"/>
  <c r="AU125" i="33"/>
  <c r="AV121" i="33"/>
  <c r="AU121" i="33"/>
  <c r="AV116" i="33"/>
  <c r="AT115" i="33"/>
  <c r="AU116" i="33"/>
  <c r="AV108" i="33"/>
  <c r="AU108" i="33"/>
  <c r="AV104" i="33"/>
  <c r="AU104" i="33"/>
  <c r="AT102" i="33"/>
  <c r="AV99" i="33"/>
  <c r="AU99" i="33"/>
  <c r="AV67" i="33"/>
  <c r="AU67" i="33"/>
  <c r="AV63" i="33"/>
  <c r="AU63" i="33"/>
  <c r="AV59" i="33"/>
  <c r="AU59" i="33"/>
  <c r="AV55" i="33"/>
  <c r="AU55" i="33"/>
  <c r="AV51" i="33"/>
  <c r="AU51" i="33"/>
  <c r="AT27" i="33"/>
  <c r="AV29" i="33"/>
  <c r="AU29" i="33"/>
  <c r="AV24" i="33"/>
  <c r="AU24" i="33"/>
  <c r="AV20" i="33"/>
  <c r="AU20" i="33"/>
  <c r="AV14" i="33"/>
  <c r="AU14" i="33"/>
  <c r="AV79" i="33"/>
  <c r="AU79" i="33"/>
  <c r="AV13" i="33"/>
  <c r="AU13" i="33"/>
  <c r="AV73" i="33"/>
  <c r="AU73" i="33"/>
  <c r="AV136" i="33"/>
  <c r="AU136" i="33"/>
  <c r="AV127" i="33"/>
  <c r="AU127" i="33"/>
  <c r="AT118" i="33"/>
  <c r="AV119" i="33"/>
  <c r="AU119" i="33"/>
  <c r="AV106" i="33"/>
  <c r="AU106" i="33"/>
  <c r="AV90" i="33"/>
  <c r="AU90" i="33"/>
  <c r="AV65" i="33"/>
  <c r="AU65" i="33"/>
  <c r="AV57" i="33"/>
  <c r="AU57" i="33"/>
  <c r="AV49" i="33"/>
  <c r="AU49" i="33"/>
  <c r="AV85" i="33"/>
  <c r="AU85" i="33"/>
  <c r="AV134" i="33"/>
  <c r="AU134" i="33"/>
  <c r="AV130" i="33"/>
  <c r="AU130" i="33"/>
  <c r="AV126" i="33"/>
  <c r="AU126" i="33"/>
  <c r="AV122" i="33"/>
  <c r="AU122" i="33"/>
  <c r="AV107" i="33"/>
  <c r="AU107" i="33"/>
  <c r="AV100" i="33"/>
  <c r="AU100" i="33"/>
  <c r="AU89" i="33"/>
  <c r="AV89" i="33"/>
  <c r="AV66" i="33"/>
  <c r="AU66" i="33"/>
  <c r="AV62" i="33"/>
  <c r="AU62" i="33"/>
  <c r="AV58" i="33"/>
  <c r="AU58" i="33"/>
  <c r="AV54" i="33"/>
  <c r="AU54" i="33"/>
  <c r="AV50" i="33"/>
  <c r="AU50" i="33"/>
  <c r="AV30" i="33"/>
  <c r="AU30" i="33"/>
  <c r="AV21" i="33"/>
  <c r="AU21" i="33"/>
  <c r="AV17" i="33"/>
  <c r="AU17" i="33"/>
  <c r="AV12" i="33"/>
  <c r="AU12" i="33"/>
  <c r="AT11" i="33"/>
  <c r="AV87" i="33"/>
  <c r="AU87" i="33"/>
  <c r="AV75" i="33"/>
  <c r="AU75" i="33"/>
  <c r="AT110" i="33"/>
  <c r="AV112" i="33"/>
  <c r="AU112" i="33"/>
  <c r="AV86" i="33"/>
  <c r="AU86" i="33"/>
  <c r="AV82" i="33"/>
  <c r="AU82" i="33"/>
  <c r="AV78" i="33"/>
  <c r="AU78" i="33"/>
  <c r="AV72" i="33"/>
  <c r="AU72" i="33"/>
  <c r="AT71" i="33"/>
  <c r="AV47" i="33"/>
  <c r="AU47" i="33"/>
  <c r="AT46" i="33"/>
  <c r="AV43" i="33"/>
  <c r="AU43" i="33"/>
  <c r="AU38" i="33"/>
  <c r="AV38" i="33"/>
  <c r="AT149" i="33"/>
  <c r="AU149" i="33" s="1"/>
  <c r="AT151" i="33" l="1"/>
  <c r="AU151" i="33" s="1"/>
  <c r="AV110" i="33"/>
  <c r="AU110" i="33"/>
  <c r="AU118" i="33"/>
  <c r="AV118" i="33"/>
  <c r="AV102" i="33"/>
  <c r="AU102" i="33"/>
  <c r="AU69" i="33"/>
  <c r="AV69" i="33"/>
  <c r="AV40" i="33"/>
  <c r="AU40" i="33"/>
  <c r="AT153" i="33"/>
  <c r="AU153" i="33" s="1"/>
  <c r="AT9" i="33"/>
  <c r="AV11" i="33"/>
  <c r="AU11" i="33"/>
  <c r="AT96" i="33"/>
  <c r="AV27" i="33"/>
  <c r="AU27" i="33"/>
  <c r="AV71" i="33"/>
  <c r="AU71" i="33"/>
  <c r="AU46" i="33"/>
  <c r="AV46" i="33"/>
  <c r="AU115" i="33"/>
  <c r="AV115" i="33"/>
  <c r="AU76" i="33"/>
  <c r="AV76" i="33"/>
  <c r="AT35" i="33"/>
  <c r="AT148" i="33"/>
  <c r="AV9" i="33" l="1"/>
  <c r="AU9" i="33"/>
  <c r="AT7" i="33"/>
  <c r="AT152" i="33"/>
  <c r="AU152" i="33" s="1"/>
  <c r="AT95" i="33"/>
  <c r="AU96" i="33"/>
  <c r="AV96" i="33"/>
  <c r="AT150" i="33"/>
  <c r="AU150" i="33" s="1"/>
  <c r="AV35" i="33"/>
  <c r="AU35" i="33"/>
  <c r="AT137" i="33" l="1"/>
  <c r="AV7" i="33"/>
  <c r="AU7" i="33"/>
  <c r="AV95" i="33"/>
  <c r="AU95" i="33"/>
  <c r="AT141" i="33" l="1"/>
  <c r="AV137" i="33"/>
  <c r="AU137" i="33"/>
  <c r="D138" i="33" l="1"/>
  <c r="E140" i="33"/>
  <c r="E139" i="33" s="1"/>
  <c r="E141" i="33" l="1"/>
  <c r="E148" i="33" s="1"/>
  <c r="AU148" i="33" s="1"/>
  <c r="D140" i="33"/>
  <c r="AU138" i="33"/>
  <c r="D141" i="33" l="1"/>
  <c r="AU140" i="33"/>
  <c r="D139" i="33"/>
  <c r="AU139" i="33" l="1"/>
  <c r="AU141" i="33"/>
  <c r="D156" i="33"/>
  <c r="U42" i="33"/>
  <c r="N40" i="33"/>
  <c r="N39" i="39" s="1"/>
  <c r="M40" i="33" l="1"/>
  <c r="V40" i="33" s="1"/>
  <c r="N39" i="35"/>
  <c r="V42" i="33"/>
  <c r="U40" i="33" l="1"/>
  <c r="U37" i="33" l="1"/>
  <c r="V37" i="33"/>
  <c r="N37" i="33"/>
  <c r="N36" i="39" s="1"/>
  <c r="M36" i="39" s="1"/>
  <c r="N36" i="35" l="1"/>
  <c r="M36" i="35" s="1"/>
  <c r="Q36" i="35" s="1"/>
  <c r="Q36" i="39"/>
  <c r="P36" i="39"/>
  <c r="V47" i="33"/>
  <c r="U47" i="33"/>
  <c r="N47" i="33"/>
  <c r="P36" i="35" l="1"/>
  <c r="N46" i="35"/>
  <c r="M46" i="35" s="1"/>
  <c r="Q46" i="35" s="1"/>
  <c r="N46" i="39"/>
  <c r="M46" i="39" l="1"/>
  <c r="P46" i="35"/>
  <c r="N55" i="35"/>
  <c r="M55" i="35" s="1"/>
  <c r="Q55" i="35" s="1"/>
  <c r="M56" i="33"/>
  <c r="V56" i="33" s="1"/>
  <c r="P46" i="39" l="1"/>
  <c r="Q46" i="39"/>
  <c r="M45" i="39"/>
  <c r="P55" i="35"/>
  <c r="M45" i="35"/>
  <c r="Q45" i="35" s="1"/>
  <c r="U56" i="33"/>
  <c r="Q45" i="39" l="1"/>
  <c r="R45" i="39" s="1"/>
  <c r="P45" i="39"/>
  <c r="M34" i="39"/>
  <c r="P45" i="35"/>
  <c r="P34" i="39" l="1"/>
  <c r="Q34" i="39"/>
  <c r="R34" i="39" s="1"/>
  <c r="AA45" i="35"/>
  <c r="R45" i="35"/>
  <c r="N80" i="35"/>
  <c r="N75" i="35" s="1"/>
  <c r="N76" i="33"/>
  <c r="O80" i="35"/>
  <c r="O75" i="35" s="1"/>
  <c r="M81" i="33"/>
  <c r="M76" i="33" s="1"/>
  <c r="O76" i="33"/>
  <c r="V76" i="33" l="1"/>
  <c r="U76" i="33"/>
  <c r="M80" i="35"/>
  <c r="Q80" i="35" s="1"/>
  <c r="U81" i="33"/>
  <c r="V81" i="33"/>
  <c r="M75" i="35" l="1"/>
  <c r="Q75" i="35" s="1"/>
  <c r="P80" i="35"/>
  <c r="M34" i="35" l="1"/>
  <c r="Q34" i="35" s="1"/>
  <c r="P75" i="35"/>
  <c r="AA75" i="35" l="1"/>
  <c r="R75" i="35"/>
  <c r="P34" i="35"/>
  <c r="R34" i="35" l="1"/>
  <c r="AA34" i="35"/>
  <c r="AA113" i="35" l="1"/>
  <c r="AA91" i="35" l="1"/>
  <c r="O68" i="33" l="1"/>
  <c r="S68" i="33"/>
  <c r="S46" i="33" s="1"/>
  <c r="S35" i="33" s="1"/>
  <c r="S183" i="33" l="1"/>
  <c r="O67" i="39"/>
  <c r="O67" i="35"/>
  <c r="O45" i="35" s="1"/>
  <c r="O34" i="35" s="1"/>
  <c r="O46" i="33"/>
  <c r="O35" i="33" s="1"/>
  <c r="O45" i="39" l="1"/>
  <c r="AJ67" i="39"/>
  <c r="AK67" i="39" s="1"/>
  <c r="O183" i="33"/>
  <c r="N68" i="33"/>
  <c r="Q68" i="33"/>
  <c r="Q46" i="33" s="1"/>
  <c r="Q35" i="33" s="1"/>
  <c r="R68" i="33"/>
  <c r="R46" i="33" s="1"/>
  <c r="R35" i="33" s="1"/>
  <c r="O34" i="39" l="1"/>
  <c r="AJ34" i="39" s="1"/>
  <c r="AK34" i="39" s="1"/>
  <c r="AJ45" i="39"/>
  <c r="AK45" i="39" s="1"/>
  <c r="R183" i="33"/>
  <c r="N67" i="36"/>
  <c r="P68" i="33"/>
  <c r="P46" i="33" s="1"/>
  <c r="P35" i="33" s="1"/>
  <c r="N67" i="39"/>
  <c r="N45" i="39" s="1"/>
  <c r="N34" i="39" s="1"/>
  <c r="N67" i="35"/>
  <c r="N45" i="35" s="1"/>
  <c r="N34" i="35" s="1"/>
  <c r="N46" i="33"/>
  <c r="Q183" i="33"/>
  <c r="M68" i="33" l="1"/>
  <c r="U68" i="33" s="1"/>
  <c r="M46" i="33"/>
  <c r="N35" i="33"/>
  <c r="P183" i="33"/>
  <c r="V68" i="33"/>
  <c r="K67" i="36"/>
  <c r="N45" i="36"/>
  <c r="K45" i="36" l="1"/>
  <c r="N34" i="36"/>
  <c r="M35" i="33"/>
  <c r="N92" i="33" s="1"/>
  <c r="N183" i="33"/>
  <c r="V46" i="33"/>
  <c r="U46" i="33"/>
  <c r="V35" i="33" l="1"/>
  <c r="U35" i="33"/>
  <c r="M183" i="33"/>
  <c r="S92" i="33"/>
  <c r="O92" i="33"/>
  <c r="Q92" i="33"/>
  <c r="R92" i="33"/>
  <c r="P92" i="33"/>
  <c r="N130" i="33"/>
  <c r="N159" i="35"/>
  <c r="N149" i="39"/>
  <c r="N133" i="33"/>
  <c r="N149" i="35"/>
  <c r="N159" i="39"/>
  <c r="N123" i="33"/>
  <c r="K34" i="36"/>
  <c r="M92" i="33" l="1"/>
  <c r="V92" i="33" s="1"/>
  <c r="N91" i="36"/>
  <c r="O91" i="36"/>
  <c r="M91" i="36"/>
  <c r="L91" i="36"/>
  <c r="N125" i="39"/>
  <c r="N125" i="35"/>
  <c r="Q133" i="33"/>
  <c r="Q123" i="33"/>
  <c r="Q130" i="33"/>
  <c r="N182" i="33"/>
  <c r="S182" i="33"/>
  <c r="O182" i="33"/>
  <c r="Q182" i="33"/>
  <c r="R182" i="33"/>
  <c r="P182" i="33"/>
  <c r="N128" i="39"/>
  <c r="N128" i="35"/>
  <c r="O159" i="35"/>
  <c r="M159" i="35" s="1"/>
  <c r="O133" i="33"/>
  <c r="O123" i="33"/>
  <c r="O130" i="33"/>
  <c r="O149" i="35"/>
  <c r="O159" i="39"/>
  <c r="X159" i="39" s="1"/>
  <c r="AG159" i="39" s="1"/>
  <c r="AF159" i="39" s="1"/>
  <c r="O149" i="39"/>
  <c r="W159" i="39"/>
  <c r="R123" i="33"/>
  <c r="R133" i="33"/>
  <c r="R130" i="33"/>
  <c r="N118" i="39"/>
  <c r="N118" i="33"/>
  <c r="N96" i="33" s="1"/>
  <c r="N95" i="33" s="1"/>
  <c r="N118" i="35"/>
  <c r="P130" i="33"/>
  <c r="P133" i="33"/>
  <c r="P123" i="33"/>
  <c r="S130" i="33"/>
  <c r="S133" i="33"/>
  <c r="S123" i="33"/>
  <c r="U92" i="33" l="1"/>
  <c r="Q118" i="33"/>
  <c r="Q96" i="33" s="1"/>
  <c r="Q95" i="33" s="1"/>
  <c r="V159" i="39"/>
  <c r="O125" i="35"/>
  <c r="M125" i="35" s="1"/>
  <c r="O125" i="39"/>
  <c r="N113" i="35"/>
  <c r="N91" i="35" s="1"/>
  <c r="N90" i="35" s="1"/>
  <c r="O118" i="39"/>
  <c r="O118" i="33"/>
  <c r="O96" i="33" s="1"/>
  <c r="O95" i="33" s="1"/>
  <c r="O118" i="35"/>
  <c r="M182" i="33"/>
  <c r="K91" i="36"/>
  <c r="P118" i="33"/>
  <c r="P96" i="33" s="1"/>
  <c r="P95" i="33" s="1"/>
  <c r="R118" i="33"/>
  <c r="R96" i="33" s="1"/>
  <c r="R95" i="33" s="1"/>
  <c r="O128" i="39"/>
  <c r="O128" i="35"/>
  <c r="M128" i="35" s="1"/>
  <c r="S118" i="33"/>
  <c r="S96" i="33" s="1"/>
  <c r="S95" i="33" s="1"/>
  <c r="N113" i="39"/>
  <c r="N91" i="39" s="1"/>
  <c r="N90" i="39" s="1"/>
  <c r="M159" i="39"/>
  <c r="M118" i="39" l="1"/>
  <c r="AJ118" i="39"/>
  <c r="M128" i="39"/>
  <c r="Q128" i="39" s="1"/>
  <c r="AJ128" i="39"/>
  <c r="M125" i="39"/>
  <c r="AJ125" i="39"/>
  <c r="Q128" i="35"/>
  <c r="P128" i="35"/>
  <c r="O113" i="35"/>
  <c r="O91" i="35" s="1"/>
  <c r="O90" i="35" s="1"/>
  <c r="M118" i="35"/>
  <c r="Q125" i="35"/>
  <c r="P125" i="35"/>
  <c r="O113" i="39"/>
  <c r="P118" i="39"/>
  <c r="Q118" i="39"/>
  <c r="P125" i="39"/>
  <c r="Q125" i="39"/>
  <c r="P128" i="39" l="1"/>
  <c r="O91" i="39"/>
  <c r="AJ113" i="39"/>
  <c r="AK113" i="39" s="1"/>
  <c r="M113" i="39"/>
  <c r="Q113" i="39" s="1"/>
  <c r="R113" i="39" s="1"/>
  <c r="Q118" i="35"/>
  <c r="P118" i="35"/>
  <c r="M113" i="35"/>
  <c r="M91" i="39"/>
  <c r="P113" i="39" l="1"/>
  <c r="O90" i="39"/>
  <c r="AJ90" i="39" s="1"/>
  <c r="AJ91" i="39"/>
  <c r="AK91" i="39" s="1"/>
  <c r="P91" i="39"/>
  <c r="M90" i="39"/>
  <c r="Q91" i="39"/>
  <c r="R91" i="39" s="1"/>
  <c r="Q113" i="35"/>
  <c r="R113" i="35" s="1"/>
  <c r="P113" i="35"/>
  <c r="M91" i="35"/>
  <c r="Q91" i="35" l="1"/>
  <c r="R91" i="35" s="1"/>
  <c r="M90" i="35"/>
  <c r="P91" i="35"/>
  <c r="P90" i="39"/>
  <c r="Q90" i="39"/>
  <c r="Q90" i="35" l="1"/>
  <c r="P90" i="35"/>
  <c r="Q29" i="33" l="1"/>
  <c r="N29" i="33" l="1"/>
  <c r="P29" i="33"/>
  <c r="R29" i="33"/>
  <c r="N28" i="39" l="1"/>
  <c r="N28" i="35"/>
  <c r="P30" i="33"/>
  <c r="P27" i="33" s="1"/>
  <c r="P7" i="33" s="1"/>
  <c r="P137" i="33" s="1"/>
  <c r="P141" i="33" s="1"/>
  <c r="N28" i="36"/>
  <c r="S30" i="33" l="1"/>
  <c r="P140" i="33"/>
  <c r="P139" i="33" s="1"/>
  <c r="P138" i="33" s="1"/>
  <c r="P150" i="33"/>
  <c r="S29" i="33"/>
  <c r="O28" i="36"/>
  <c r="Q30" i="33"/>
  <c r="Q27" i="33" s="1"/>
  <c r="Q7" i="33" s="1"/>
  <c r="Q137" i="33" s="1"/>
  <c r="Q141" i="33" s="1"/>
  <c r="O29" i="33"/>
  <c r="O29" i="36" l="1"/>
  <c r="O26" i="36" s="1"/>
  <c r="O6" i="36" s="1"/>
  <c r="O28" i="39"/>
  <c r="AJ28" i="39" s="1"/>
  <c r="AK28" i="39" s="1"/>
  <c r="O28" i="35"/>
  <c r="M29" i="33"/>
  <c r="Q151" i="33"/>
  <c r="Q140" i="33"/>
  <c r="Q139" i="33" s="1"/>
  <c r="Q138" i="33" s="1"/>
  <c r="S27" i="33"/>
  <c r="S7" i="33" s="1"/>
  <c r="S137" i="33" s="1"/>
  <c r="S141" i="33" s="1"/>
  <c r="R30" i="33"/>
  <c r="R27" i="33" s="1"/>
  <c r="R7" i="33" s="1"/>
  <c r="R137" i="33" s="1"/>
  <c r="R141" i="33" s="1"/>
  <c r="O30" i="33"/>
  <c r="O27" i="33" s="1"/>
  <c r="O7" i="33" s="1"/>
  <c r="O137" i="33" s="1"/>
  <c r="M26" i="36"/>
  <c r="M6" i="36" s="1"/>
  <c r="K28" i="36"/>
  <c r="M28" i="39" l="1"/>
  <c r="N30" i="33"/>
  <c r="N29" i="36"/>
  <c r="N26" i="36" s="1"/>
  <c r="N6" i="36" s="1"/>
  <c r="O29" i="39"/>
  <c r="O29" i="35"/>
  <c r="O26" i="35" s="1"/>
  <c r="O6" i="35" s="1"/>
  <c r="O132" i="35" s="1"/>
  <c r="S140" i="33"/>
  <c r="S139" i="33" s="1"/>
  <c r="S138" i="33" s="1"/>
  <c r="S153" i="33"/>
  <c r="U29" i="33"/>
  <c r="V29" i="33"/>
  <c r="R152" i="33"/>
  <c r="R140" i="33"/>
  <c r="R139" i="33" s="1"/>
  <c r="R138" i="33" s="1"/>
  <c r="M28" i="35"/>
  <c r="O26" i="39" l="1"/>
  <c r="AJ29" i="39"/>
  <c r="AK29" i="39" s="1"/>
  <c r="Q28" i="39"/>
  <c r="R28" i="39" s="1"/>
  <c r="P28" i="39"/>
  <c r="K29" i="36"/>
  <c r="L26" i="36"/>
  <c r="L6" i="36" s="1"/>
  <c r="P28" i="35"/>
  <c r="Q28" i="35"/>
  <c r="R28" i="35" s="1"/>
  <c r="N29" i="39"/>
  <c r="N29" i="35"/>
  <c r="M30" i="33"/>
  <c r="N27" i="33"/>
  <c r="N7" i="33" s="1"/>
  <c r="N137" i="33" s="1"/>
  <c r="O6" i="39" l="1"/>
  <c r="AI26" i="39"/>
  <c r="AJ26" i="39"/>
  <c r="K26" i="36"/>
  <c r="K6" i="36" s="1"/>
  <c r="U30" i="33"/>
  <c r="V30" i="33"/>
  <c r="M27" i="33"/>
  <c r="M29" i="35"/>
  <c r="N26" i="35"/>
  <c r="N6" i="35" s="1"/>
  <c r="N132" i="35" s="1"/>
  <c r="M29" i="39"/>
  <c r="N26" i="39"/>
  <c r="N6" i="39" s="1"/>
  <c r="N132" i="39" s="1"/>
  <c r="O132" i="39" l="1"/>
  <c r="AJ132" i="39" s="1"/>
  <c r="AJ6" i="39"/>
  <c r="AK6" i="39" s="1"/>
  <c r="Q29" i="35"/>
  <c r="R29" i="35" s="1"/>
  <c r="P29" i="35"/>
  <c r="M26" i="35"/>
  <c r="P29" i="39"/>
  <c r="Q29" i="39"/>
  <c r="R29" i="39" s="1"/>
  <c r="M26" i="39"/>
  <c r="V27" i="33"/>
  <c r="U27" i="33"/>
  <c r="M7" i="33"/>
  <c r="Q26" i="35" l="1"/>
  <c r="P26" i="35"/>
  <c r="M6" i="35"/>
  <c r="Q26" i="39"/>
  <c r="P26" i="39"/>
  <c r="M6" i="39"/>
  <c r="V7" i="33"/>
  <c r="U7" i="33"/>
  <c r="M137" i="33"/>
  <c r="Q6" i="35" l="1"/>
  <c r="R6" i="35" s="1"/>
  <c r="P6" i="35"/>
  <c r="M132" i="35"/>
  <c r="Q6" i="39"/>
  <c r="R6" i="39" s="1"/>
  <c r="P6" i="39"/>
  <c r="M132" i="39"/>
  <c r="V137" i="33"/>
  <c r="U137" i="33"/>
  <c r="P132" i="35" l="1"/>
  <c r="Q132" i="35"/>
  <c r="P132" i="39"/>
  <c r="Q132" i="39"/>
  <c r="D150" i="36" l="1"/>
  <c r="D158" i="33"/>
  <c r="O138" i="33" l="1"/>
  <c r="N138" i="33"/>
  <c r="M137" i="36"/>
  <c r="M139" i="36" s="1"/>
  <c r="M138" i="36" s="1"/>
  <c r="L137" i="36"/>
  <c r="L139" i="36" s="1"/>
  <c r="L138" i="36" s="1"/>
  <c r="N140" i="33" l="1"/>
  <c r="N133" i="39"/>
  <c r="N133" i="35"/>
  <c r="M138" i="33"/>
  <c r="O133" i="39"/>
  <c r="O135" i="39" s="1"/>
  <c r="O140" i="33"/>
  <c r="O133" i="35"/>
  <c r="O135" i="35" s="1"/>
  <c r="U138" i="33" l="1"/>
  <c r="M140" i="33"/>
  <c r="O134" i="39"/>
  <c r="O136" i="39"/>
  <c r="N139" i="33"/>
  <c r="N141" i="33"/>
  <c r="N148" i="33" s="1"/>
  <c r="O134" i="35"/>
  <c r="O136" i="35"/>
  <c r="N135" i="35"/>
  <c r="M133" i="35"/>
  <c r="O139" i="33"/>
  <c r="O141" i="33"/>
  <c r="O149" i="33" s="1"/>
  <c r="M133" i="39"/>
  <c r="N135" i="39"/>
  <c r="M135" i="39" l="1"/>
  <c r="P133" i="39"/>
  <c r="AG133" i="39" s="1"/>
  <c r="N134" i="35"/>
  <c r="N136" i="35"/>
  <c r="O143" i="35"/>
  <c r="M143" i="35" s="1"/>
  <c r="O143" i="39"/>
  <c r="M143" i="39" s="1"/>
  <c r="N134" i="39"/>
  <c r="N136" i="39"/>
  <c r="P133" i="35"/>
  <c r="M135" i="35"/>
  <c r="N142" i="35"/>
  <c r="M142" i="35" s="1"/>
  <c r="N142" i="39"/>
  <c r="M142" i="39" s="1"/>
  <c r="U140" i="33"/>
  <c r="M139" i="33"/>
  <c r="U139" i="33" s="1"/>
  <c r="M141" i="33"/>
  <c r="AG135" i="39" l="1"/>
  <c r="AF133" i="39"/>
  <c r="AF135" i="39" s="1"/>
  <c r="M134" i="39"/>
  <c r="P134" i="39" s="1"/>
  <c r="P135" i="39"/>
  <c r="M136" i="39"/>
  <c r="P136" i="39" s="1"/>
  <c r="M156" i="33"/>
  <c r="U141" i="33"/>
  <c r="M134" i="35"/>
  <c r="P134" i="35" s="1"/>
  <c r="P135" i="35"/>
  <c r="M136" i="35"/>
  <c r="P136" i="35" s="1"/>
  <c r="AF134" i="39" l="1"/>
  <c r="AF136" i="39"/>
  <c r="AI136" i="39" s="1"/>
  <c r="AG134" i="39"/>
  <c r="AG136" i="39"/>
  <c r="AG142" i="39" s="1"/>
  <c r="K111" i="36"/>
  <c r="K100" i="36" l="1"/>
  <c r="K110" i="36"/>
  <c r="K135" i="36"/>
  <c r="M111" i="36"/>
  <c r="N111" i="36"/>
  <c r="L111" i="36"/>
  <c r="O111" i="36"/>
  <c r="M110" i="36" l="1"/>
  <c r="M109" i="36" s="1"/>
  <c r="L110" i="36"/>
  <c r="L109" i="36" s="1"/>
  <c r="O110" i="36"/>
  <c r="O109" i="36" s="1"/>
  <c r="N110" i="36"/>
  <c r="N109" i="36" s="1"/>
  <c r="O135" i="36"/>
  <c r="N135" i="36"/>
  <c r="L135" i="36"/>
  <c r="M135" i="36"/>
  <c r="M100" i="36"/>
  <c r="O100" i="36"/>
  <c r="N100" i="36"/>
  <c r="L100" i="36"/>
  <c r="K109" i="36" l="1"/>
  <c r="K132" i="36" l="1"/>
  <c r="O132" i="36" l="1"/>
  <c r="N132" i="36"/>
  <c r="L132" i="36"/>
  <c r="M132" i="36"/>
  <c r="K122" i="36" l="1"/>
  <c r="O122" i="36" l="1"/>
  <c r="N122" i="36"/>
  <c r="M122" i="36"/>
  <c r="L122" i="36"/>
  <c r="K129" i="36" l="1"/>
  <c r="L129" i="36" l="1"/>
  <c r="L117" i="36" s="1"/>
  <c r="L95" i="36" s="1"/>
  <c r="L94" i="36" s="1"/>
  <c r="L136" i="36" s="1"/>
  <c r="L140" i="36" s="1"/>
  <c r="L145" i="36" s="1"/>
  <c r="L155" i="36" s="1"/>
  <c r="O129" i="36"/>
  <c r="O117" i="36" s="1"/>
  <c r="O95" i="36" s="1"/>
  <c r="O94" i="36" s="1"/>
  <c r="O136" i="36" s="1"/>
  <c r="O140" i="36" s="1"/>
  <c r="N129" i="36"/>
  <c r="N117" i="36" s="1"/>
  <c r="N95" i="36" s="1"/>
  <c r="N94" i="36" s="1"/>
  <c r="N136" i="36" s="1"/>
  <c r="N140" i="36" s="1"/>
  <c r="M129" i="36"/>
  <c r="M117" i="36" s="1"/>
  <c r="M95" i="36" s="1"/>
  <c r="M94" i="36" s="1"/>
  <c r="M136" i="36" s="1"/>
  <c r="M140" i="36" s="1"/>
  <c r="M146" i="36" s="1"/>
  <c r="M155" i="36" s="1"/>
  <c r="K117" i="36"/>
  <c r="K95" i="36" s="1"/>
  <c r="K94" i="36" l="1"/>
  <c r="N147" i="36"/>
  <c r="N155" i="36" s="1"/>
  <c r="K155" i="36" s="1"/>
  <c r="N139" i="36"/>
  <c r="N138" i="36" s="1"/>
  <c r="N137" i="36" s="1"/>
  <c r="O139" i="36"/>
  <c r="O138" i="36" s="1"/>
  <c r="O137" i="36" s="1"/>
  <c r="O148" i="36"/>
  <c r="K136" i="36" l="1"/>
  <c r="K137" i="36"/>
  <c r="K139" i="36" s="1"/>
  <c r="K138" i="36" s="1"/>
  <c r="K140" i="36" l="1"/>
  <c r="K153" i="36" l="1"/>
  <c r="D6" i="40"/>
  <c r="BM6" i="40" l="1"/>
  <c r="D11" i="43"/>
  <c r="D126" i="40"/>
  <c r="J6" i="40"/>
  <c r="P6" i="40" s="1"/>
  <c r="G6" i="40"/>
  <c r="BP6" i="40" l="1"/>
  <c r="D11" i="46"/>
  <c r="J126" i="40"/>
  <c r="P126" i="40" s="1"/>
  <c r="BG126" i="40" s="1"/>
  <c r="BM126" i="40"/>
  <c r="BG6" i="40"/>
  <c r="G126" i="40"/>
  <c r="M6" i="40"/>
  <c r="BP126" i="40" l="1"/>
  <c r="D36" i="46"/>
  <c r="S6" i="40"/>
  <c r="F11" i="43"/>
  <c r="G11" i="43"/>
  <c r="G133" i="40"/>
  <c r="D43" i="46" s="1"/>
  <c r="M126" i="40"/>
  <c r="G43" i="46" l="1"/>
  <c r="F43" i="46"/>
  <c r="F36" i="46"/>
  <c r="G36" i="46"/>
  <c r="G11" i="46"/>
  <c r="F11" i="46"/>
  <c r="S126" i="40"/>
  <c r="BJ126" i="40" s="1"/>
  <c r="BJ6" i="40"/>
  <c r="G132" i="40"/>
  <c r="D42" i="46" s="1"/>
  <c r="M133" i="40"/>
  <c r="S133" i="40" s="1"/>
  <c r="E131" i="40"/>
  <c r="E133" i="40"/>
  <c r="D43" i="44" s="1"/>
  <c r="F43" i="44" l="1"/>
  <c r="K131" i="40"/>
  <c r="Q131" i="40" s="1"/>
  <c r="D41" i="44"/>
  <c r="D8" i="47"/>
  <c r="D8" i="46"/>
  <c r="D8" i="44"/>
  <c r="D8" i="45"/>
  <c r="K133" i="40"/>
  <c r="Q133" i="40" s="1"/>
  <c r="E139" i="40"/>
  <c r="D8" i="43"/>
  <c r="M132" i="40"/>
  <c r="D132" i="40"/>
  <c r="J132" i="40" s="1"/>
  <c r="G131" i="40"/>
  <c r="D133" i="40"/>
  <c r="J133" i="40" s="1"/>
  <c r="M131" i="40" l="1"/>
  <c r="S131" i="40" s="1"/>
  <c r="D41" i="46"/>
  <c r="K139" i="40"/>
  <c r="Q139" i="40" s="1"/>
  <c r="D49" i="44"/>
  <c r="G127" i="40"/>
  <c r="D127" i="40" s="1"/>
  <c r="J127" i="40" s="1"/>
  <c r="P132" i="40"/>
  <c r="P133" i="40"/>
  <c r="S132" i="40"/>
  <c r="D6" i="44"/>
  <c r="D6" i="45"/>
  <c r="D6" i="47"/>
  <c r="D6" i="46"/>
  <c r="D6" i="43"/>
  <c r="D131" i="40"/>
  <c r="J131" i="40" s="1"/>
  <c r="G41" i="40"/>
  <c r="D21" i="46" s="1"/>
  <c r="W139" i="40" l="1"/>
  <c r="AC139" i="40" s="1"/>
  <c r="M127" i="40"/>
  <c r="S127" i="40" s="1"/>
  <c r="D37" i="46"/>
  <c r="M41" i="40"/>
  <c r="S41" i="40" s="1"/>
  <c r="BP41" i="40"/>
  <c r="P127" i="40"/>
  <c r="D5" i="44"/>
  <c r="D5" i="45"/>
  <c r="D5" i="46"/>
  <c r="P131" i="40"/>
  <c r="D5" i="47"/>
  <c r="D5" i="43"/>
  <c r="V41" i="40"/>
  <c r="V70" i="40"/>
  <c r="Y31" i="40"/>
  <c r="W157" i="40" l="1"/>
  <c r="AI139" i="40"/>
  <c r="AC157" i="40"/>
  <c r="F21" i="46"/>
  <c r="G21" i="46"/>
  <c r="BJ41" i="40"/>
  <c r="Y6" i="40"/>
  <c r="Y126" i="40" s="1"/>
  <c r="Y132" i="40" s="1"/>
  <c r="V31" i="40"/>
  <c r="V6" i="40" s="1"/>
  <c r="V126" i="40" s="1"/>
  <c r="V132" i="40" l="1"/>
  <c r="AO139" i="40"/>
  <c r="AI157" i="40"/>
  <c r="V133" i="40"/>
  <c r="Z131" i="40" l="1"/>
  <c r="Z127" i="40" s="1"/>
  <c r="Y131" i="40"/>
  <c r="AU139" i="40"/>
  <c r="AU157" i="40" s="1"/>
  <c r="AO157" i="40"/>
  <c r="X127" i="40"/>
  <c r="BD132" i="40"/>
  <c r="BA132" i="40" s="1"/>
  <c r="Y127" i="40" l="1"/>
  <c r="E42" i="46"/>
  <c r="F42" i="46" s="1"/>
  <c r="AF127" i="40"/>
  <c r="AD127" i="40"/>
  <c r="BQ132" i="40"/>
  <c r="AH133" i="40"/>
  <c r="BP132" i="40"/>
  <c r="AU145" i="40"/>
  <c r="AU131" i="40" l="1"/>
  <c r="AK131" i="40"/>
  <c r="AJ131" i="40"/>
  <c r="AV131" i="40" s="1"/>
  <c r="AV127" i="40" s="1"/>
  <c r="AL131" i="40"/>
  <c r="G42" i="46"/>
  <c r="E42" i="44"/>
  <c r="BN132" i="40"/>
  <c r="BO132" i="40"/>
  <c r="BH132" i="40"/>
  <c r="BQ133" i="40"/>
  <c r="BK132" i="40"/>
  <c r="BP133" i="40"/>
  <c r="BJ132" i="40"/>
  <c r="AC127" i="40"/>
  <c r="AB127" i="40" s="1"/>
  <c r="AW131" i="40" l="1"/>
  <c r="AW127" i="40" s="1"/>
  <c r="AU127" i="40"/>
  <c r="AV146" i="40"/>
  <c r="AU146" i="40"/>
  <c r="F42" i="44"/>
  <c r="E49" i="44"/>
  <c r="BN133" i="40"/>
  <c r="E9" i="43"/>
  <c r="E9" i="44"/>
  <c r="E9" i="46"/>
  <c r="E9" i="47"/>
  <c r="E9" i="45"/>
  <c r="BK133" i="40"/>
  <c r="AL127" i="40"/>
  <c r="BE127" i="40" s="1"/>
  <c r="BE131" i="40"/>
  <c r="E8" i="44"/>
  <c r="E8" i="43"/>
  <c r="E8" i="45"/>
  <c r="E8" i="46"/>
  <c r="E8" i="47"/>
  <c r="BJ133" i="40"/>
  <c r="E6" i="45"/>
  <c r="E6" i="47"/>
  <c r="E6" i="46"/>
  <c r="E6" i="43"/>
  <c r="E6" i="44"/>
  <c r="BH133" i="40"/>
  <c r="AT127" i="40" l="1"/>
  <c r="BD131" i="40"/>
  <c r="BA131" i="40" s="1"/>
  <c r="E41" i="47"/>
  <c r="F41" i="47" s="1"/>
  <c r="E37" i="47"/>
  <c r="F37" i="47" s="1"/>
  <c r="G41" i="47"/>
  <c r="BK131" i="40"/>
  <c r="BQ131" i="40"/>
  <c r="BK127" i="40"/>
  <c r="BQ127" i="40"/>
  <c r="G6" i="47"/>
  <c r="F6" i="47"/>
  <c r="G8" i="46"/>
  <c r="F8" i="46"/>
  <c r="G9" i="47"/>
  <c r="F9" i="47"/>
  <c r="F6" i="44"/>
  <c r="G6" i="44"/>
  <c r="G9" i="46"/>
  <c r="F9" i="46"/>
  <c r="F6" i="45"/>
  <c r="G6" i="45"/>
  <c r="AJ127" i="40"/>
  <c r="G6" i="43"/>
  <c r="F6" i="43"/>
  <c r="G8" i="43"/>
  <c r="F8" i="43"/>
  <c r="F9" i="44"/>
  <c r="G9" i="44"/>
  <c r="G8" i="45"/>
  <c r="F8" i="45"/>
  <c r="AK127" i="40"/>
  <c r="BD127" i="40" s="1"/>
  <c r="F6" i="46"/>
  <c r="G6" i="46"/>
  <c r="F8" i="47"/>
  <c r="G8" i="47"/>
  <c r="F8" i="44"/>
  <c r="G8" i="44"/>
  <c r="G9" i="45"/>
  <c r="F9" i="45"/>
  <c r="G9" i="43"/>
  <c r="F9" i="43"/>
  <c r="AI127" i="40"/>
  <c r="E41" i="46" l="1"/>
  <c r="G41" i="46" s="1"/>
  <c r="G37" i="47"/>
  <c r="E37" i="46"/>
  <c r="F37" i="46" s="1"/>
  <c r="BJ127" i="40"/>
  <c r="BP127" i="40"/>
  <c r="BJ131" i="40"/>
  <c r="BP131" i="40"/>
  <c r="AH127" i="40"/>
  <c r="BI132" i="40"/>
  <c r="F41" i="46" l="1"/>
  <c r="G37" i="46"/>
  <c r="BC140" i="40" l="1"/>
  <c r="BO133" i="40"/>
  <c r="BG132" i="40"/>
  <c r="BM132" i="40"/>
  <c r="E7" i="44"/>
  <c r="E7" i="47"/>
  <c r="E7" i="46"/>
  <c r="E7" i="45"/>
  <c r="BI133" i="40"/>
  <c r="E7" i="43"/>
  <c r="E50" i="45" l="1"/>
  <c r="BC157" i="40"/>
  <c r="BG133" i="40"/>
  <c r="BM133" i="40"/>
  <c r="G7" i="45"/>
  <c r="E5" i="45"/>
  <c r="F7" i="45"/>
  <c r="F7" i="46"/>
  <c r="E5" i="46"/>
  <c r="G7" i="46"/>
  <c r="F7" i="43"/>
  <c r="G7" i="43"/>
  <c r="E5" i="43"/>
  <c r="G7" i="47"/>
  <c r="E5" i="47"/>
  <c r="F7" i="47"/>
  <c r="F7" i="44"/>
  <c r="E5" i="44"/>
  <c r="G7" i="44"/>
  <c r="F5" i="47" l="1"/>
  <c r="G5" i="47"/>
  <c r="G5" i="44"/>
  <c r="F5" i="44"/>
  <c r="G5" i="45"/>
  <c r="F5" i="45"/>
  <c r="G5" i="43"/>
  <c r="F5" i="43"/>
  <c r="F5" i="46"/>
  <c r="G5" i="46"/>
  <c r="BC127" i="40" l="1"/>
  <c r="E37" i="45" l="1"/>
  <c r="E41" i="45"/>
  <c r="BI127" i="40"/>
  <c r="BO127" i="40"/>
  <c r="BO131" i="40"/>
  <c r="BI131" i="40"/>
  <c r="F37" i="45" l="1"/>
  <c r="F41" i="45"/>
  <c r="W127" i="40" l="1"/>
  <c r="V127" i="40" l="1"/>
  <c r="AO127" i="40"/>
  <c r="BB127" i="40" l="1"/>
  <c r="AN127" i="40"/>
  <c r="E41" i="44" l="1"/>
  <c r="BN131" i="40"/>
  <c r="BH131" i="40"/>
  <c r="BA127" i="40"/>
  <c r="E37" i="44"/>
  <c r="BN127" i="40"/>
  <c r="BH127" i="40"/>
  <c r="F37" i="44" l="1"/>
  <c r="BM131" i="40"/>
  <c r="BG131" i="40"/>
  <c r="BG127" i="40"/>
  <c r="BM127" i="40"/>
  <c r="F41" i="44"/>
</calcChain>
</file>

<file path=xl/comments1.xml><?xml version="1.0" encoding="utf-8"?>
<comments xmlns="http://schemas.openxmlformats.org/spreadsheetml/2006/main">
  <authors>
    <author>postal</author>
  </authors>
  <commentList>
    <comment ref="K41" authorId="0" shapeId="0">
      <text>
        <r>
          <rPr>
            <b/>
            <sz val="9"/>
            <color indexed="81"/>
            <rFont val="Tahoma"/>
            <family val="2"/>
            <charset val="204"/>
          </rPr>
          <t>postal:</t>
        </r>
        <r>
          <rPr>
            <sz val="9"/>
            <color indexed="81"/>
            <rFont val="Tahoma"/>
            <family val="2"/>
            <charset val="204"/>
          </rPr>
          <t xml:space="preserve">
Налог на имущество * 1,05</t>
        </r>
      </text>
    </comment>
  </commentList>
</comments>
</file>

<file path=xl/comments2.xml><?xml version="1.0" encoding="utf-8"?>
<comments xmlns="http://schemas.openxmlformats.org/spreadsheetml/2006/main">
  <authors>
    <author>postal</author>
  </authors>
  <commentList>
    <comment ref="M41" authorId="0" shapeId="0">
      <text>
        <r>
          <rPr>
            <b/>
            <sz val="9"/>
            <color indexed="81"/>
            <rFont val="Tahoma"/>
            <family val="2"/>
            <charset val="204"/>
          </rPr>
          <t>postal:</t>
        </r>
        <r>
          <rPr>
            <sz val="9"/>
            <color indexed="81"/>
            <rFont val="Tahoma"/>
            <family val="2"/>
            <charset val="204"/>
          </rPr>
          <t xml:space="preserve">
Налог на имущество * 1,05</t>
        </r>
      </text>
    </comment>
  </commentList>
</comments>
</file>

<file path=xl/comments3.xml><?xml version="1.0" encoding="utf-8"?>
<comments xmlns="http://schemas.openxmlformats.org/spreadsheetml/2006/main">
  <authors>
    <author>postal</author>
  </authors>
  <commentList>
    <comment ref="L41" authorId="0" shapeId="0">
      <text>
        <r>
          <rPr>
            <b/>
            <sz val="9"/>
            <color indexed="81"/>
            <rFont val="Tahoma"/>
            <family val="2"/>
            <charset val="204"/>
          </rPr>
          <t>postal:</t>
        </r>
        <r>
          <rPr>
            <sz val="9"/>
            <color indexed="81"/>
            <rFont val="Tahoma"/>
            <family val="2"/>
            <charset val="204"/>
          </rPr>
          <t xml:space="preserve">
Налог на имущество * 1,05</t>
        </r>
      </text>
    </comment>
    <comment ref="T41" authorId="0" shapeId="0">
      <text>
        <r>
          <rPr>
            <b/>
            <sz val="9"/>
            <color indexed="81"/>
            <rFont val="Tahoma"/>
            <family val="2"/>
            <charset val="204"/>
          </rPr>
          <t>postal:</t>
        </r>
        <r>
          <rPr>
            <sz val="9"/>
            <color indexed="81"/>
            <rFont val="Tahoma"/>
            <family val="2"/>
            <charset val="204"/>
          </rPr>
          <t xml:space="preserve">
Налог на имущество * 1,05</t>
        </r>
      </text>
    </comment>
  </commentList>
</comments>
</file>

<file path=xl/comments4.xml><?xml version="1.0" encoding="utf-8"?>
<comments xmlns="http://schemas.openxmlformats.org/spreadsheetml/2006/main">
  <authors>
    <author>Пользователь Windows</author>
    <author>postal</author>
  </authors>
  <commentList>
    <comment ref="B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Пользователь </t>
        </r>
        <r>
          <rPr>
            <b/>
            <sz val="12"/>
            <color indexed="81"/>
            <rFont val="Tahoma"/>
            <family val="2"/>
            <charset val="204"/>
          </rPr>
          <t>Windows:</t>
        </r>
        <r>
          <rPr>
            <sz val="12"/>
            <color indexed="81"/>
            <rFont val="Tahoma"/>
            <family val="2"/>
            <charset val="204"/>
          </rPr>
          <t xml:space="preserve">
С Произв.расходов - реальный</t>
        </r>
      </text>
    </comment>
    <comment ref="D46" authorId="1" shapeId="0">
      <text>
        <r>
          <rPr>
            <b/>
            <sz val="9"/>
            <color indexed="81"/>
            <rFont val="Tahoma"/>
            <family val="2"/>
            <charset val="204"/>
          </rPr>
          <t>postal:</t>
        </r>
        <r>
          <rPr>
            <sz val="9"/>
            <color indexed="81"/>
            <rFont val="Tahoma"/>
            <family val="2"/>
            <charset val="204"/>
          </rPr>
          <t xml:space="preserve">
Налог на имущество * 1,05</t>
        </r>
      </text>
    </comment>
    <comment ref="AS47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Перерегистрация автомашин в связи с изменением юр.адреса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Лицензия на мед.услуги</t>
        </r>
      </text>
    </comment>
    <comment ref="U51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Экологический отчет</t>
        </r>
      </text>
    </comment>
    <comment ref="AS51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Разработка ТЭО КИТНГ и ЭДО
</t>
        </r>
      </text>
    </comment>
    <comment ref="B53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На всю технику - % пути; на котел - %ФОТ</t>
        </r>
      </text>
    </comment>
    <comment ref="M60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Расходы по сходу ТОР</t>
        </r>
      </text>
    </comment>
    <comment ref="AK71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191525 тг тариф при отправлении груза</t>
        </r>
      </text>
    </comment>
    <comment ref="AS76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Имущество</t>
        </r>
      </text>
    </comment>
    <comment ref="U88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За проезд локомотива по путям ПХСНГ</t>
        </r>
      </text>
    </comment>
    <comment ref="U108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рекламные услуги</t>
        </r>
      </text>
    </comment>
    <comment ref="AC108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телемастер+рекл.услуги</t>
        </r>
      </text>
    </comment>
    <comment ref="AK108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рекламные услуги + юрид.консультация</t>
        </r>
      </text>
    </comment>
    <comment ref="AS108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Юрид.консультация + рекламные услуги</t>
        </r>
      </text>
    </comment>
    <comment ref="U115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Налог судебный</t>
        </r>
      </text>
    </comment>
    <comment ref="AS115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Пеня по ОПВ 707,84, пеня по ОСМС 33,07, пеня по СО 112,48</t>
        </r>
      </text>
    </comment>
    <comment ref="U116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штрафы и пени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программа строителей</t>
        </r>
      </text>
    </comment>
    <comment ref="M134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ТО Бипек авто, ГСМ, запчасти</t>
        </r>
      </text>
    </comment>
    <comment ref="A142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Чистая прибыль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Налог на прибыль</t>
        </r>
      </text>
    </comment>
    <comment ref="A144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Доходы (расходы) до налогобложения</t>
        </r>
      </text>
    </comment>
    <comment ref="A145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Доходы от основной деятельности</t>
        </r>
      </text>
    </comment>
  </commentList>
</comments>
</file>

<file path=xl/comments5.xml><?xml version="1.0" encoding="utf-8"?>
<comments xmlns="http://schemas.openxmlformats.org/spreadsheetml/2006/main">
  <authors>
    <author>postal</author>
  </authors>
  <commentList>
    <comment ref="K41" authorId="0" shapeId="0">
      <text>
        <r>
          <rPr>
            <b/>
            <sz val="9"/>
            <color indexed="81"/>
            <rFont val="Tahoma"/>
            <family val="2"/>
            <charset val="204"/>
          </rPr>
          <t>postal:</t>
        </r>
        <r>
          <rPr>
            <sz val="9"/>
            <color indexed="81"/>
            <rFont val="Tahoma"/>
            <family val="2"/>
            <charset val="204"/>
          </rPr>
          <t xml:space="preserve">
Налог на имущество * 1,05</t>
        </r>
      </text>
    </comment>
  </commentList>
</comments>
</file>

<file path=xl/sharedStrings.xml><?xml version="1.0" encoding="utf-8"?>
<sst xmlns="http://schemas.openxmlformats.org/spreadsheetml/2006/main" count="4010" uniqueCount="472">
  <si>
    <t>№ п/п</t>
  </si>
  <si>
    <t>Наименование показателей</t>
  </si>
  <si>
    <t>Ед. изм.</t>
  </si>
  <si>
    <t xml:space="preserve">Сводная тарифная смета </t>
  </si>
  <si>
    <t>I</t>
  </si>
  <si>
    <t>Затраты на производство товаров и предоставление услуг*, всего</t>
  </si>
  <si>
    <t>тыс. тенге</t>
  </si>
  <si>
    <t>в том числе:</t>
  </si>
  <si>
    <t>1.</t>
  </si>
  <si>
    <t>-//-</t>
  </si>
  <si>
    <t>1.1.</t>
  </si>
  <si>
    <t>материалы</t>
  </si>
  <si>
    <t>1.2.</t>
  </si>
  <si>
    <t>топливо</t>
  </si>
  <si>
    <t>масла и смазки</t>
  </si>
  <si>
    <t>1.3.</t>
  </si>
  <si>
    <t>2.</t>
  </si>
  <si>
    <t>2.1.</t>
  </si>
  <si>
    <t>заработная плата</t>
  </si>
  <si>
    <t>2.2.</t>
  </si>
  <si>
    <t>социальный налог</t>
  </si>
  <si>
    <t>3.</t>
  </si>
  <si>
    <t>Амортизация основных средств и нематериальных активов</t>
  </si>
  <si>
    <t>4.</t>
  </si>
  <si>
    <t>Ремонт</t>
  </si>
  <si>
    <t>5.</t>
  </si>
  <si>
    <t>Прочие затраты, всего</t>
  </si>
  <si>
    <t>5.1.</t>
  </si>
  <si>
    <t>услуги связи</t>
  </si>
  <si>
    <t>5.2.</t>
  </si>
  <si>
    <t>подготовка кадров</t>
  </si>
  <si>
    <t>5.3.</t>
  </si>
  <si>
    <t>командировочные расходы</t>
  </si>
  <si>
    <t>5.4.</t>
  </si>
  <si>
    <t>налоги</t>
  </si>
  <si>
    <t>Транспортный налог</t>
  </si>
  <si>
    <t>Плата за эмиссии в окружающую среду</t>
  </si>
  <si>
    <t>Плата за использование радиочастотного спектра</t>
  </si>
  <si>
    <t>5.5.</t>
  </si>
  <si>
    <t>услуги сторонних организаций</t>
  </si>
  <si>
    <t>Метеорологические услуги</t>
  </si>
  <si>
    <t>5.6.</t>
  </si>
  <si>
    <t>коммунальные услуги</t>
  </si>
  <si>
    <t>5.7.</t>
  </si>
  <si>
    <t>другие затраты</t>
  </si>
  <si>
    <t>II</t>
  </si>
  <si>
    <t>6.</t>
  </si>
  <si>
    <t>Общие и административные расходы, всего</t>
  </si>
  <si>
    <t>заработная плата административного персонала</t>
  </si>
  <si>
    <t>6.2.</t>
  </si>
  <si>
    <t>6.3.</t>
  </si>
  <si>
    <t>6.4.</t>
  </si>
  <si>
    <t>аудиторские, консалтинговые и информационные услуги</t>
  </si>
  <si>
    <t>услуги банка</t>
  </si>
  <si>
    <t>6.5.</t>
  </si>
  <si>
    <t>6.6.</t>
  </si>
  <si>
    <t>представительские расходы</t>
  </si>
  <si>
    <t>6.7.</t>
  </si>
  <si>
    <t>6.9.</t>
  </si>
  <si>
    <t>расходы по аренде</t>
  </si>
  <si>
    <t>6.10.</t>
  </si>
  <si>
    <t>6.11.</t>
  </si>
  <si>
    <t>страхование</t>
  </si>
  <si>
    <t>Страхование ГПО владельцев ТС</t>
  </si>
  <si>
    <t>Страхование ГПО работодателя</t>
  </si>
  <si>
    <t>другие расходы</t>
  </si>
  <si>
    <t>Расходы на выплату вознаграждений</t>
  </si>
  <si>
    <t>III</t>
  </si>
  <si>
    <t>Всего затрат</t>
  </si>
  <si>
    <t>IV</t>
  </si>
  <si>
    <t>Прибыль (чистый доход)</t>
  </si>
  <si>
    <t>КПН</t>
  </si>
  <si>
    <t>Итого прибыль</t>
  </si>
  <si>
    <t>V</t>
  </si>
  <si>
    <t>Всего доходов</t>
  </si>
  <si>
    <t>VI</t>
  </si>
  <si>
    <t xml:space="preserve">Объем оказанных услуг </t>
  </si>
  <si>
    <t>вагоно/км</t>
  </si>
  <si>
    <t>VII</t>
  </si>
  <si>
    <t>Тариф</t>
  </si>
  <si>
    <t>тнг/в-км</t>
  </si>
  <si>
    <t>материалы хозяйства энергоснабжения</t>
  </si>
  <si>
    <t>материалы локомотивного хозяйства</t>
  </si>
  <si>
    <t xml:space="preserve">специальная одежда и средства индивидуальной защиты </t>
  </si>
  <si>
    <t>Техническое обслуживанию комплекса локомотивных устройств безопасности (КЛУБ-У) и локомотивных радиостанций РВС</t>
  </si>
  <si>
    <t>Техническое обслуживание автотехники, кранового хозяйства, путевых машин и механизмов</t>
  </si>
  <si>
    <t>Услуги по текущему содержанию пути и стрелочных переводов</t>
  </si>
  <si>
    <t>Техническое обслуживание и ремонт устройств сигнализации, централизации, блокировки</t>
  </si>
  <si>
    <t>Услуги военизированной охраны</t>
  </si>
  <si>
    <t>тнг/ваг-час</t>
  </si>
  <si>
    <t>Обязательное страхование гражданско-правовой ответственности владельцев транспортных средств</t>
  </si>
  <si>
    <t>Обязательное страхование работников</t>
  </si>
  <si>
    <t>Обучение производственного персонала  по промышленной безопасности и охране труда"</t>
  </si>
  <si>
    <t>Медицинский осмотр</t>
  </si>
  <si>
    <t>Хозяйственные товары</t>
  </si>
  <si>
    <t>Бланочная продукция</t>
  </si>
  <si>
    <t>Налог на траспорт</t>
  </si>
  <si>
    <t>Налог на имущество</t>
  </si>
  <si>
    <t>нотариальные услуги</t>
  </si>
  <si>
    <t>Обучение по промышленной безопасности и охране труда</t>
  </si>
  <si>
    <t>Установка и сопровождение программного продукта 1С</t>
  </si>
  <si>
    <t>Периодическая печать</t>
  </si>
  <si>
    <t>Курьерские услуги</t>
  </si>
  <si>
    <t>Объявления в газету</t>
  </si>
  <si>
    <t>Аттестация производственных объектов по условиям труда</t>
  </si>
  <si>
    <t>Добровольное страхование гражданско-правовой ответственности владельцев транспортных средств</t>
  </si>
  <si>
    <t>Расходы на содержание оргтехники</t>
  </si>
  <si>
    <t xml:space="preserve">Длина железнодорожного пути  составляет </t>
  </si>
  <si>
    <t>Коммунальные услуги (вода, канализация, газоснабжение, вывоз мусора)</t>
  </si>
  <si>
    <t>6.8.</t>
  </si>
  <si>
    <t>Расходы на содержание служебного автотранспорта</t>
  </si>
  <si>
    <t>Проект тарифной сметы на услуги подъездных путей ТОО "РТИ-АНПЗ"</t>
  </si>
  <si>
    <t>Эмиссия в  окружающую среду</t>
  </si>
  <si>
    <t>материалы для снегоборьбы</t>
  </si>
  <si>
    <t>Питание</t>
  </si>
  <si>
    <t>Услуги видео и пожарной сигнализации</t>
  </si>
  <si>
    <t>Услуги вентиляции и сплит систем</t>
  </si>
  <si>
    <t>Ремонт и перезарядка огнетушителей</t>
  </si>
  <si>
    <t>Ремонт зданий и сооружений</t>
  </si>
  <si>
    <t>Спецмолоко и мыло</t>
  </si>
  <si>
    <t>6.12.</t>
  </si>
  <si>
    <t>Канцелярские товары</t>
  </si>
  <si>
    <t>электроматериалы</t>
  </si>
  <si>
    <t>Услуги обслуживания энергообъектов</t>
  </si>
  <si>
    <t>Услуги по техническому обслуживанию устройства зарядки и опробования тормозов</t>
  </si>
  <si>
    <t>Услуги обслуживания турникета</t>
  </si>
  <si>
    <t>Обслуживание насосных агрегатов и компрессоров</t>
  </si>
  <si>
    <t>Аренда локомотивов</t>
  </si>
  <si>
    <t>Вывоз особо опасных отходов</t>
  </si>
  <si>
    <t>Обязательное экологическое страхование</t>
  </si>
  <si>
    <t>Медосмотр</t>
  </si>
  <si>
    <t>вагоно/час</t>
  </si>
  <si>
    <t xml:space="preserve">материалы вагонного хозяйства </t>
  </si>
  <si>
    <t>ваг.км</t>
  </si>
  <si>
    <t>ваг.час</t>
  </si>
  <si>
    <t>лок.час</t>
  </si>
  <si>
    <t>запасные части на автотранспорт</t>
  </si>
  <si>
    <t>вагоны</t>
  </si>
  <si>
    <t>3 услуга - Подача-уборка по фронтам погрузки-выгрузки</t>
  </si>
  <si>
    <t>4 услуга - Подача-уборка с станцион., магистр.пути на п/путь</t>
  </si>
  <si>
    <t>5 услуга - Маневровые работы</t>
  </si>
  <si>
    <t>6 услуга - ТОР</t>
  </si>
  <si>
    <t>запасные части на оргтехнику</t>
  </si>
  <si>
    <t>бланочная продукция</t>
  </si>
  <si>
    <t>2.3.</t>
  </si>
  <si>
    <t>обязательные профессиональные пенсионные взносы (ОППВ)</t>
  </si>
  <si>
    <t>2.4.</t>
  </si>
  <si>
    <t>обязательное социальное медстрахование</t>
  </si>
  <si>
    <t>Налог на землю</t>
  </si>
  <si>
    <t>Разработка технических документаций</t>
  </si>
  <si>
    <t>Услуги по слежению и получению информации о местонахождении вагонов</t>
  </si>
  <si>
    <t>Услуги поверочные работы</t>
  </si>
  <si>
    <t>Услуги обслуживания газопровода и газового оборудования</t>
  </si>
  <si>
    <t>Техническое обслуживание зданий и сооружений (материалы)</t>
  </si>
  <si>
    <t>Аренда помещения</t>
  </si>
  <si>
    <t>Услуги заправки картриджей</t>
  </si>
  <si>
    <t>Услуги обязательного технического осмотра транспортных средств</t>
  </si>
  <si>
    <t>Услуги дератизации, дезинсекции и дезинфекции</t>
  </si>
  <si>
    <t>Услуги откачки сточных вод</t>
  </si>
  <si>
    <t>5.8.</t>
  </si>
  <si>
    <t>Страхование</t>
  </si>
  <si>
    <t>обязательное медицинское страхование</t>
  </si>
  <si>
    <t>Сцецодежда</t>
  </si>
  <si>
    <t>Услуги по заправке картриджей</t>
  </si>
  <si>
    <t>Аттестация рабочих мест по условиям труда</t>
  </si>
  <si>
    <t>Приобретение мыла</t>
  </si>
  <si>
    <t>Услуги по предупреждению пожаров</t>
  </si>
  <si>
    <t>Приобретение воды</t>
  </si>
  <si>
    <t xml:space="preserve">коммунальные услуги </t>
  </si>
  <si>
    <t>тенге за 1км</t>
  </si>
  <si>
    <t>тенге за 1 час</t>
  </si>
  <si>
    <t>тенге за 1 км</t>
  </si>
  <si>
    <t xml:space="preserve">тенге </t>
  </si>
  <si>
    <t xml:space="preserve">1 услуга - Предоставление подъездных путей для проезда подвижного состава </t>
  </si>
  <si>
    <t>2 услуга - Предоставление подъездного пути для маневровых работ, погрузки-выгрузки и других технологических операций перевозочного процесса, для стоянки подвижного состава, непредусмотренной технологическими операциями перевозочного процесса</t>
  </si>
  <si>
    <t>дизельное топливо и бензин</t>
  </si>
  <si>
    <t>Изделия медицинского изделия</t>
  </si>
  <si>
    <t xml:space="preserve">материалы СЦБ и связи </t>
  </si>
  <si>
    <t xml:space="preserve">материалы на текущее содержание путевого хозяйства </t>
  </si>
  <si>
    <t xml:space="preserve">электроэнергия </t>
  </si>
  <si>
    <t xml:space="preserve">Генеральный директор                                           М.Байжанов </t>
  </si>
  <si>
    <t>Финансовый  директор                                           Д.Мухтарова</t>
  </si>
  <si>
    <t>Обучение производственного персонала  по промышленной безопасности и охране труда</t>
  </si>
  <si>
    <t>ставка за тонну</t>
  </si>
  <si>
    <t>Пропорции заработной платы</t>
  </si>
  <si>
    <t>Пропорции производственных затрат</t>
  </si>
  <si>
    <t>Пропорции остаточной стоимости активов</t>
  </si>
  <si>
    <t>Реальная тарифная смета</t>
  </si>
  <si>
    <t>Разница в тенге</t>
  </si>
  <si>
    <t>Разница в %</t>
  </si>
  <si>
    <t>Проект тарифной сметы - КРЕМ</t>
  </si>
  <si>
    <t>Проект тарифной сметы - РЕАЛЬНЫЙ</t>
  </si>
  <si>
    <t>РЕАЛЬНЫЙ 01.07.17г.</t>
  </si>
  <si>
    <t>Сводная ТС - 1, 2 услуга</t>
  </si>
  <si>
    <r>
      <t xml:space="preserve">Разница в тенге  </t>
    </r>
    <r>
      <rPr>
        <sz val="14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(КРЕМ-РЕАЛЬНЫЙ)</t>
    </r>
  </si>
  <si>
    <t>Проект тарифной сметы ДКРЕМ</t>
  </si>
  <si>
    <r>
      <t xml:space="preserve">Разница в тенге  </t>
    </r>
    <r>
      <rPr>
        <sz val="14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(ДКРЕМ-ПРОЕКТ)</t>
    </r>
  </si>
  <si>
    <t xml:space="preserve">3 услуга - Подача-уборка </t>
  </si>
  <si>
    <t>4 услуга - ТОР</t>
  </si>
  <si>
    <t>объем, тонны</t>
  </si>
  <si>
    <t>ставка на 1 тонну, тенге</t>
  </si>
  <si>
    <t>Налог на транспорт</t>
  </si>
  <si>
    <t>Пропорции протяженности пути</t>
  </si>
  <si>
    <t>ДУП</t>
  </si>
  <si>
    <t>Проект тарифной сметы - СЕМ 16.06.17г.</t>
  </si>
  <si>
    <t>РЕАЛЬНЫЙ 05.07.17г.</t>
  </si>
  <si>
    <t>Кчисл.</t>
  </si>
  <si>
    <t>По задейств.</t>
  </si>
  <si>
    <t>Кпути</t>
  </si>
  <si>
    <t>Кпроизв.затрат</t>
  </si>
  <si>
    <t>Костат.стоим.</t>
  </si>
  <si>
    <t>Примененные коэфф.</t>
  </si>
  <si>
    <t>Типовые нормы расхода сырья, материалов, запасных частей на текущее обслуживание и текущее содержание устройств автоматики, телемеханики и телекоммуникаций, утв.пр. МТиК РК №305 от 15.05.2014 года. (Приложение 4).</t>
  </si>
  <si>
    <t>Типовые нормы расхода материалов, запасных частей на техническое обслуживание и текущий ремонт оборудования электростанций, трансформаторных подстанций, воздушных и кабельных линий электропередачи, утв. приказом МТиК РК №305 от 15.05.2014 года. (Приложение 1).</t>
  </si>
  <si>
    <t>Основание</t>
  </si>
  <si>
    <t>Типовые нормы расхода сырья, материалов, запасных частей на текущее содержание, ремонт пути и других устройств путевого хозяйства, утвержденные приказом МТиК РК №305 от 15.05.2014 года. (Приложение 11).</t>
  </si>
  <si>
    <t>Содержание и ремонт железнодорожного пути.  В И. Тихомиров.  Издательство "Транспорт», Москва 1969 год</t>
  </si>
  <si>
    <t>Положение об оплаты труда работников ТОО "РТИ-АНПЗ"</t>
  </si>
  <si>
    <t>Налоговый кодекс, глава 47, статья 355-362.</t>
  </si>
  <si>
    <t xml:space="preserve">Налоговый кодекс РК, статья 120, МСФО (IAS) 16 «Основные средства». </t>
  </si>
  <si>
    <t xml:space="preserve">Приказ МТК РК №261 от 10.05.11г., п.11, 12 –Требования к работникам жд транспорта. </t>
  </si>
  <si>
    <t xml:space="preserve">Налоговый кодекс, глава 51, статья 367. </t>
  </si>
  <si>
    <t>Налоговый кодекс, глава 71, статья 495</t>
  </si>
  <si>
    <t xml:space="preserve">Техническое обслуживание проводится по пробегу или моточасам. </t>
  </si>
  <si>
    <t xml:space="preserve">По вагонному, локомотивному, путевому хозяйству используются измерительные шаблоны и другие средства измерения. Шаблоны периодически должны проходить поверку в Национальных Центрах экспертизы и сертификации с периодичностью в год 1-2 раза.. </t>
  </si>
  <si>
    <t>cт.Промышленная является стратегическим объектом и находится вблизи охраняемого режимного объекта УГ 157/9.  Услуги охранной фирмы необходимы для предотвращения хищения и проникновения, нахождения посторонних лиц на территории станции Промышленная</t>
  </si>
  <si>
    <t xml:space="preserve">Работа Производственного персонала связана с движением поездов и в основном происходит на открытом воздухе. </t>
  </si>
  <si>
    <t>Территория станции Промышленная оборудована системой видеонаблюдения</t>
  </si>
  <si>
    <t xml:space="preserve">ТО вентиляционных систем промышленных зданий и АБК – 8 898т.тг; ТО сплит систем (45ед.) </t>
  </si>
  <si>
    <t xml:space="preserve">ТО насосных установок (водообеспечение и канализация) ст.Промышленная </t>
  </si>
  <si>
    <t xml:space="preserve">На поддержание, обслуживание и ремонтные работы зданий и сооружений </t>
  </si>
  <si>
    <t xml:space="preserve">Объемы на коммунальные услуги – с проекта ТОО «ГСС», </t>
  </si>
  <si>
    <t>Налоговый кодекс, глава 4, статья 19</t>
  </si>
  <si>
    <t xml:space="preserve">Закон РК «Об обязательном страховании работников от несчастных случаев», статья 17; </t>
  </si>
  <si>
    <t>Трудовой кодекс РК, статья 182; «Правила и сроки проведения обучения, инструктирования и проверок знаний по вопросам безопасности и охраны труда работников» №1019 от 25.12.2015г.</t>
  </si>
  <si>
    <t>Приказ №1057 от 28.12.15г. «Об утверждении Правил Обязательной периодической аттестации производственных объектов по условиям труда»</t>
  </si>
  <si>
    <t>По станции Промышленная установлены 36 пожарных кранов</t>
  </si>
  <si>
    <t xml:space="preserve">Бланочная продукция: журналы, книги, корешки, акты, ведомости, уведомления, справки, графики по производственным участкам: </t>
  </si>
  <si>
    <t xml:space="preserve">Трудовой кодекс РК, статья 182; Нормы выдачи молока и мыла №1056 от 28.12.15г.  </t>
  </si>
  <si>
    <t xml:space="preserve">Ст.Промышленная граничит с местом Приема сточных вод – Пруд испаритель в связи с чем предусмотрены: Услуги дератизации против крыс и мышей в помещении и вокруг ст.Промышленная (барьерная) – </t>
  </si>
  <si>
    <t>Положение о командировках работников ТОО «РТИ-АНПЗ»</t>
  </si>
  <si>
    <t>Налоговый кодекс, глава 57, статья 398</t>
  </si>
  <si>
    <t>Налоговый кодекс, глава 4, статья 19.</t>
  </si>
  <si>
    <t xml:space="preserve">Трудовой кодекс РК, статья 182; «Правила и сроки проведения обучения, инструктирования и проверок знаний по вопросам безопасности и охраны труда работников»  №1019 от 25.12.2015г. </t>
  </si>
  <si>
    <t xml:space="preserve">Расчет затрат путем нормирования канцелярских изделий на каждого работника. </t>
  </si>
  <si>
    <t xml:space="preserve">Объявление в газету (опубликование информации  об утверждении тарифов, объявления о проведении ежегодных Слушаний перед Потребителями).  </t>
  </si>
  <si>
    <t xml:space="preserve">«Норме расходов материалов и запасных частей на оргтехнику, </t>
  </si>
  <si>
    <t>«Нормативный список текущего и постоянного аварийно-восстановительного запаса электроматериалов по станции Промышленная».</t>
  </si>
  <si>
    <t>«Нормы расхода материалов и запасных частей на техническое обслуживание и текущий ремонт автотранспорта ст.Промышленная»</t>
  </si>
  <si>
    <t xml:space="preserve">«Норме расходов материалов и запасных частей на оргтехнику" </t>
  </si>
  <si>
    <t xml:space="preserve">«Типовые нормы бесплатной выдачи сертифицированной специальной одежды, специальной обуви и средств индивидуальной защиты работникам железнодорожного транспорта Республики Казахстан, занятым на работах с вредными и (или) опасными условиями труда, а также на работах, выполняемых в особых температурных условиях или связанных с загрязнением»,  </t>
  </si>
  <si>
    <t>Бланочная продукция: журналы, книги, корешки, акты, ведомости, уведомления, справки, графики по производственным участкам:</t>
  </si>
  <si>
    <t xml:space="preserve">"Нормами расходов горюче-смазочных материалов и расходов на содержание автотранспорта", утв. Постановлением Правительства РК от 11.08.2009 года № 1210. </t>
  </si>
  <si>
    <t xml:space="preserve">Расчетная и установленная мощность по ст. Промышленная, планируемое потребление электроэнергии – на основании технических показателей КИТНГ </t>
  </si>
  <si>
    <t>Закон Республики Казахстан от 16 ноября 2015 года № 405-V ЗРК</t>
  </si>
  <si>
    <t>Нормы на услуги связи по ТОО "РТИ-АНПЗ"</t>
  </si>
  <si>
    <t>Положение о командировках работников ТОО «РТИ-АНПЗ».</t>
  </si>
  <si>
    <t>Налоговый кодекс, глава 54, статья 381</t>
  </si>
  <si>
    <t>Налоговый кодекс, глава 75, статья 514</t>
  </si>
  <si>
    <t xml:space="preserve">Ст.Промышленная является стратегическим объектом и оборудована: Установкой системы контроля доступа PERCo </t>
  </si>
  <si>
    <t>Взрывоопасный объект</t>
  </si>
  <si>
    <t>«Классификатор опасных отходов» №169 от 31.05.07г., утвержденный Министерством охраны окружающей среды РК.</t>
  </si>
  <si>
    <t xml:space="preserve">Нормирования расходов по количеству рабочих мест, зданий и производственных участков </t>
  </si>
  <si>
    <t>Приказ №1057 от 28.12.15г.</t>
  </si>
  <si>
    <t>Приказ от 26 июня 2013 года № 365, 368, 380</t>
  </si>
  <si>
    <t>Приказ РК №128 от 24.02.2015г.</t>
  </si>
  <si>
    <t>ФОТ</t>
  </si>
  <si>
    <t>Материалы-Ремонт+Прочие</t>
  </si>
  <si>
    <t>Протяженность пути</t>
  </si>
  <si>
    <t>СЕМ</t>
  </si>
  <si>
    <t>Реальный</t>
  </si>
  <si>
    <t>Отстаточная стоимость ОС</t>
  </si>
  <si>
    <t>Материальные затраты, всего</t>
  </si>
  <si>
    <t>Затраты на оплату труда, всего</t>
  </si>
  <si>
    <t>Расходы периода*, всего</t>
  </si>
  <si>
    <t xml:space="preserve">РЕАЛЬНЫЙ </t>
  </si>
  <si>
    <t>ДУП-12,56%</t>
  </si>
  <si>
    <t>4 премии</t>
  </si>
  <si>
    <t>2 премии</t>
  </si>
  <si>
    <t>без премии</t>
  </si>
  <si>
    <t>Сводная тарифная смета 1, 2 услуга</t>
  </si>
  <si>
    <t>Проект тарифной сметы - СЕМ</t>
  </si>
  <si>
    <t>Проект тарифной сметы - ДКРЕМ</t>
  </si>
  <si>
    <t>ДУП - 12,56%</t>
  </si>
  <si>
    <r>
      <t xml:space="preserve">Тарифная смета - УТВЕРЖДЕНО ДКРЕМ 17.07.17г.
</t>
    </r>
    <r>
      <rPr>
        <b/>
        <sz val="16"/>
        <color rgb="FFFF0000"/>
        <rFont val="Times New Roman"/>
        <family val="1"/>
        <charset val="204"/>
      </rPr>
      <t xml:space="preserve"> (годовой показатель)</t>
    </r>
  </si>
  <si>
    <t>Исполнение тарифной сметы на услуги подъездных путей ТОО "РТИ-АНПЗ"</t>
  </si>
  <si>
    <r>
      <t xml:space="preserve">Тарифная смета - УТВЕРЖДЕНО ДКРЕМ 17.07.17г.
</t>
    </r>
    <r>
      <rPr>
        <b/>
        <sz val="16"/>
        <color rgb="FFFF0000"/>
        <rFont val="Times New Roman"/>
        <family val="1"/>
        <charset val="204"/>
      </rPr>
      <t xml:space="preserve"> (месячный показатель)</t>
    </r>
  </si>
  <si>
    <t>Факт август</t>
  </si>
  <si>
    <t>Факт сентябрь</t>
  </si>
  <si>
    <t>Факт октябрь</t>
  </si>
  <si>
    <t>Факт ноябрь</t>
  </si>
  <si>
    <t>Всего</t>
  </si>
  <si>
    <t>1 услуга</t>
  </si>
  <si>
    <t>2 услуга</t>
  </si>
  <si>
    <t>3 услуга</t>
  </si>
  <si>
    <t>4 услуга</t>
  </si>
  <si>
    <t>Услуги подъездных путей</t>
  </si>
  <si>
    <t>Нотариальные услуги</t>
  </si>
  <si>
    <t>Аренда квартиры</t>
  </si>
  <si>
    <t>№</t>
  </si>
  <si>
    <t>Наименование</t>
  </si>
  <si>
    <t xml:space="preserve">Отклонение </t>
  </si>
  <si>
    <t>Примечания по отклонениям</t>
  </si>
  <si>
    <t>Доходы</t>
  </si>
  <si>
    <t>Услуга по предоставлению подъездного пути для проезда подвижного состава</t>
  </si>
  <si>
    <t>Услуга по предоставлению подъездного пути для маневровых работ, погрузки-выгрузки и других технологических операций перевозочного процесса, для стоянки подвижного состава</t>
  </si>
  <si>
    <t>В бюджете предусмотрено время нахождения вагонов на подъездных путях ТОО "РТИ-АНПЗ" по 9:46 час, оперативный факт рассчитан методом начисления по 5 часов.</t>
  </si>
  <si>
    <t>Услуга по подаче-уборке вагонов к фронтам погрузки и выгрузки</t>
  </si>
  <si>
    <t>За счет  разницы в тарифе:  в плане предусмотрено 6 272 тенге, факт утверждено  2 152 тенге.  Доходы рассчитаны методом начисления, после полной сверки и согласования с ветвепользователями доходы будут откорректированы по факту.</t>
  </si>
  <si>
    <t>Услуга ТОР</t>
  </si>
  <si>
    <t>Услуга предоставляется с 7 декабря: при плане 186 вагонов, фактически отремонтированы 12 вагонов. В стоимость услуг включены стоимость зап.частей и материалов использованных при ремонте.</t>
  </si>
  <si>
    <t>Услуга предоставляется с 7 декабря:  фактически отремонтировано  80 вагонов. В стоимость услуг включены стоимость зап.частей  использованных при ремонте. Данная услуга не планировалось 2017 году, в конце года  принято решение услугу ТОР разделить на две услуги : ТОР (текущий отцепочный) и безотцепочный ремонт.</t>
  </si>
  <si>
    <t xml:space="preserve">Себестоимость </t>
  </si>
  <si>
    <t>В настоящее время ведется перераспределение ОС между производственными и административными, после суммы будут откорректированы</t>
  </si>
  <si>
    <t>Административные расходы</t>
  </si>
  <si>
    <t>Безотцепочный ремонт</t>
  </si>
  <si>
    <t>Амортизация и износ</t>
  </si>
  <si>
    <t>Заработная плата персонала</t>
  </si>
  <si>
    <t>Командировочные расходы</t>
  </si>
  <si>
    <t>Коммунальные расходы</t>
  </si>
  <si>
    <t>из них: Аренда административных помещений и ОС</t>
  </si>
  <si>
    <t>Материалы (ЭЧ, СЦБ и связи, ПЧ, ВЧ, ЛЧ, электроматериалы, запчасти автотранспорта, оргтехника, СИЗ, бланки)</t>
  </si>
  <si>
    <t>Топливо (ДТ, бензин, масла и смазки)</t>
  </si>
  <si>
    <t xml:space="preserve">Электроэнергия </t>
  </si>
  <si>
    <t>Амортизация ОС и НА</t>
  </si>
  <si>
    <t>Услуги связи</t>
  </si>
  <si>
    <t>Налоги (земля, имущество, транспорт, эмиссия, радиочастоты)</t>
  </si>
  <si>
    <t>Услуги сторонних организаций  (тех.документация, ТО автотехники, пути и СП, СЦБ, УЗОТ, энергообъектов, турникета, поверка, ВОХР, видео и пожарной сигнализации, вентиляции, газопровода, насосов, медосмотр, аренда ОС)</t>
  </si>
  <si>
    <t>Страхование (ОГПВО, работников, экология)</t>
  </si>
  <si>
    <t>Подготовка кадров</t>
  </si>
  <si>
    <t>Другие затраты  (обучение ОТиТБ, аттестация рабочих мест, зарядка огнетушителей и картриджей, СТО, опасные отходы, канцтовары, медизделия, вода, хозтовары, СЭС)</t>
  </si>
  <si>
    <t>Заработная плата административного персонала</t>
  </si>
  <si>
    <t>Услуги сторонних организаций  (аудит, информационные услуги, банк, связь)</t>
  </si>
  <si>
    <t>Налоги  (эмиссия, транспорт)</t>
  </si>
  <si>
    <t>Страхование   (ОГПВО, работников)</t>
  </si>
  <si>
    <t>Другие расходы  (нотариус, обучение ОТиТБ, спецодежда, 1С, бланки, канцтовары, хозтовары, объявления, картридж, медосмотр, содержание автотранспорта)</t>
  </si>
  <si>
    <t>% отклонения</t>
  </si>
  <si>
    <t>За счет  разницы в тарифе:  в плане предусмотрено 1 794 тенге, фактически утверждено ДКРЕМ - 2 978 тенге.  Доходы рассчитаны методом начисления, после полной сверки и согласования с ветвепользователями доходы будут откорректированы по факту.</t>
  </si>
  <si>
    <t>Затраты ниже запланированных, т.к. персонал по производственным участкам принимался поэтапно</t>
  </si>
  <si>
    <t>Не заключен договор на  техническое  обслуживание линии ВОЛС на участке Тендык-Промышленная, а также имеется экономия по междугородним переговорам</t>
  </si>
  <si>
    <t>Нет договора на подготовку / повышение квалификации работников</t>
  </si>
  <si>
    <t>В бюджете запланировано ежемесячные расходы, по факту сложилось меньше</t>
  </si>
  <si>
    <t>Перерасход составил за счет налога на землю и имущество</t>
  </si>
  <si>
    <t>Затраты запланированы согласно проекта, но фактические расходы сложились ниже проектных объемов</t>
  </si>
  <si>
    <t>Переосвоение за счет расходов по оформлению пересылочных документов при доставке тепловозов и по аренде транспорта за доставку дизельного топливо для заправки тепловоза</t>
  </si>
  <si>
    <t>Отклонение связано с поэтапным приемом работников</t>
  </si>
  <si>
    <t>Затраты ниже запланированных, т.к. персонал принимался поэтапно, по мере необходимости</t>
  </si>
  <si>
    <t>Перерасход за счет фактических расходов по рекламным услугам; юридической консультации по Претензии; телемастер -открытие ТОО "РТИ-АНПЗ"</t>
  </si>
  <si>
    <t>Фактические расходы по выезду в служебные командировки руководителей и специалистов</t>
  </si>
  <si>
    <t>Выплата с января 2018 года</t>
  </si>
  <si>
    <t>Ведется перераспределение ОС между производственными и административными, после суммы будут откорректированы</t>
  </si>
  <si>
    <t>Не освоены  расходы по СЦБи связи, путевому, вагонному хозяйству и запасным частям  автотранспорта в связи с незаключением договоров на приобретение материалов</t>
  </si>
  <si>
    <t>Не освоены  расходы по обслуживанию автотехники; пути и стрелочных переводов; УЗОТ; СЦБ; видео и пожарной сигнализации; вентиляции; насосов и компрессоров; поверки шаблонов  в связи с незаключением договоров на техническое обслуживание устройств и оборудования</t>
  </si>
  <si>
    <t>Не освоены расходы по обучению ОТиТБ; техническому обслуживанию зданий и сооружений; огнетушителей; опасные отходы; спецмолоко и мыло; медизделия; хозтовары в связи с отсутствием договоров на оказание услуг</t>
  </si>
  <si>
    <t>Перерасход за счет налогов по Претензии</t>
  </si>
  <si>
    <t>Не освоены расходы по нотариальным услугам; спецодежде; периодической печати; аттестации рабочих мест; медосмотру; хозтовары в связи с отсутствием договоров на оказание услуг</t>
  </si>
  <si>
    <t>В бюджете на автотранспорт и технику запланировано по нормативу, по факту израсходовано меньше т.к. в течении месяца (август-сентябрь) АНПЗ был на ремонте</t>
  </si>
  <si>
    <t>1 услуга - Проезд</t>
  </si>
  <si>
    <t>2 услуга - Стоянка</t>
  </si>
  <si>
    <t>Пояснительная к исполнению тарифной сметы ТОО "РТИ-АНПЗ" - 3 услуга</t>
  </si>
  <si>
    <t>Пояснительная к исполнению тарифной сметы ТОО "РТИ-АНПЗ" - 4 услуга</t>
  </si>
  <si>
    <r>
      <t xml:space="preserve">Тарифная смета - УТВЕРЖДЕНО ДКРЕМ 17.07.17г.
</t>
    </r>
    <r>
      <rPr>
        <b/>
        <sz val="16"/>
        <color rgb="FFFF0000"/>
        <rFont val="Times New Roman"/>
        <family val="1"/>
        <charset val="204"/>
      </rPr>
      <t xml:space="preserve"> (показатель за 5 месяцев)</t>
    </r>
  </si>
  <si>
    <r>
      <t xml:space="preserve">Факт за 5 месяцев 2017г. </t>
    </r>
    <r>
      <rPr>
        <b/>
        <sz val="16"/>
        <color rgb="FFFF0000"/>
        <rFont val="Times New Roman"/>
        <family val="1"/>
        <charset val="204"/>
      </rPr>
      <t>(август - декабрь)</t>
    </r>
  </si>
  <si>
    <r>
      <t xml:space="preserve">% исполнения тарифной сметы   </t>
    </r>
    <r>
      <rPr>
        <b/>
        <sz val="16"/>
        <color rgb="FFFF0000"/>
        <rFont val="Times New Roman"/>
        <family val="1"/>
        <charset val="204"/>
      </rPr>
      <t>(август - декабрь)</t>
    </r>
  </si>
  <si>
    <t>Факт декабрь</t>
  </si>
  <si>
    <t>5 услуга - БР</t>
  </si>
  <si>
    <t>5 месяцев 2017 года (август - декабрь)</t>
  </si>
  <si>
    <t>Сделано перераспределение ОС между производственными и административными, суммы откорректированы</t>
  </si>
  <si>
    <t>Не освоены  расходы по СЦБи связи, электроматериалы, путевому хозяйству и запасным частям  автотранспорта в связи с незаключением договоров на приобретение материалов</t>
  </si>
  <si>
    <t>Фактические расходы за налог на землю и имущество</t>
  </si>
  <si>
    <t>Не освоены расходы по нотариальным услугам; спецодежде; бланочной продукции, периодической печати; медосмотру; хозтовары в связи с отсутствием договоров на оказание услуг</t>
  </si>
  <si>
    <t xml:space="preserve">  электроэнергия </t>
  </si>
  <si>
    <r>
      <t xml:space="preserve">% исполнения тарифной сметы   </t>
    </r>
    <r>
      <rPr>
        <b/>
        <sz val="16"/>
        <color rgb="FFFF0000"/>
        <rFont val="Times New Roman"/>
        <family val="1"/>
        <charset val="204"/>
      </rPr>
      <t>(год - 5 месяцев)</t>
    </r>
  </si>
  <si>
    <t>План КРЕМ - год</t>
  </si>
  <si>
    <t>Факт - 5 мес. (авг-дек)</t>
  </si>
  <si>
    <t>Не заключены договора на  техническое  обслуживание СЦБ, УЗОТ, видеонаблюдения, насосов и т.д.</t>
  </si>
  <si>
    <t>Неосвоение за счет расходов по аренде тепловоза, в связи с вводом в эксплуатацию с 5 августа 2017 года.</t>
  </si>
  <si>
    <t>Носвоение за счет не заключения договра по аудиту, информационным услугам</t>
  </si>
  <si>
    <t>Сделано перераспределение между производственными и административными, суммы откорректированы</t>
  </si>
  <si>
    <t>Пояснительная к исполнению тарифной сметы ТОО "РТИ-АНПЗ" за 2017 год.</t>
  </si>
  <si>
    <t xml:space="preserve">Обязательное страхование гражданско-правовой ответственности владельцев транспортных средств </t>
  </si>
  <si>
    <r>
      <t xml:space="preserve">Добровольное страхование гражданско-правовой ответственности владельцев транспортных средств </t>
    </r>
    <r>
      <rPr>
        <i/>
        <sz val="14"/>
        <color rgb="FFFF0000"/>
        <rFont val="Times New Roman"/>
        <family val="1"/>
        <charset val="204"/>
      </rPr>
      <t>(имущество)</t>
    </r>
  </si>
  <si>
    <t>Невошло в исполнение ТС</t>
  </si>
  <si>
    <t>из них:</t>
  </si>
  <si>
    <t>Расходы по сходу вагонов - услуги ТОР</t>
  </si>
  <si>
    <t>Юридическая консультация Кинстэйллар</t>
  </si>
  <si>
    <t>Госпошлина по Претензии к АНПЗ</t>
  </si>
  <si>
    <t>Рекламные услуги</t>
  </si>
  <si>
    <t>Штрафы и пени</t>
  </si>
  <si>
    <t>Телемастер, рекламные услуги</t>
  </si>
  <si>
    <t>Прочие доходы и расходы</t>
  </si>
  <si>
    <t>Финансовые доходы и расходы</t>
  </si>
  <si>
    <t>Отработать  и расшифровать</t>
  </si>
  <si>
    <t>Проект тарифной сметы - поданная в ДКРЕМ 16.06.17г.</t>
  </si>
  <si>
    <t>Тарифная смета - УТВЕРЖДЕНО ДКРЕМ 17.07.17г.</t>
  </si>
  <si>
    <t>Сводная тарифная смета 1, 2 услуги</t>
  </si>
  <si>
    <t xml:space="preserve">материалы на текущее содержание пути </t>
  </si>
  <si>
    <t>специальная одежда и СИЗ</t>
  </si>
  <si>
    <t>Услуги по содержанию пути и стрелочных переводов</t>
  </si>
  <si>
    <t>Услуги по получению информации о местонахождении вагонов</t>
  </si>
  <si>
    <t>Обязательное страхование ГПО владельцев транспортных средств</t>
  </si>
  <si>
    <t>Добровольное страхование ГПО владельцев транспортных средств</t>
  </si>
  <si>
    <t>Обучение по промышленной безопасности и ОТ</t>
  </si>
  <si>
    <t>Сопровождение программного продукта 1С</t>
  </si>
  <si>
    <t>Тарифная смета на услуги подъездных путей ТОО "РТИ-АНПЗ"</t>
  </si>
  <si>
    <t xml:space="preserve">Пропорции ТС, поданной в ДКРЕМ на упрощенный тариф </t>
  </si>
  <si>
    <r>
      <t>Тарифная смета - УТВЕРЖДЕНО ДКРЕМ 17.07.17г.</t>
    </r>
    <r>
      <rPr>
        <b/>
        <sz val="16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>(ПЛАН-ГОД)</t>
    </r>
  </si>
  <si>
    <t>ФАКТ за АВГУСТ 2017г.</t>
  </si>
  <si>
    <t>ФАКТ за СЕНТЯБРЬ 2017г.</t>
  </si>
  <si>
    <t>ФАКТ за ОКТЯБРЬ 2017г.</t>
  </si>
  <si>
    <t>ФАКТ за НОЯБРЬ 2017г.</t>
  </si>
  <si>
    <t>ФАКТ за ДЕКАБРЬ 2017г.</t>
  </si>
  <si>
    <t>ФАКТ за ЯНВАРЬ 2018г.</t>
  </si>
  <si>
    <t>ФАКТ за ФЕВРАЛЬ 2018г.</t>
  </si>
  <si>
    <t>ФАКТ за МАРТ 2018г.</t>
  </si>
  <si>
    <t>ФАКТ за АПРЕЛЬ 2018г.</t>
  </si>
  <si>
    <t>ФАКТ за МАЙ 2018г.</t>
  </si>
  <si>
    <t>ФАКТ за ИЮНЬ 2018г.</t>
  </si>
  <si>
    <t>ФАКТ за ИЮЛЬ 2018г.</t>
  </si>
  <si>
    <t>синий цвет - поставить данные с бух. (управл.) отчета</t>
  </si>
  <si>
    <t>Материалы</t>
  </si>
  <si>
    <t>по задействованности</t>
  </si>
  <si>
    <t>Материалы хозяйства энергоснабжения</t>
  </si>
  <si>
    <t>1усл.</t>
  </si>
  <si>
    <t>2усл.</t>
  </si>
  <si>
    <t>3усл.</t>
  </si>
  <si>
    <t>4усл.</t>
  </si>
  <si>
    <t>5усл.</t>
  </si>
  <si>
    <t xml:space="preserve">Материалы СЦБ и связи </t>
  </si>
  <si>
    <t>По задействованности</t>
  </si>
  <si>
    <t>Материалы на текущее содержание пути</t>
  </si>
  <si>
    <t xml:space="preserve">Материалы вагонного хозяйства </t>
  </si>
  <si>
    <t>Материалы локомотивного хозяйства</t>
  </si>
  <si>
    <t>Электроматериалы</t>
  </si>
  <si>
    <t>Запасные части на автотранспорт</t>
  </si>
  <si>
    <t>Запасные части на оргтехнику</t>
  </si>
  <si>
    <t>Специальная одежда и СИЗ</t>
  </si>
  <si>
    <t>Материалы для снегоборьбы</t>
  </si>
  <si>
    <t>Топливо</t>
  </si>
  <si>
    <t>Дизельное топливо и бензин</t>
  </si>
  <si>
    <t>Масла и смазки</t>
  </si>
  <si>
    <t>Заработная плата</t>
  </si>
  <si>
    <t>Социальный налог</t>
  </si>
  <si>
    <t>Обязательные профессиональные пенсионные взносы (ОППВ)</t>
  </si>
  <si>
    <t>Обязательное социальное медстрахование</t>
  </si>
  <si>
    <t>Налоги</t>
  </si>
  <si>
    <t>Пропорции остат.стоимости активов</t>
  </si>
  <si>
    <t>КИТНГ</t>
  </si>
  <si>
    <t>Услуги сторонних организаций</t>
  </si>
  <si>
    <t>Техническое обслуживание автотехники, кранов, путевых машин и механизмов</t>
  </si>
  <si>
    <t>РАН</t>
  </si>
  <si>
    <t>Декларации</t>
  </si>
  <si>
    <t xml:space="preserve">Коммунальные услуги </t>
  </si>
  <si>
    <t>Добровольное страхование гражданско-правовой ответственности владельцев транспортных средств (имущество)</t>
  </si>
  <si>
    <t>Другие затраты</t>
  </si>
  <si>
    <t>Обучение промышленной безопасности и ОТ</t>
  </si>
  <si>
    <t>Изделия медицинского назначения</t>
  </si>
  <si>
    <t>Обязательное медицинское страхование</t>
  </si>
  <si>
    <t>Аудиторские, консалтинговые и информационные услуги</t>
  </si>
  <si>
    <t>Услуги банка</t>
  </si>
  <si>
    <t>Коммунальные услуги</t>
  </si>
  <si>
    <t>Другие расходы</t>
  </si>
  <si>
    <t>КПН год</t>
  </si>
  <si>
    <t>Генеральный директор                                           А.Ергалиев</t>
  </si>
  <si>
    <t>Исполнение тарифной сметы ТОО "РТИ-АНПЗ" по предоставлению подъездного пути для проезда подвижного состава при условии отсутствия конкурентного подъездного пути за 2017 год</t>
  </si>
  <si>
    <t>Исполнение тарифной сметы ТОО "РТИ-АНПЗ" по предоставлению подъездных путей для маневровых работ, погрузки-выгрузки и других технологических операций перевозочного процесса, для стоянки подвижного состава, непредусмотренной технологическими операциями перевозочного процесса при условии отсутствия конкурентного подъездного пути за 2017 год</t>
  </si>
  <si>
    <t>Генеральный директор</t>
  </si>
  <si>
    <t>Финансовый директор</t>
  </si>
  <si>
    <t>Ергалиев А.Т.</t>
  </si>
  <si>
    <t>Мухтарова Д.А.</t>
  </si>
  <si>
    <t>% исполнения</t>
  </si>
  <si>
    <t>Услуги сторонних организаций  (тех.документация, ТО автотехники, пути и СП, СЦБ, энергообъектов, турникета, поверка, ВОХР, видео и пожарной сигнализации, вентиляции, газопровода, насосов, медосмотр)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</si>
</sst>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9">
    <numFmt numFmtId="164" formatCode="_-* #,##0.00_р_._-;\-* #,##0.00_р_._-;_-* &quot;-&quot;??_р_._-;_-@_-"/>
    <numFmt numFmtId="165" formatCode="_-* #,##0\ _р_._-;\-* #,##0\ _р_._-;_-* &quot;-&quot;\ _р_._-;_-@_-"/>
    <numFmt numFmtId="166" formatCode="_-* #,##0.00\ _р_._-;\-* #,##0.00\ _р_._-;_-* &quot;-&quot;??\ _р_._-;_-@_-"/>
    <numFmt numFmtId="167" formatCode="0.0%"/>
    <numFmt numFmtId="168" formatCode="#,##0.0"/>
    <numFmt numFmtId="169" formatCode="[$-419]d\ mmm/\ yyyy;@"/>
    <numFmt numFmtId="170" formatCode="_(* #,##0.00_);_(* \(#,##0.00\);_(* &quot;-&quot;??_);_(@_)"/>
    <numFmt numFmtId="171" formatCode="0.0_)"/>
    <numFmt numFmtId="172" formatCode="&quot;error&quot;;&quot;error&quot;;&quot;OK&quot;;&quot;  &quot;@"/>
    <numFmt numFmtId="173" formatCode="dd\ mmm\ yyyy_);;;&quot;  &quot;@"/>
    <numFmt numFmtId="174" formatCode="m/d/yy\ h:mm"/>
    <numFmt numFmtId="175" formatCode="#,##0_);\(#,##0\);&quot;- &quot;;&quot;  &quot;@"/>
    <numFmt numFmtId="176" formatCode="General_)"/>
    <numFmt numFmtId="177" formatCode="_([$€-2]* #,##0.00_);_([$€-2]* \(#,##0.00\);_([$€-2]* &quot;-&quot;??_)"/>
    <numFmt numFmtId="178" formatCode="#,##0.0000_);\(#,##0.0000\);&quot;- &quot;;&quot;  &quot;@"/>
    <numFmt numFmtId="179" formatCode="#,##0.0;\(#,##0.0\)"/>
    <numFmt numFmtId="180" formatCode="_-* #,##0.00\ _€_-;\-* #,##0.00\ _€_-;_-* &quot;-&quot;??\ _€_-;_-@_-"/>
    <numFmt numFmtId="181" formatCode="_-* #,##0\ &quot;€&quot;_-;\-* #,##0\ &quot;€&quot;_-;_-* &quot;-&quot;\ &quot;€&quot;_-;_-@_-"/>
    <numFmt numFmtId="182" formatCode="_ * #,##0_ ;_ * \-#,##0_ ;_ * &quot;-&quot;??_ ;_ @_ "/>
    <numFmt numFmtId="183" formatCode="\g\ \=\ 0.0%;\g\ \=\ \-0.0%"/>
    <numFmt numFmtId="184" formatCode="mmm\ dd\,\ yyyy"/>
    <numFmt numFmtId="185" formatCode="mmm\-yyyy"/>
    <numFmt numFmtId="186" formatCode="yyyy"/>
    <numFmt numFmtId="187" formatCode="&quot;$&quot;#,##0.00_);[Red]\(&quot;$&quot;#,##0.00\)"/>
    <numFmt numFmtId="188" formatCode="0.0\x\ "/>
    <numFmt numFmtId="189" formatCode="#,##0;\(#,##0\)"/>
    <numFmt numFmtId="190" formatCode="0.0000"/>
    <numFmt numFmtId="191" formatCode="_(&quot;$&quot;* #,##0_);_(&quot;$&quot;* \(#,##0\);_(&quot;$&quot;* &quot;-&quot;_);_(@_)"/>
    <numFmt numFmtId="192" formatCode="_(&quot;$&quot;* #,##0.00_);_(&quot;$&quot;* \(#,##0.00\);_(&quot;$&quot;* &quot;-&quot;??_);_(@_)"/>
    <numFmt numFmtId="193" formatCode="&quot;$&quot;#,##0_);[Red]\(&quot;$&quot;#,##0\)"/>
    <numFmt numFmtId="194" formatCode=";;&quot;zero&quot;;&quot;  &quot;@"/>
    <numFmt numFmtId="195" formatCode="#,##0.000"/>
    <numFmt numFmtId="196" formatCode="_-* #,##0_р_._-;\-* #,##0_р_._-;_-* &quot;-&quot;??_р_._-;_-@_-"/>
    <numFmt numFmtId="197" formatCode="0.00000%"/>
    <numFmt numFmtId="198" formatCode="0.0000000000%"/>
    <numFmt numFmtId="199" formatCode="0.00000"/>
    <numFmt numFmtId="200" formatCode="#,##0.000000"/>
    <numFmt numFmtId="201" formatCode="#,##0.0000000000000"/>
    <numFmt numFmtId="202" formatCode="0.00000000"/>
    <numFmt numFmtId="203" formatCode="0.000000000000000"/>
    <numFmt numFmtId="204" formatCode="#,##0.0000"/>
    <numFmt numFmtId="205" formatCode="#,##0.00000"/>
    <numFmt numFmtId="206" formatCode="#,##0.000000000"/>
    <numFmt numFmtId="207" formatCode="#,##0.00000000000"/>
    <numFmt numFmtId="208" formatCode="#,##0.0000000"/>
    <numFmt numFmtId="209" formatCode="#,##0.00000000"/>
    <numFmt numFmtId="210" formatCode="0.000%"/>
    <numFmt numFmtId="211" formatCode="0.000E+00"/>
    <numFmt numFmtId="212" formatCode="0.0"/>
  </numFmts>
  <fonts count="11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name val="Arial Cyr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10"/>
      <name val="Helv"/>
    </font>
    <font>
      <sz val="10"/>
      <name val="Helv"/>
      <charset val="204"/>
    </font>
    <font>
      <b/>
      <sz val="8"/>
      <color indexed="10"/>
      <name val="NTTimes/Cyrillic"/>
      <charset val="204"/>
    </font>
    <font>
      <sz val="8"/>
      <color indexed="10"/>
      <name val="Arial Cyr"/>
      <family val="2"/>
      <charset val="204"/>
    </font>
    <font>
      <b/>
      <sz val="8"/>
      <color indexed="10"/>
      <name val="Arial Cyr"/>
      <family val="2"/>
      <charset val="204"/>
    </font>
    <font>
      <sz val="10"/>
      <name val="Courier New"/>
      <family val="3"/>
      <charset val="204"/>
    </font>
    <font>
      <sz val="10"/>
      <name val="Arial"/>
      <family val="2"/>
    </font>
    <font>
      <b/>
      <sz val="8"/>
      <color indexed="12"/>
      <name val="NTTimes/Cyrillic"/>
      <charset val="204"/>
    </font>
    <font>
      <sz val="10"/>
      <name val="MS Sans Serif"/>
      <family val="2"/>
      <charset val="204"/>
    </font>
    <font>
      <sz val="10"/>
      <color indexed="22"/>
      <name val="Arial"/>
      <family val="2"/>
      <charset val="204"/>
    </font>
    <font>
      <sz val="9"/>
      <name val="Arial Narrow"/>
      <family val="2"/>
      <charset val="204"/>
    </font>
    <font>
      <b/>
      <sz val="10"/>
      <name val="Arial"/>
      <family val="2"/>
    </font>
    <font>
      <i/>
      <sz val="10"/>
      <name val="Arial"/>
      <family val="2"/>
      <charset val="204"/>
    </font>
    <font>
      <sz val="10"/>
      <name val="Times New Roman CE"/>
    </font>
    <font>
      <sz val="9"/>
      <color indexed="17"/>
      <name val="Palatino"/>
      <family val="1"/>
    </font>
    <font>
      <sz val="10"/>
      <color indexed="12"/>
      <name val="Arial"/>
      <family val="2"/>
    </font>
    <font>
      <b/>
      <sz val="12"/>
      <name val="Arial"/>
      <family val="2"/>
    </font>
    <font>
      <sz val="8"/>
      <name val="Times New Roman"/>
      <family val="1"/>
      <charset val="204"/>
    </font>
    <font>
      <sz val="10"/>
      <name val="Arial Cyr"/>
    </font>
    <font>
      <sz val="10"/>
      <name val="Arial CE"/>
      <charset val="238"/>
    </font>
    <font>
      <sz val="8"/>
      <name val="Arial CE"/>
    </font>
    <font>
      <sz val="10"/>
      <color indexed="12"/>
      <name val="Arial"/>
      <family val="2"/>
      <charset val="204"/>
    </font>
    <font>
      <b/>
      <sz val="8"/>
      <name val="NTTimes/Cyrillic"/>
      <charset val="204"/>
    </font>
    <font>
      <i/>
      <sz val="8"/>
      <name val="Helvetica"/>
      <family val="2"/>
    </font>
    <font>
      <sz val="8"/>
      <color indexed="10"/>
      <name val="Helvetica"/>
      <family val="2"/>
    </font>
    <font>
      <sz val="8"/>
      <name val="Helvetica"/>
      <family val="2"/>
    </font>
    <font>
      <sz val="8"/>
      <color indexed="17"/>
      <name val="Helvetica"/>
      <family val="2"/>
    </font>
    <font>
      <b/>
      <sz val="10"/>
      <name val="Palatino"/>
      <family val="1"/>
    </font>
    <font>
      <b/>
      <sz val="9"/>
      <name val="Helvetica"/>
      <family val="2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name val="Courier"/>
      <family val="1"/>
      <charset val="204"/>
    </font>
    <font>
      <sz val="8"/>
      <name val="NTTimes/Cyrillic"/>
      <charset val="204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8"/>
      <color indexed="12"/>
      <name val="NTTimes/Cyrillic"/>
      <charset val="204"/>
    </font>
    <font>
      <b/>
      <sz val="8"/>
      <color indexed="17"/>
      <name val="NTTimes/Cyrillic"/>
      <charset val="204"/>
    </font>
    <font>
      <sz val="10"/>
      <name val="NTTimes/Cyrillic"/>
      <charset val="204"/>
    </font>
    <font>
      <sz val="12"/>
      <name val="Arial MT"/>
      <family val="2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6"/>
      <color rgb="FF0070C0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name val="Arial"/>
      <family val="2"/>
      <charset val="204"/>
    </font>
    <font>
      <sz val="10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indexed="8"/>
      <name val="Calibri"/>
      <family val="2"/>
    </font>
    <font>
      <sz val="12"/>
      <name val="Arial"/>
      <family val="2"/>
      <charset val="204"/>
    </font>
    <font>
      <b/>
      <sz val="14"/>
      <color theme="1"/>
      <name val="Arial"/>
      <family val="2"/>
      <charset val="204"/>
    </font>
    <font>
      <i/>
      <sz val="9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sz val="18"/>
      <color rgb="FF0070C0"/>
      <name val="Times New Roman"/>
      <family val="1"/>
      <charset val="204"/>
    </font>
    <font>
      <sz val="16"/>
      <color rgb="FF0070C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9"/>
      <color indexed="10"/>
      <name val="Arial"/>
      <family val="2"/>
    </font>
    <font>
      <b/>
      <i/>
      <sz val="14"/>
      <name val="Times New Roman"/>
      <family val="1"/>
      <charset val="204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sz val="10"/>
      <color indexed="81"/>
      <name val="Tahoma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32667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17" fillId="4" borderId="0" applyNumberFormat="0" applyBorder="0" applyAlignment="0" applyProtection="0"/>
    <xf numFmtId="0" fontId="18" fillId="21" borderId="5" applyNumberFormat="0" applyAlignment="0" applyProtection="0"/>
    <xf numFmtId="0" fontId="19" fillId="22" borderId="6" applyNumberFormat="0" applyAlignment="0" applyProtection="0"/>
    <xf numFmtId="0" fontId="15" fillId="0" borderId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/>
    <xf numFmtId="0" fontId="26" fillId="8" borderId="5" applyNumberFormat="0" applyAlignment="0" applyProtection="0"/>
    <xf numFmtId="0" fontId="27" fillId="0" borderId="10" applyNumberFormat="0" applyFill="0" applyAlignment="0" applyProtection="0"/>
    <xf numFmtId="0" fontId="28" fillId="23" borderId="0" applyNumberFormat="0" applyBorder="0" applyAlignment="0" applyProtection="0"/>
    <xf numFmtId="0" fontId="15" fillId="24" borderId="11" applyNumberFormat="0" applyFont="0" applyAlignment="0" applyProtection="0"/>
    <xf numFmtId="0" fontId="29" fillId="21" borderId="12" applyNumberFormat="0" applyAlignment="0" applyProtection="0"/>
    <xf numFmtId="0" fontId="10" fillId="25" borderId="12" applyNumberFormat="0" applyProtection="0">
      <alignment horizontal="left" vertical="center" indent="1"/>
    </xf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3" fillId="0" borderId="0"/>
    <xf numFmtId="0" fontId="33" fillId="0" borderId="0"/>
    <xf numFmtId="0" fontId="10" fillId="0" borderId="0"/>
    <xf numFmtId="0" fontId="10" fillId="0" borderId="0"/>
    <xf numFmtId="0" fontId="34" fillId="0" borderId="0">
      <alignment horizontal="left"/>
    </xf>
    <xf numFmtId="169" fontId="33" fillId="0" borderId="0"/>
    <xf numFmtId="169" fontId="33" fillId="0" borderId="0"/>
    <xf numFmtId="169" fontId="33" fillId="0" borderId="0"/>
    <xf numFmtId="0" fontId="10" fillId="0" borderId="0"/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10" fillId="0" borderId="0"/>
    <xf numFmtId="0" fontId="25" fillId="0" borderId="0"/>
    <xf numFmtId="0" fontId="10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34" fillId="0" borderId="0">
      <alignment horizontal="left"/>
    </xf>
    <xf numFmtId="0" fontId="34" fillId="0" borderId="0">
      <alignment horizontal="left"/>
    </xf>
    <xf numFmtId="169" fontId="33" fillId="0" borderId="0"/>
    <xf numFmtId="0" fontId="10" fillId="0" borderId="0"/>
    <xf numFmtId="0" fontId="10" fillId="0" borderId="0"/>
    <xf numFmtId="0" fontId="34" fillId="0" borderId="0">
      <alignment horizontal="left"/>
    </xf>
    <xf numFmtId="169" fontId="33" fillId="0" borderId="0"/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10" fillId="0" borderId="0"/>
    <xf numFmtId="169" fontId="33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169" fontId="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9" fontId="33" fillId="0" borderId="0"/>
    <xf numFmtId="0" fontId="25" fillId="0" borderId="0"/>
    <xf numFmtId="0" fontId="25" fillId="0" borderId="0"/>
    <xf numFmtId="0" fontId="25" fillId="0" borderId="0"/>
    <xf numFmtId="169" fontId="33" fillId="0" borderId="0"/>
    <xf numFmtId="169" fontId="33" fillId="0" borderId="0"/>
    <xf numFmtId="169" fontId="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33" fillId="0" borderId="0"/>
    <xf numFmtId="0" fontId="33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5" fillId="0" borderId="0"/>
    <xf numFmtId="0" fontId="36" fillId="0" borderId="0"/>
    <xf numFmtId="170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" fontId="37" fillId="0" borderId="0"/>
    <xf numFmtId="1" fontId="38" fillId="0" borderId="0"/>
    <xf numFmtId="1" fontId="39" fillId="0" borderId="0"/>
    <xf numFmtId="1" fontId="39" fillId="0" borderId="0"/>
    <xf numFmtId="1" fontId="39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171" fontId="40" fillId="0" borderId="0">
      <alignment horizontal="left"/>
    </xf>
    <xf numFmtId="172" fontId="41" fillId="0" borderId="0" applyFont="0" applyFill="0" applyBorder="0" applyAlignment="0" applyProtection="0"/>
    <xf numFmtId="0" fontId="42" fillId="27" borderId="0"/>
    <xf numFmtId="38" fontId="43" fillId="0" borderId="0" applyFont="0" applyFill="0" applyBorder="0" applyAlignment="0" applyProtection="0"/>
    <xf numFmtId="40" fontId="43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5" fillId="0" borderId="14" applyNumberFormat="0" applyAlignment="0">
      <alignment vertical="center"/>
    </xf>
    <xf numFmtId="173" fontId="41" fillId="0" borderId="0" applyFont="0" applyFill="0" applyBorder="0" applyAlignment="0" applyProtection="0"/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4" fontId="10" fillId="0" borderId="0" applyFont="0" applyFill="0" applyBorder="0" applyAlignment="0" applyProtection="0">
      <alignment wrapText="1"/>
    </xf>
    <xf numFmtId="175" fontId="46" fillId="28" borderId="0" applyNumberFormat="0" applyBorder="0" applyAlignment="0" applyProtection="0"/>
    <xf numFmtId="176" fontId="47" fillId="0" borderId="0">
      <alignment horizontal="center"/>
    </xf>
    <xf numFmtId="38" fontId="43" fillId="0" borderId="0" applyFont="0" applyFill="0" applyBorder="0" applyAlignment="0" applyProtection="0"/>
    <xf numFmtId="0" fontId="48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8" fontId="41" fillId="0" borderId="0" applyFont="0" applyFill="0" applyBorder="0" applyAlignment="0" applyProtection="0"/>
    <xf numFmtId="179" fontId="49" fillId="0" borderId="0"/>
    <xf numFmtId="175" fontId="50" fillId="0" borderId="0" applyNumberFormat="0" applyFill="0" applyBorder="0" applyAlignment="0" applyProtection="0"/>
    <xf numFmtId="38" fontId="33" fillId="29" borderId="0" applyNumberFormat="0" applyBorder="0" applyAlignment="0" applyProtection="0"/>
    <xf numFmtId="0" fontId="51" fillId="0" borderId="1" applyNumberFormat="0" applyAlignment="0" applyProtection="0">
      <alignment horizontal="left" vertical="center"/>
    </xf>
    <xf numFmtId="0" fontId="51" fillId="0" borderId="3">
      <alignment horizontal="left" vertical="center"/>
    </xf>
    <xf numFmtId="10" fontId="33" fillId="30" borderId="2" applyNumberFormat="0" applyBorder="0" applyAlignment="0" applyProtection="0"/>
    <xf numFmtId="167" fontId="52" fillId="31" borderId="2">
      <alignment horizontal="right" indent="2"/>
    </xf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0" borderId="0"/>
    <xf numFmtId="0" fontId="43" fillId="0" borderId="0"/>
    <xf numFmtId="0" fontId="10" fillId="0" borderId="0"/>
    <xf numFmtId="0" fontId="54" fillId="0" borderId="0"/>
    <xf numFmtId="0" fontId="55" fillId="0" borderId="0"/>
    <xf numFmtId="0" fontId="35" fillId="0" borderId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2" fontId="56" fillId="0" borderId="0" applyNumberFormat="0"/>
    <xf numFmtId="3" fontId="49" fillId="0" borderId="0"/>
    <xf numFmtId="0" fontId="57" fillId="26" borderId="0">
      <alignment horizontal="left"/>
    </xf>
    <xf numFmtId="167" fontId="58" fillId="0" borderId="0">
      <alignment horizontal="right"/>
    </xf>
    <xf numFmtId="0" fontId="59" fillId="0" borderId="0"/>
    <xf numFmtId="182" fontId="60" fillId="0" borderId="0">
      <alignment horizontal="right"/>
    </xf>
    <xf numFmtId="183" fontId="58" fillId="0" borderId="0">
      <alignment horizontal="right"/>
    </xf>
    <xf numFmtId="167" fontId="61" fillId="0" borderId="0">
      <alignment horizontal="right"/>
    </xf>
    <xf numFmtId="0" fontId="60" fillId="0" borderId="0"/>
    <xf numFmtId="167" fontId="62" fillId="0" borderId="0">
      <alignment horizontal="right"/>
    </xf>
    <xf numFmtId="0" fontId="63" fillId="0" borderId="0"/>
    <xf numFmtId="182" fontId="60" fillId="0" borderId="0">
      <alignment horizontal="right"/>
    </xf>
    <xf numFmtId="0" fontId="35" fillId="0" borderId="0"/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5" applyNumberFormat="0" applyProtection="0">
      <alignment horizontal="center"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64" fillId="32" borderId="16" applyNumberFormat="0" applyAlignment="0" applyProtection="0">
      <alignment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horizontal="center"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33" borderId="0" applyNumberFormat="0" applyBorder="0">
      <alignment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4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5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186" fontId="10" fillId="0" borderId="0" applyFill="0" applyBorder="0" applyAlignment="0" applyProtection="0">
      <alignment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0" fontId="10" fillId="0" borderId="0" applyNumberFormat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7" fontId="10" fillId="0" borderId="0" applyFill="0" applyBorder="0">
      <alignment horizontal="right"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187" fontId="10" fillId="0" borderId="0" applyFill="0" applyBorder="0" applyAlignment="0" applyProtection="0">
      <alignment wrapText="1"/>
    </xf>
    <xf numFmtId="0" fontId="65" fillId="0" borderId="0" applyNumberFormat="0" applyFill="0" applyBorder="0">
      <alignment horizontal="left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66" fillId="0" borderId="0"/>
    <xf numFmtId="188" fontId="60" fillId="0" borderId="0">
      <alignment horizontal="right"/>
    </xf>
    <xf numFmtId="176" fontId="67" fillId="34" borderId="0">
      <alignment horizontal="left"/>
    </xf>
    <xf numFmtId="0" fontId="68" fillId="0" borderId="0">
      <alignment horizontal="center" vertical="top"/>
    </xf>
    <xf numFmtId="20" fontId="67" fillId="34" borderId="0">
      <alignment horizontal="left"/>
    </xf>
    <xf numFmtId="175" fontId="69" fillId="0" borderId="0" applyNumberFormat="0" applyFill="0" applyBorder="0" applyAlignment="0" applyProtection="0"/>
    <xf numFmtId="189" fontId="49" fillId="0" borderId="0"/>
    <xf numFmtId="190" fontId="70" fillId="0" borderId="0"/>
    <xf numFmtId="190" fontId="71" fillId="0" borderId="0"/>
    <xf numFmtId="191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3" fontId="43" fillId="0" borderId="0" applyFont="0" applyFill="0" applyBorder="0" applyAlignment="0" applyProtection="0"/>
    <xf numFmtId="187" fontId="43" fillId="0" borderId="0" applyFont="0" applyFill="0" applyBorder="0" applyAlignment="0" applyProtection="0"/>
    <xf numFmtId="0" fontId="41" fillId="11" borderId="0" applyNumberFormat="0" applyBorder="0" applyAlignment="0" applyProtection="0"/>
    <xf numFmtId="194" fontId="41" fillId="0" borderId="0" applyFont="0" applyFill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43" fillId="0" borderId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6" fillId="8" borderId="5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29" fillId="21" borderId="12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18" fillId="21" borderId="5" applyNumberFormat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19" fillId="22" borderId="6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0" fontId="25" fillId="24" borderId="11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5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73" fillId="0" borderId="0"/>
    <xf numFmtId="0" fontId="78" fillId="0" borderId="0"/>
    <xf numFmtId="0" fontId="2" fillId="0" borderId="0"/>
    <xf numFmtId="9" fontId="78" fillId="0" borderId="0" applyFont="0" applyFill="0" applyBorder="0" applyAlignment="0" applyProtection="0"/>
    <xf numFmtId="0" fontId="1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97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33" fillId="0" borderId="0"/>
  </cellStyleXfs>
  <cellXfs count="869">
    <xf numFmtId="0" fontId="0" fillId="0" borderId="0" xfId="0"/>
    <xf numFmtId="0" fontId="6" fillId="0" borderId="0" xfId="1" applyFont="1" applyFill="1"/>
    <xf numFmtId="0" fontId="6" fillId="0" borderId="0" xfId="1" applyFont="1" applyFill="1" applyBorder="1"/>
    <xf numFmtId="0" fontId="9" fillId="0" borderId="0" xfId="1" applyFont="1" applyFill="1"/>
    <xf numFmtId="0" fontId="6" fillId="0" borderId="0" xfId="1" applyFont="1" applyFill="1" applyAlignment="1">
      <alignment vertical="center"/>
    </xf>
    <xf numFmtId="0" fontId="6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vertical="center"/>
    </xf>
    <xf numFmtId="0" fontId="9" fillId="0" borderId="2" xfId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0" fontId="74" fillId="0" borderId="2" xfId="1" applyFont="1" applyFill="1" applyBorder="1" applyAlignment="1">
      <alignment horizontal="center" vertical="top" wrapText="1"/>
    </xf>
    <xf numFmtId="0" fontId="74" fillId="0" borderId="0" xfId="1" applyFont="1" applyFill="1"/>
    <xf numFmtId="0" fontId="6" fillId="0" borderId="2" xfId="1" applyFont="1" applyFill="1" applyBorder="1" applyAlignment="1">
      <alignment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 wrapText="1"/>
    </xf>
    <xf numFmtId="3" fontId="6" fillId="0" borderId="0" xfId="1" applyNumberFormat="1" applyFont="1" applyFill="1" applyAlignment="1">
      <alignment vertical="center"/>
    </xf>
    <xf numFmtId="0" fontId="6" fillId="0" borderId="2" xfId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vertical="center" wrapText="1"/>
    </xf>
    <xf numFmtId="0" fontId="12" fillId="0" borderId="2" xfId="1" applyFont="1" applyFill="1" applyBorder="1" applyAlignment="1">
      <alignment horizontal="right" vertical="center" wrapText="1"/>
    </xf>
    <xf numFmtId="0" fontId="75" fillId="0" borderId="2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/>
    </xf>
    <xf numFmtId="0" fontId="74" fillId="0" borderId="2" xfId="1" applyFont="1" applyFill="1" applyBorder="1" applyAlignment="1">
      <alignment horizontal="right" vertical="top" wrapText="1"/>
    </xf>
    <xf numFmtId="0" fontId="74" fillId="0" borderId="2" xfId="1" applyFont="1" applyFill="1" applyBorder="1" applyAlignment="1">
      <alignment horizontal="right" vertical="center" wrapText="1"/>
    </xf>
    <xf numFmtId="0" fontId="11" fillId="0" borderId="2" xfId="1" applyFont="1" applyFill="1" applyBorder="1" applyAlignment="1">
      <alignment horizontal="right" vertical="center" wrapText="1"/>
    </xf>
    <xf numFmtId="3" fontId="6" fillId="0" borderId="2" xfId="1" applyNumberFormat="1" applyFont="1" applyFill="1" applyBorder="1" applyAlignment="1">
      <alignment horizontal="right" vertical="center" wrapText="1"/>
    </xf>
    <xf numFmtId="3" fontId="11" fillId="0" borderId="2" xfId="1" applyNumberFormat="1" applyFont="1" applyFill="1" applyBorder="1" applyAlignment="1">
      <alignment horizontal="right" vertical="center" wrapText="1"/>
    </xf>
    <xf numFmtId="3" fontId="9" fillId="0" borderId="2" xfId="2" applyNumberFormat="1" applyFont="1" applyFill="1" applyBorder="1" applyAlignment="1">
      <alignment horizontal="right" vertical="center" wrapText="1"/>
    </xf>
    <xf numFmtId="3" fontId="12" fillId="0" borderId="2" xfId="1" applyNumberFormat="1" applyFont="1" applyFill="1" applyBorder="1" applyAlignment="1">
      <alignment horizontal="right" vertical="center" wrapText="1"/>
    </xf>
    <xf numFmtId="3" fontId="12" fillId="0" borderId="2" xfId="1" applyNumberFormat="1" applyFont="1" applyFill="1" applyBorder="1" applyAlignment="1">
      <alignment horizontal="right" vertical="center"/>
    </xf>
    <xf numFmtId="3" fontId="13" fillId="0" borderId="2" xfId="1" applyNumberFormat="1" applyFont="1" applyFill="1" applyBorder="1" applyAlignment="1">
      <alignment horizontal="right" vertical="center"/>
    </xf>
    <xf numFmtId="3" fontId="9" fillId="0" borderId="2" xfId="1" applyNumberFormat="1" applyFont="1" applyFill="1" applyBorder="1" applyAlignment="1">
      <alignment horizontal="right" vertical="center" wrapText="1"/>
    </xf>
    <xf numFmtId="3" fontId="11" fillId="0" borderId="2" xfId="1" applyNumberFormat="1" applyFont="1" applyFill="1" applyBorder="1" applyAlignment="1">
      <alignment horizontal="right" vertical="center"/>
    </xf>
    <xf numFmtId="3" fontId="6" fillId="0" borderId="2" xfId="1" applyNumberFormat="1" applyFont="1" applyFill="1" applyBorder="1" applyAlignment="1">
      <alignment horizontal="right" vertical="center"/>
    </xf>
    <xf numFmtId="3" fontId="13" fillId="0" borderId="2" xfId="1" applyNumberFormat="1" applyFont="1" applyFill="1" applyBorder="1" applyAlignment="1">
      <alignment horizontal="right" vertical="center" wrapText="1"/>
    </xf>
    <xf numFmtId="3" fontId="6" fillId="0" borderId="2" xfId="2" applyNumberFormat="1" applyFont="1" applyFill="1" applyBorder="1" applyAlignment="1">
      <alignment horizontal="right" vertical="center" wrapText="1"/>
    </xf>
    <xf numFmtId="3" fontId="75" fillId="0" borderId="2" xfId="1" applyNumberFormat="1" applyFont="1" applyFill="1" applyBorder="1" applyAlignment="1">
      <alignment horizontal="right" vertical="center"/>
    </xf>
    <xf numFmtId="0" fontId="6" fillId="0" borderId="0" xfId="1" applyFont="1" applyFill="1" applyAlignment="1">
      <alignment horizontal="right"/>
    </xf>
    <xf numFmtId="1" fontId="11" fillId="0" borderId="0" xfId="1" applyNumberFormat="1" applyFont="1" applyFill="1" applyAlignment="1">
      <alignment horizontal="right"/>
    </xf>
    <xf numFmtId="1" fontId="6" fillId="0" borderId="0" xfId="1" applyNumberFormat="1" applyFont="1" applyFill="1" applyAlignment="1">
      <alignment horizontal="right"/>
    </xf>
    <xf numFmtId="0" fontId="9" fillId="0" borderId="0" xfId="1" applyFont="1" applyFill="1" applyAlignment="1">
      <alignment horizontal="right"/>
    </xf>
    <xf numFmtId="0" fontId="11" fillId="0" borderId="0" xfId="1" applyFont="1" applyFill="1" applyAlignment="1">
      <alignment horizontal="right"/>
    </xf>
    <xf numFmtId="4" fontId="6" fillId="0" borderId="0" xfId="1" applyNumberFormat="1" applyFont="1" applyFill="1" applyAlignment="1">
      <alignment vertical="center"/>
    </xf>
    <xf numFmtId="0" fontId="9" fillId="2" borderId="2" xfId="1" applyFont="1" applyFill="1" applyBorder="1" applyAlignment="1">
      <alignment horizontal="center" vertical="center" wrapText="1"/>
    </xf>
    <xf numFmtId="168" fontId="12" fillId="0" borderId="2" xfId="1" applyNumberFormat="1" applyFont="1" applyFill="1" applyBorder="1" applyAlignment="1">
      <alignment horizontal="right" vertical="center" wrapText="1"/>
    </xf>
    <xf numFmtId="168" fontId="12" fillId="0" borderId="2" xfId="1" applyNumberFormat="1" applyFont="1" applyFill="1" applyBorder="1" applyAlignment="1">
      <alignment horizontal="right" vertical="center"/>
    </xf>
    <xf numFmtId="3" fontId="9" fillId="0" borderId="2" xfId="1" applyNumberFormat="1" applyFont="1" applyFill="1" applyBorder="1" applyAlignment="1">
      <alignment horizontal="right" vertical="center"/>
    </xf>
    <xf numFmtId="3" fontId="9" fillId="0" borderId="2" xfId="1" applyNumberFormat="1" applyFont="1" applyFill="1" applyBorder="1" applyAlignment="1">
      <alignment vertical="center"/>
    </xf>
    <xf numFmtId="3" fontId="9" fillId="0" borderId="0" xfId="1" applyNumberFormat="1" applyFont="1" applyFill="1" applyAlignment="1">
      <alignment vertical="center"/>
    </xf>
    <xf numFmtId="3" fontId="12" fillId="0" borderId="19" xfId="112" applyNumberFormat="1" applyFont="1" applyFill="1" applyBorder="1" applyAlignment="1">
      <alignment horizontal="right" vertical="center" wrapText="1"/>
    </xf>
    <xf numFmtId="3" fontId="12" fillId="0" borderId="19" xfId="112" applyNumberFormat="1" applyFont="1" applyFill="1" applyBorder="1" applyAlignment="1">
      <alignment horizontal="right" vertical="center"/>
    </xf>
    <xf numFmtId="3" fontId="11" fillId="0" borderId="19" xfId="112" applyNumberFormat="1" applyFont="1" applyFill="1" applyBorder="1" applyAlignment="1">
      <alignment horizontal="right" vertical="center" wrapText="1"/>
    </xf>
    <xf numFmtId="3" fontId="6" fillId="0" borderId="19" xfId="112" applyNumberFormat="1" applyFont="1" applyFill="1" applyBorder="1" applyAlignment="1">
      <alignment horizontal="right" vertical="center" wrapText="1"/>
    </xf>
    <xf numFmtId="3" fontId="12" fillId="0" borderId="19" xfId="1" applyNumberFormat="1" applyFont="1" applyBorder="1" applyAlignment="1">
      <alignment horizontal="right"/>
    </xf>
    <xf numFmtId="3" fontId="6" fillId="0" borderId="19" xfId="129" applyNumberFormat="1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12" fillId="0" borderId="19" xfId="1" applyFont="1" applyFill="1" applyBorder="1" applyAlignment="1">
      <alignment horizontal="right" vertical="center" wrapText="1"/>
    </xf>
    <xf numFmtId="3" fontId="12" fillId="0" borderId="19" xfId="1" applyNumberFormat="1" applyFont="1" applyFill="1" applyBorder="1" applyAlignment="1">
      <alignment horizontal="right" vertical="center" wrapText="1"/>
    </xf>
    <xf numFmtId="3" fontId="12" fillId="0" borderId="19" xfId="1" applyNumberFormat="1" applyFont="1" applyFill="1" applyBorder="1" applyAlignment="1">
      <alignment horizontal="right" vertical="center"/>
    </xf>
    <xf numFmtId="0" fontId="6" fillId="0" borderId="19" xfId="1" applyFont="1" applyFill="1" applyBorder="1" applyAlignment="1">
      <alignment vertical="center" wrapText="1"/>
    </xf>
    <xf numFmtId="3" fontId="6" fillId="0" borderId="19" xfId="1" applyNumberFormat="1" applyFont="1" applyFill="1" applyBorder="1" applyAlignment="1">
      <alignment horizontal="right" vertical="center" wrapText="1"/>
    </xf>
    <xf numFmtId="3" fontId="6" fillId="0" borderId="19" xfId="1" applyNumberFormat="1" applyFont="1" applyFill="1" applyBorder="1" applyAlignment="1">
      <alignment horizontal="right" vertical="center"/>
    </xf>
    <xf numFmtId="0" fontId="14" fillId="0" borderId="19" xfId="1" applyFont="1" applyFill="1" applyBorder="1" applyAlignment="1">
      <alignment horizontal="center" vertical="center" wrapText="1"/>
    </xf>
    <xf numFmtId="0" fontId="12" fillId="0" borderId="19" xfId="1" applyFont="1" applyFill="1" applyBorder="1" applyAlignment="1">
      <alignment horizontal="center" vertical="center" wrapText="1"/>
    </xf>
    <xf numFmtId="3" fontId="13" fillId="0" borderId="19" xfId="1" applyNumberFormat="1" applyFont="1" applyFill="1" applyBorder="1" applyAlignment="1">
      <alignment horizontal="right" vertical="center"/>
    </xf>
    <xf numFmtId="0" fontId="6" fillId="0" borderId="19" xfId="1" applyFont="1" applyFill="1" applyBorder="1" applyAlignment="1">
      <alignment horizontal="right" vertical="center" wrapText="1"/>
    </xf>
    <xf numFmtId="3" fontId="12" fillId="0" borderId="19" xfId="0" applyNumberFormat="1" applyFont="1" applyBorder="1"/>
    <xf numFmtId="3" fontId="11" fillId="0" borderId="19" xfId="1" applyNumberFormat="1" applyFont="1" applyFill="1" applyBorder="1" applyAlignment="1">
      <alignment horizontal="right" vertical="center"/>
    </xf>
    <xf numFmtId="3" fontId="75" fillId="0" borderId="2" xfId="1" applyNumberFormat="1" applyFont="1" applyFill="1" applyBorder="1" applyAlignment="1">
      <alignment horizontal="right" vertical="center" wrapText="1"/>
    </xf>
    <xf numFmtId="3" fontId="13" fillId="0" borderId="19" xfId="1" applyNumberFormat="1" applyFont="1" applyFill="1" applyBorder="1" applyAlignment="1">
      <alignment horizontal="right" vertical="center" wrapText="1"/>
    </xf>
    <xf numFmtId="3" fontId="9" fillId="0" borderId="19" xfId="2" applyNumberFormat="1" applyFont="1" applyFill="1" applyBorder="1" applyAlignment="1">
      <alignment horizontal="right" vertical="center" wrapText="1"/>
    </xf>
    <xf numFmtId="0" fontId="11" fillId="0" borderId="18" xfId="1" applyFont="1" applyFill="1" applyBorder="1" applyAlignment="1">
      <alignment horizontal="right"/>
    </xf>
    <xf numFmtId="0" fontId="6" fillId="0" borderId="18" xfId="1" applyFont="1" applyFill="1" applyBorder="1" applyAlignment="1">
      <alignment horizontal="right"/>
    </xf>
    <xf numFmtId="0" fontId="8" fillId="0" borderId="19" xfId="0" applyFont="1" applyFill="1" applyBorder="1" applyAlignment="1">
      <alignment horizontal="center" vertical="top" wrapText="1"/>
    </xf>
    <xf numFmtId="3" fontId="6" fillId="0" borderId="19" xfId="2" applyNumberFormat="1" applyFont="1" applyFill="1" applyBorder="1" applyAlignment="1">
      <alignment horizontal="right" vertical="center" wrapText="1"/>
    </xf>
    <xf numFmtId="3" fontId="13" fillId="0" borderId="19" xfId="2" applyNumberFormat="1" applyFont="1" applyFill="1" applyBorder="1" applyAlignment="1">
      <alignment horizontal="right" vertical="center" wrapText="1"/>
    </xf>
    <xf numFmtId="3" fontId="12" fillId="0" borderId="19" xfId="2" applyNumberFormat="1" applyFont="1" applyFill="1" applyBorder="1" applyAlignment="1">
      <alignment horizontal="right" vertical="center" wrapText="1"/>
    </xf>
    <xf numFmtId="0" fontId="11" fillId="0" borderId="2" xfId="1" applyFont="1" applyFill="1" applyBorder="1" applyAlignment="1">
      <alignment horizontal="center" vertical="top" wrapText="1"/>
    </xf>
    <xf numFmtId="0" fontId="75" fillId="2" borderId="2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/>
    </xf>
    <xf numFmtId="0" fontId="11" fillId="0" borderId="0" xfId="1" applyFont="1" applyFill="1"/>
    <xf numFmtId="0" fontId="75" fillId="0" borderId="0" xfId="1" applyFont="1" applyFill="1" applyBorder="1" applyAlignment="1">
      <alignment horizontal="center" vertical="center" wrapText="1"/>
    </xf>
    <xf numFmtId="3" fontId="6" fillId="0" borderId="0" xfId="1" applyNumberFormat="1" applyFont="1" applyFill="1" applyAlignment="1">
      <alignment horizontal="right"/>
    </xf>
    <xf numFmtId="4" fontId="11" fillId="0" borderId="0" xfId="1" applyNumberFormat="1" applyFont="1" applyFill="1" applyAlignment="1">
      <alignment horizontal="right"/>
    </xf>
    <xf numFmtId="0" fontId="7" fillId="0" borderId="0" xfId="1" applyFont="1" applyFill="1"/>
    <xf numFmtId="3" fontId="74" fillId="0" borderId="0" xfId="1" applyNumberFormat="1" applyFont="1" applyFill="1" applyAlignment="1">
      <alignment horizontal="right"/>
    </xf>
    <xf numFmtId="3" fontId="14" fillId="0" borderId="0" xfId="1" applyNumberFormat="1" applyFont="1" applyFill="1" applyAlignment="1">
      <alignment horizontal="right"/>
    </xf>
    <xf numFmtId="0" fontId="75" fillId="35" borderId="23" xfId="1" applyFont="1" applyFill="1" applyBorder="1" applyAlignment="1">
      <alignment horizontal="center" vertical="center" wrapText="1"/>
    </xf>
    <xf numFmtId="0" fontId="74" fillId="35" borderId="23" xfId="1" applyFont="1" applyFill="1" applyBorder="1"/>
    <xf numFmtId="3" fontId="80" fillId="0" borderId="2" xfId="1" applyNumberFormat="1" applyFont="1" applyFill="1" applyBorder="1" applyAlignment="1">
      <alignment horizontal="right" vertical="center" wrapText="1"/>
    </xf>
    <xf numFmtId="0" fontId="74" fillId="35" borderId="23" xfId="1" applyFont="1" applyFill="1" applyBorder="1" applyAlignment="1">
      <alignment horizontal="right"/>
    </xf>
    <xf numFmtId="3" fontId="9" fillId="35" borderId="23" xfId="1" applyNumberFormat="1" applyFont="1" applyFill="1" applyBorder="1" applyAlignment="1">
      <alignment horizontal="right" vertical="center"/>
    </xf>
    <xf numFmtId="3" fontId="6" fillId="35" borderId="23" xfId="1" applyNumberFormat="1" applyFont="1" applyFill="1" applyBorder="1" applyAlignment="1">
      <alignment horizontal="right" vertical="center"/>
    </xf>
    <xf numFmtId="3" fontId="12" fillId="35" borderId="23" xfId="1" applyNumberFormat="1" applyFont="1" applyFill="1" applyBorder="1" applyAlignment="1">
      <alignment horizontal="right" vertical="center"/>
    </xf>
    <xf numFmtId="3" fontId="80" fillId="0" borderId="19" xfId="1" applyNumberFormat="1" applyFont="1" applyFill="1" applyBorder="1" applyAlignment="1">
      <alignment horizontal="right" vertical="center" wrapText="1"/>
    </xf>
    <xf numFmtId="9" fontId="82" fillId="35" borderId="23" xfId="1" applyNumberFormat="1" applyFont="1" applyFill="1" applyBorder="1" applyAlignment="1">
      <alignment horizontal="right" vertical="center"/>
    </xf>
    <xf numFmtId="9" fontId="83" fillId="35" borderId="23" xfId="1" applyNumberFormat="1" applyFont="1" applyFill="1" applyBorder="1" applyAlignment="1">
      <alignment horizontal="right" vertical="center"/>
    </xf>
    <xf numFmtId="9" fontId="81" fillId="35" borderId="23" xfId="1" applyNumberFormat="1" applyFont="1" applyFill="1" applyBorder="1" applyAlignment="1">
      <alignment horizontal="right" vertical="center"/>
    </xf>
    <xf numFmtId="9" fontId="84" fillId="35" borderId="23" xfId="1" applyNumberFormat="1" applyFont="1" applyFill="1" applyBorder="1" applyAlignment="1">
      <alignment horizontal="right" vertical="center"/>
    </xf>
    <xf numFmtId="3" fontId="9" fillId="35" borderId="2" xfId="2" applyNumberFormat="1" applyFont="1" applyFill="1" applyBorder="1" applyAlignment="1">
      <alignment horizontal="right" vertical="center" wrapText="1"/>
    </xf>
    <xf numFmtId="3" fontId="6" fillId="35" borderId="2" xfId="1" applyNumberFormat="1" applyFont="1" applyFill="1" applyBorder="1" applyAlignment="1">
      <alignment horizontal="right" vertical="center"/>
    </xf>
    <xf numFmtId="3" fontId="6" fillId="35" borderId="2" xfId="1" applyNumberFormat="1" applyFont="1" applyFill="1" applyBorder="1" applyAlignment="1">
      <alignment horizontal="right" vertical="center" wrapText="1"/>
    </xf>
    <xf numFmtId="3" fontId="6" fillId="35" borderId="2" xfId="2" applyNumberFormat="1" applyFont="1" applyFill="1" applyBorder="1" applyAlignment="1">
      <alignment horizontal="right" vertical="center" wrapText="1"/>
    </xf>
    <xf numFmtId="3" fontId="6" fillId="35" borderId="19" xfId="129" applyNumberFormat="1" applyFont="1" applyFill="1" applyBorder="1" applyAlignment="1">
      <alignment horizontal="right" vertical="center" wrapText="1"/>
    </xf>
    <xf numFmtId="3" fontId="9" fillId="35" borderId="2" xfId="1" applyNumberFormat="1" applyFont="1" applyFill="1" applyBorder="1" applyAlignment="1">
      <alignment horizontal="right" vertical="center" wrapText="1"/>
    </xf>
    <xf numFmtId="167" fontId="84" fillId="35" borderId="23" xfId="1" applyNumberFormat="1" applyFont="1" applyFill="1" applyBorder="1" applyAlignment="1">
      <alignment horizontal="right" vertical="center"/>
    </xf>
    <xf numFmtId="0" fontId="6" fillId="0" borderId="0" xfId="1" applyFont="1" applyFill="1" applyAlignment="1">
      <alignment wrapText="1"/>
    </xf>
    <xf numFmtId="49" fontId="11" fillId="36" borderId="23" xfId="160" applyNumberFormat="1" applyFont="1" applyFill="1" applyBorder="1" applyAlignment="1">
      <alignment horizontal="center"/>
    </xf>
    <xf numFmtId="9" fontId="75" fillId="36" borderId="23" xfId="32660" applyFont="1" applyFill="1" applyBorder="1" applyAlignment="1">
      <alignment horizontal="right"/>
    </xf>
    <xf numFmtId="9" fontId="75" fillId="36" borderId="23" xfId="32660" applyFont="1" applyFill="1" applyBorder="1" applyAlignment="1">
      <alignment horizontal="right" vertical="center" wrapText="1"/>
    </xf>
    <xf numFmtId="196" fontId="75" fillId="36" borderId="23" xfId="160" applyNumberFormat="1" applyFont="1" applyFill="1" applyBorder="1" applyAlignment="1">
      <alignment wrapText="1"/>
    </xf>
    <xf numFmtId="0" fontId="14" fillId="0" borderId="23" xfId="1" applyFont="1" applyFill="1" applyBorder="1" applyAlignment="1">
      <alignment horizontal="center" vertical="center" wrapText="1"/>
    </xf>
    <xf numFmtId="3" fontId="6" fillId="0" borderId="23" xfId="1" applyNumberFormat="1" applyFont="1" applyFill="1" applyBorder="1" applyAlignment="1">
      <alignment horizontal="right" vertical="center" wrapText="1"/>
    </xf>
    <xf numFmtId="3" fontId="9" fillId="0" borderId="23" xfId="1" applyNumberFormat="1" applyFont="1" applyFill="1" applyBorder="1" applyAlignment="1">
      <alignment horizontal="right" vertical="center"/>
    </xf>
    <xf numFmtId="3" fontId="9" fillId="0" borderId="23" xfId="1" applyNumberFormat="1" applyFont="1" applyFill="1" applyBorder="1" applyAlignment="1">
      <alignment horizontal="right" vertical="center" wrapText="1"/>
    </xf>
    <xf numFmtId="3" fontId="75" fillId="0" borderId="23" xfId="1" applyNumberFormat="1" applyFont="1" applyFill="1" applyBorder="1" applyAlignment="1">
      <alignment horizontal="right" vertical="center"/>
    </xf>
    <xf numFmtId="0" fontId="6" fillId="0" borderId="24" xfId="1" applyFont="1" applyFill="1" applyBorder="1"/>
    <xf numFmtId="3" fontId="9" fillId="2" borderId="2" xfId="2" applyNumberFormat="1" applyFont="1" applyFill="1" applyBorder="1" applyAlignment="1">
      <alignment horizontal="right" vertical="center" wrapText="1"/>
    </xf>
    <xf numFmtId="3" fontId="6" fillId="2" borderId="23" xfId="1" applyNumberFormat="1" applyFont="1" applyFill="1" applyBorder="1" applyAlignment="1">
      <alignment horizontal="right" vertical="center"/>
    </xf>
    <xf numFmtId="3" fontId="9" fillId="2" borderId="23" xfId="1" applyNumberFormat="1" applyFont="1" applyFill="1" applyBorder="1" applyAlignment="1">
      <alignment horizontal="right" vertical="center"/>
    </xf>
    <xf numFmtId="3" fontId="12" fillId="2" borderId="2" xfId="1" applyNumberFormat="1" applyFont="1" applyFill="1" applyBorder="1" applyAlignment="1">
      <alignment horizontal="right" vertical="center" wrapText="1"/>
    </xf>
    <xf numFmtId="3" fontId="12" fillId="2" borderId="19" xfId="112" applyNumberFormat="1" applyFont="1" applyFill="1" applyBorder="1" applyAlignment="1">
      <alignment horizontal="right" vertical="center" wrapText="1"/>
    </xf>
    <xf numFmtId="3" fontId="6" fillId="2" borderId="2" xfId="1" applyNumberFormat="1" applyFont="1" applyFill="1" applyBorder="1" applyAlignment="1">
      <alignment horizontal="right" vertical="center" wrapText="1"/>
    </xf>
    <xf numFmtId="3" fontId="9" fillId="2" borderId="2" xfId="1" applyNumberFormat="1" applyFont="1" applyFill="1" applyBorder="1" applyAlignment="1">
      <alignment horizontal="right" vertical="center"/>
    </xf>
    <xf numFmtId="3" fontId="9" fillId="2" borderId="2" xfId="1" applyNumberFormat="1" applyFont="1" applyFill="1" applyBorder="1" applyAlignment="1">
      <alignment horizontal="right" vertical="center" wrapText="1"/>
    </xf>
    <xf numFmtId="3" fontId="6" fillId="2" borderId="2" xfId="1" applyNumberFormat="1" applyFont="1" applyFill="1" applyBorder="1" applyAlignment="1">
      <alignment horizontal="right" vertical="center"/>
    </xf>
    <xf numFmtId="3" fontId="12" fillId="2" borderId="2" xfId="1" applyNumberFormat="1" applyFont="1" applyFill="1" applyBorder="1" applyAlignment="1">
      <alignment horizontal="right" vertical="center"/>
    </xf>
    <xf numFmtId="3" fontId="12" fillId="2" borderId="19" xfId="1" applyNumberFormat="1" applyFont="1" applyFill="1" applyBorder="1" applyAlignment="1">
      <alignment horizontal="right" vertical="center"/>
    </xf>
    <xf numFmtId="3" fontId="6" fillId="2" borderId="2" xfId="2" applyNumberFormat="1" applyFont="1" applyFill="1" applyBorder="1" applyAlignment="1">
      <alignment horizontal="right" vertical="center" wrapText="1"/>
    </xf>
    <xf numFmtId="168" fontId="12" fillId="2" borderId="2" xfId="1" applyNumberFormat="1" applyFont="1" applyFill="1" applyBorder="1" applyAlignment="1">
      <alignment horizontal="right" vertical="center" wrapText="1"/>
    </xf>
    <xf numFmtId="3" fontId="6" fillId="2" borderId="19" xfId="129" applyNumberFormat="1" applyFont="1" applyFill="1" applyBorder="1" applyAlignment="1">
      <alignment horizontal="right" vertical="center" wrapText="1"/>
    </xf>
    <xf numFmtId="3" fontId="6" fillId="2" borderId="23" xfId="1" applyNumberFormat="1" applyFont="1" applyFill="1" applyBorder="1" applyAlignment="1">
      <alignment horizontal="right" vertical="center" wrapText="1"/>
    </xf>
    <xf numFmtId="3" fontId="9" fillId="2" borderId="23" xfId="1" applyNumberFormat="1" applyFont="1" applyFill="1" applyBorder="1" applyAlignment="1">
      <alignment horizontal="right" vertical="center" wrapText="1"/>
    </xf>
    <xf numFmtId="0" fontId="74" fillId="0" borderId="19" xfId="1" applyFont="1" applyFill="1" applyBorder="1" applyAlignment="1">
      <alignment horizontal="center" vertical="top" wrapText="1"/>
    </xf>
    <xf numFmtId="0" fontId="74" fillId="0" borderId="2" xfId="1" applyFont="1" applyFill="1" applyBorder="1" applyAlignment="1">
      <alignment horizontal="center" vertical="center" wrapText="1"/>
    </xf>
    <xf numFmtId="0" fontId="74" fillId="0" borderId="0" xfId="1" applyFont="1" applyFill="1" applyAlignment="1">
      <alignment horizontal="center"/>
    </xf>
    <xf numFmtId="0" fontId="74" fillId="35" borderId="23" xfId="1" applyFont="1" applyFill="1" applyBorder="1" applyAlignment="1">
      <alignment horizontal="center"/>
    </xf>
    <xf numFmtId="3" fontId="11" fillId="35" borderId="23" xfId="1" applyNumberFormat="1" applyFont="1" applyFill="1" applyBorder="1" applyAlignment="1">
      <alignment horizontal="right" vertical="center"/>
    </xf>
    <xf numFmtId="0" fontId="12" fillId="0" borderId="2" xfId="1" applyFont="1" applyFill="1" applyBorder="1" applyAlignment="1">
      <alignment horizontal="right" vertical="top" wrapText="1"/>
    </xf>
    <xf numFmtId="3" fontId="12" fillId="0" borderId="19" xfId="0" applyNumberFormat="1" applyFont="1" applyBorder="1" applyAlignment="1">
      <alignment horizontal="right" vertical="center"/>
    </xf>
    <xf numFmtId="0" fontId="74" fillId="35" borderId="2" xfId="1" applyFont="1" applyFill="1" applyBorder="1"/>
    <xf numFmtId="9" fontId="83" fillId="35" borderId="2" xfId="1" applyNumberFormat="1" applyFont="1" applyFill="1" applyBorder="1" applyAlignment="1">
      <alignment vertical="center"/>
    </xf>
    <xf numFmtId="0" fontId="11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9" fillId="0" borderId="19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3" fontId="12" fillId="0" borderId="19" xfId="0" applyNumberFormat="1" applyFont="1" applyBorder="1" applyAlignment="1">
      <alignment vertical="center"/>
    </xf>
    <xf numFmtId="3" fontId="6" fillId="0" borderId="20" xfId="1" applyNumberFormat="1" applyFont="1" applyFill="1" applyBorder="1" applyAlignment="1">
      <alignment horizontal="right" vertical="center" wrapText="1"/>
    </xf>
    <xf numFmtId="0" fontId="6" fillId="0" borderId="2" xfId="1" applyFont="1" applyFill="1" applyBorder="1" applyAlignment="1">
      <alignment vertical="center"/>
    </xf>
    <xf numFmtId="0" fontId="9" fillId="0" borderId="2" xfId="1" applyFont="1" applyFill="1" applyBorder="1" applyAlignment="1">
      <alignment horizontal="right"/>
    </xf>
    <xf numFmtId="196" fontId="75" fillId="36" borderId="23" xfId="160" applyNumberFormat="1" applyFont="1" applyFill="1" applyBorder="1" applyAlignment="1"/>
    <xf numFmtId="9" fontId="75" fillId="35" borderId="23" xfId="32660" applyFont="1" applyFill="1" applyBorder="1" applyAlignment="1">
      <alignment horizontal="right" vertical="center"/>
    </xf>
    <xf numFmtId="0" fontId="6" fillId="0" borderId="19" xfId="1" applyFont="1" applyFill="1" applyBorder="1" applyAlignment="1">
      <alignment horizontal="center" vertical="center" wrapText="1"/>
    </xf>
    <xf numFmtId="0" fontId="6" fillId="37" borderId="2" xfId="1" applyFont="1" applyFill="1" applyBorder="1" applyAlignment="1">
      <alignment horizontal="left" wrapText="1"/>
    </xf>
    <xf numFmtId="0" fontId="6" fillId="37" borderId="2" xfId="1" applyFont="1" applyFill="1" applyBorder="1" applyAlignment="1">
      <alignment horizontal="right"/>
    </xf>
    <xf numFmtId="0" fontId="6" fillId="37" borderId="2" xfId="1" applyFont="1" applyFill="1" applyBorder="1"/>
    <xf numFmtId="9" fontId="9" fillId="37" borderId="2" xfId="1" applyNumberFormat="1" applyFont="1" applyFill="1" applyBorder="1" applyAlignment="1">
      <alignment horizontal="center" wrapText="1"/>
    </xf>
    <xf numFmtId="9" fontId="9" fillId="37" borderId="2" xfId="1" applyNumberFormat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 vertical="center" wrapText="1"/>
    </xf>
    <xf numFmtId="0" fontId="11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left" wrapText="1"/>
    </xf>
    <xf numFmtId="0" fontId="9" fillId="0" borderId="19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190" fontId="79" fillId="0" borderId="26" xfId="0" applyNumberFormat="1" applyFont="1" applyFill="1" applyBorder="1" applyAlignment="1"/>
    <xf numFmtId="3" fontId="6" fillId="0" borderId="0" xfId="1" applyNumberFormat="1" applyFont="1" applyFill="1" applyBorder="1"/>
    <xf numFmtId="3" fontId="6" fillId="0" borderId="0" xfId="1" applyNumberFormat="1" applyFont="1" applyFill="1" applyBorder="1" applyAlignment="1">
      <alignment horizontal="right"/>
    </xf>
    <xf numFmtId="4" fontId="6" fillId="0" borderId="0" xfId="1" applyNumberFormat="1" applyFont="1" applyFill="1" applyBorder="1"/>
    <xf numFmtId="195" fontId="6" fillId="0" borderId="0" xfId="1" applyNumberFormat="1" applyFont="1" applyFill="1" applyBorder="1"/>
    <xf numFmtId="9" fontId="6" fillId="0" borderId="0" xfId="1" applyNumberFormat="1" applyFont="1" applyFill="1" applyAlignment="1">
      <alignment horizontal="right"/>
    </xf>
    <xf numFmtId="190" fontId="77" fillId="0" borderId="26" xfId="0" applyNumberFormat="1" applyFont="1" applyFill="1" applyBorder="1" applyAlignment="1">
      <alignment vertical="top"/>
    </xf>
    <xf numFmtId="9" fontId="79" fillId="0" borderId="26" xfId="0" applyNumberFormat="1" applyFont="1" applyFill="1" applyBorder="1" applyAlignment="1"/>
    <xf numFmtId="197" fontId="6" fillId="0" borderId="0" xfId="1" applyNumberFormat="1" applyFont="1" applyFill="1"/>
    <xf numFmtId="196" fontId="75" fillId="37" borderId="23" xfId="160" applyNumberFormat="1" applyFont="1" applyFill="1" applyBorder="1" applyAlignment="1">
      <alignment wrapText="1"/>
    </xf>
    <xf numFmtId="196" fontId="75" fillId="37" borderId="23" xfId="160" applyNumberFormat="1" applyFont="1" applyFill="1" applyBorder="1" applyAlignment="1"/>
    <xf numFmtId="3" fontId="85" fillId="0" borderId="2" xfId="1" applyNumberFormat="1" applyFont="1" applyFill="1" applyBorder="1" applyAlignment="1">
      <alignment horizontal="right" vertical="center" wrapText="1"/>
    </xf>
    <xf numFmtId="2" fontId="77" fillId="0" borderId="26" xfId="0" applyNumberFormat="1" applyFont="1" applyFill="1" applyBorder="1" applyAlignment="1">
      <alignment vertical="top"/>
    </xf>
    <xf numFmtId="3" fontId="12" fillId="37" borderId="2" xfId="1" applyNumberFormat="1" applyFont="1" applyFill="1" applyBorder="1" applyAlignment="1">
      <alignment horizontal="right" vertical="center" wrapText="1"/>
    </xf>
    <xf numFmtId="3" fontId="12" fillId="37" borderId="19" xfId="112" applyNumberFormat="1" applyFont="1" applyFill="1" applyBorder="1" applyAlignment="1">
      <alignment horizontal="right" vertical="center" wrapText="1"/>
    </xf>
    <xf numFmtId="195" fontId="6" fillId="2" borderId="0" xfId="1" applyNumberFormat="1" applyFont="1" applyFill="1" applyBorder="1" applyAlignment="1">
      <alignment horizontal="right"/>
    </xf>
    <xf numFmtId="195" fontId="6" fillId="2" borderId="0" xfId="1" applyNumberFormat="1" applyFont="1" applyFill="1" applyBorder="1"/>
    <xf numFmtId="0" fontId="6" fillId="2" borderId="0" xfId="1" applyFont="1" applyFill="1" applyBorder="1"/>
    <xf numFmtId="0" fontId="6" fillId="2" borderId="0" xfId="1" applyFont="1" applyFill="1" applyBorder="1" applyAlignment="1">
      <alignment horizontal="right"/>
    </xf>
    <xf numFmtId="0" fontId="75" fillId="2" borderId="23" xfId="1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top" wrapText="1"/>
    </xf>
    <xf numFmtId="0" fontId="74" fillId="2" borderId="23" xfId="1" applyFont="1" applyFill="1" applyBorder="1" applyAlignment="1">
      <alignment horizontal="center"/>
    </xf>
    <xf numFmtId="0" fontId="74" fillId="2" borderId="2" xfId="1" applyFont="1" applyFill="1" applyBorder="1" applyAlignment="1">
      <alignment horizontal="center" vertical="center" wrapText="1"/>
    </xf>
    <xf numFmtId="3" fontId="12" fillId="2" borderId="23" xfId="1" applyNumberFormat="1" applyFont="1" applyFill="1" applyBorder="1" applyAlignment="1">
      <alignment horizontal="right" vertical="center"/>
    </xf>
    <xf numFmtId="3" fontId="11" fillId="2" borderId="23" xfId="1" applyNumberFormat="1" applyFont="1" applyFill="1" applyBorder="1" applyAlignment="1">
      <alignment horizontal="right" vertical="center"/>
    </xf>
    <xf numFmtId="4" fontId="6" fillId="2" borderId="23" xfId="1" applyNumberFormat="1" applyFont="1" applyFill="1" applyBorder="1" applyAlignment="1">
      <alignment horizontal="right" vertical="center"/>
    </xf>
    <xf numFmtId="0" fontId="6" fillId="2" borderId="0" xfId="1" applyFont="1" applyFill="1" applyAlignment="1">
      <alignment horizontal="right"/>
    </xf>
    <xf numFmtId="0" fontId="6" fillId="2" borderId="0" xfId="1" applyFont="1" applyFill="1"/>
    <xf numFmtId="0" fontId="6" fillId="2" borderId="2" xfId="1" applyFont="1" applyFill="1" applyBorder="1" applyAlignment="1">
      <alignment horizontal="right"/>
    </xf>
    <xf numFmtId="9" fontId="9" fillId="2" borderId="2" xfId="1" applyNumberFormat="1" applyFont="1" applyFill="1" applyBorder="1" applyAlignment="1">
      <alignment horizontal="center"/>
    </xf>
    <xf numFmtId="0" fontId="6" fillId="2" borderId="2" xfId="1" applyFont="1" applyFill="1" applyBorder="1"/>
    <xf numFmtId="0" fontId="6" fillId="0" borderId="25" xfId="1" applyFont="1" applyFill="1" applyBorder="1"/>
    <xf numFmtId="198" fontId="52" fillId="0" borderId="0" xfId="1" applyNumberFormat="1" applyFont="1" applyFill="1" applyAlignment="1">
      <alignment vertical="center"/>
    </xf>
    <xf numFmtId="2" fontId="6" fillId="0" borderId="0" xfId="1" applyNumberFormat="1" applyFont="1" applyFill="1" applyAlignment="1">
      <alignment vertical="center"/>
    </xf>
    <xf numFmtId="199" fontId="77" fillId="0" borderId="26" xfId="0" applyNumberFormat="1" applyFont="1" applyFill="1" applyBorder="1" applyAlignment="1">
      <alignment vertical="top"/>
    </xf>
    <xf numFmtId="1" fontId="74" fillId="0" borderId="0" xfId="1" applyNumberFormat="1" applyFont="1" applyFill="1" applyBorder="1"/>
    <xf numFmtId="1" fontId="74" fillId="0" borderId="0" xfId="32660" applyNumberFormat="1" applyFont="1" applyFill="1" applyBorder="1"/>
    <xf numFmtId="0" fontId="74" fillId="0" borderId="0" xfId="1" applyFont="1" applyFill="1" applyAlignment="1">
      <alignment horizontal="right"/>
    </xf>
    <xf numFmtId="201" fontId="74" fillId="0" borderId="0" xfId="1" applyNumberFormat="1" applyFont="1" applyFill="1" applyAlignment="1">
      <alignment horizontal="right"/>
    </xf>
    <xf numFmtId="200" fontId="74" fillId="0" borderId="0" xfId="1" applyNumberFormat="1" applyFont="1" applyFill="1" applyAlignment="1">
      <alignment vertical="center"/>
    </xf>
    <xf numFmtId="3" fontId="83" fillId="2" borderId="23" xfId="1" applyNumberFormat="1" applyFont="1" applyFill="1" applyBorder="1" applyAlignment="1">
      <alignment horizontal="right" vertical="center"/>
    </xf>
    <xf numFmtId="3" fontId="75" fillId="2" borderId="23" xfId="1" applyNumberFormat="1" applyFont="1" applyFill="1" applyBorder="1" applyAlignment="1">
      <alignment horizontal="right" vertical="center"/>
    </xf>
    <xf numFmtId="199" fontId="77" fillId="0" borderId="0" xfId="0" applyNumberFormat="1" applyFont="1" applyFill="1" applyBorder="1" applyAlignment="1">
      <alignment vertical="top"/>
    </xf>
    <xf numFmtId="0" fontId="11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19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9" fontId="75" fillId="36" borderId="2" xfId="32660" applyFont="1" applyFill="1" applyBorder="1" applyAlignment="1">
      <alignment horizontal="right" vertical="center" wrapText="1"/>
    </xf>
    <xf numFmtId="1" fontId="77" fillId="0" borderId="26" xfId="0" applyNumberFormat="1" applyFont="1" applyFill="1" applyBorder="1" applyAlignment="1"/>
    <xf numFmtId="0" fontId="12" fillId="0" borderId="0" xfId="1" applyFont="1" applyFill="1" applyAlignment="1">
      <alignment vertical="center"/>
    </xf>
    <xf numFmtId="168" fontId="6" fillId="0" borderId="2" xfId="1" applyNumberFormat="1" applyFont="1" applyFill="1" applyBorder="1" applyAlignment="1">
      <alignment horizontal="right" vertical="center" wrapText="1"/>
    </xf>
    <xf numFmtId="3" fontId="84" fillId="0" borderId="0" xfId="1" applyNumberFormat="1" applyFont="1" applyFill="1" applyAlignment="1">
      <alignment wrapText="1"/>
    </xf>
    <xf numFmtId="3" fontId="84" fillId="0" borderId="0" xfId="1" applyNumberFormat="1" applyFont="1" applyFill="1" applyAlignment="1">
      <alignment horizontal="right"/>
    </xf>
    <xf numFmtId="0" fontId="84" fillId="0" borderId="0" xfId="1" applyFont="1" applyFill="1" applyAlignment="1">
      <alignment wrapText="1"/>
    </xf>
    <xf numFmtId="0" fontId="84" fillId="0" borderId="0" xfId="1" applyFont="1" applyFill="1"/>
    <xf numFmtId="1" fontId="77" fillId="0" borderId="0" xfId="0" applyNumberFormat="1" applyFont="1" applyFill="1" applyBorder="1" applyAlignment="1"/>
    <xf numFmtId="4" fontId="6" fillId="0" borderId="0" xfId="1" applyNumberFormat="1" applyFont="1" applyFill="1" applyAlignment="1">
      <alignment horizontal="right"/>
    </xf>
    <xf numFmtId="4" fontId="6" fillId="0" borderId="0" xfId="1" applyNumberFormat="1" applyFont="1" applyFill="1"/>
    <xf numFmtId="4" fontId="74" fillId="0" borderId="0" xfId="1" applyNumberFormat="1" applyFont="1" applyFill="1" applyAlignment="1">
      <alignment horizontal="right"/>
    </xf>
    <xf numFmtId="4" fontId="8" fillId="0" borderId="0" xfId="1" applyNumberFormat="1" applyFont="1" applyFill="1"/>
    <xf numFmtId="168" fontId="9" fillId="0" borderId="0" xfId="1" applyNumberFormat="1" applyFont="1" applyFill="1" applyAlignment="1">
      <alignment horizontal="left"/>
    </xf>
    <xf numFmtId="4" fontId="6" fillId="0" borderId="0" xfId="1" applyNumberFormat="1" applyFont="1" applyFill="1" applyAlignment="1">
      <alignment horizontal="left"/>
    </xf>
    <xf numFmtId="4" fontId="84" fillId="0" borderId="0" xfId="1" applyNumberFormat="1" applyFont="1" applyFill="1" applyAlignment="1">
      <alignment horizontal="right"/>
    </xf>
    <xf numFmtId="4" fontId="84" fillId="0" borderId="0" xfId="1" applyNumberFormat="1" applyFont="1" applyFill="1"/>
    <xf numFmtId="3" fontId="6" fillId="0" borderId="0" xfId="1" applyNumberFormat="1" applyFont="1" applyFill="1"/>
    <xf numFmtId="9" fontId="75" fillId="36" borderId="23" xfId="32660" applyFont="1" applyFill="1" applyBorder="1" applyAlignment="1">
      <alignment horizontal="right" wrapText="1"/>
    </xf>
    <xf numFmtId="0" fontId="75" fillId="0" borderId="0" xfId="1" applyFont="1" applyFill="1" applyAlignment="1"/>
    <xf numFmtId="9" fontId="75" fillId="36" borderId="2" xfId="32660" applyFont="1" applyFill="1" applyBorder="1" applyAlignment="1">
      <alignment horizontal="right" wrapText="1"/>
    </xf>
    <xf numFmtId="167" fontId="75" fillId="36" borderId="23" xfId="32660" applyNumberFormat="1" applyFont="1" applyFill="1" applyBorder="1" applyAlignment="1">
      <alignment horizontal="right" wrapText="1"/>
    </xf>
    <xf numFmtId="9" fontId="6" fillId="0" borderId="0" xfId="1" applyNumberFormat="1" applyFont="1" applyFill="1" applyAlignment="1">
      <alignment vertical="center"/>
    </xf>
    <xf numFmtId="202" fontId="6" fillId="0" borderId="0" xfId="32660" applyNumberFormat="1" applyFont="1" applyFill="1" applyAlignment="1">
      <alignment vertical="center"/>
    </xf>
    <xf numFmtId="203" fontId="52" fillId="0" borderId="0" xfId="1" applyNumberFormat="1" applyFont="1" applyFill="1" applyAlignment="1">
      <alignment vertical="center"/>
    </xf>
    <xf numFmtId="0" fontId="6" fillId="0" borderId="2" xfId="1" applyFont="1" applyFill="1" applyBorder="1"/>
    <xf numFmtId="3" fontId="6" fillId="0" borderId="2" xfId="129" applyNumberFormat="1" applyFont="1" applyFill="1" applyBorder="1" applyAlignment="1">
      <alignment horizontal="right" vertical="center" wrapText="1"/>
    </xf>
    <xf numFmtId="3" fontId="8" fillId="0" borderId="2" xfId="1" applyNumberFormat="1" applyFont="1" applyFill="1" applyBorder="1" applyAlignment="1">
      <alignment horizontal="right" vertical="center" wrapText="1"/>
    </xf>
    <xf numFmtId="9" fontId="6" fillId="0" borderId="0" xfId="32660" applyFont="1" applyFill="1" applyAlignment="1">
      <alignment vertical="center"/>
    </xf>
    <xf numFmtId="204" fontId="6" fillId="0" borderId="0" xfId="1" applyNumberFormat="1" applyFont="1" applyFill="1" applyAlignment="1">
      <alignment vertical="center"/>
    </xf>
    <xf numFmtId="9" fontId="11" fillId="0" borderId="0" xfId="32660" applyFont="1" applyFill="1" applyAlignment="1">
      <alignment vertical="center"/>
    </xf>
    <xf numFmtId="205" fontId="11" fillId="0" borderId="0" xfId="1" applyNumberFormat="1" applyFont="1" applyFill="1" applyAlignment="1">
      <alignment vertical="center"/>
    </xf>
    <xf numFmtId="0" fontId="6" fillId="0" borderId="0" xfId="1" applyFont="1" applyFill="1" applyAlignment="1"/>
    <xf numFmtId="0" fontId="14" fillId="0" borderId="0" xfId="1" applyFont="1" applyFill="1" applyAlignment="1">
      <alignment vertical="center"/>
    </xf>
    <xf numFmtId="206" fontId="74" fillId="0" borderId="0" xfId="1" applyNumberFormat="1" applyFont="1" applyFill="1" applyAlignment="1">
      <alignment vertical="center"/>
    </xf>
    <xf numFmtId="207" fontId="74" fillId="0" borderId="0" xfId="1" applyNumberFormat="1" applyFont="1" applyFill="1" applyAlignment="1">
      <alignment vertical="center"/>
    </xf>
    <xf numFmtId="9" fontId="75" fillId="36" borderId="2" xfId="32660" applyFont="1" applyFill="1" applyBorder="1" applyAlignment="1">
      <alignment horizontal="right"/>
    </xf>
    <xf numFmtId="9" fontId="75" fillId="35" borderId="2" xfId="32660" applyFont="1" applyFill="1" applyBorder="1" applyAlignment="1">
      <alignment horizontal="right" vertical="center"/>
    </xf>
    <xf numFmtId="3" fontId="12" fillId="35" borderId="2" xfId="1" applyNumberFormat="1" applyFont="1" applyFill="1" applyBorder="1" applyAlignment="1">
      <alignment horizontal="right" vertical="center"/>
    </xf>
    <xf numFmtId="9" fontId="81" fillId="35" borderId="2" xfId="1" applyNumberFormat="1" applyFont="1" applyFill="1" applyBorder="1" applyAlignment="1">
      <alignment horizontal="right" vertical="center"/>
    </xf>
    <xf numFmtId="207" fontId="7" fillId="0" borderId="0" xfId="1" applyNumberFormat="1" applyFont="1" applyFill="1" applyAlignment="1">
      <alignment vertical="center"/>
    </xf>
    <xf numFmtId="3" fontId="14" fillId="0" borderId="0" xfId="1" applyNumberFormat="1" applyFont="1" applyFill="1" applyAlignment="1">
      <alignment vertical="center"/>
    </xf>
    <xf numFmtId="0" fontId="14" fillId="0" borderId="0" xfId="1" applyFont="1" applyFill="1" applyAlignment="1">
      <alignment horizontal="center" vertical="center"/>
    </xf>
    <xf numFmtId="0" fontId="14" fillId="0" borderId="0" xfId="1" applyFont="1" applyFill="1"/>
    <xf numFmtId="206" fontId="74" fillId="0" borderId="0" xfId="1" applyNumberFormat="1" applyFont="1" applyFill="1"/>
    <xf numFmtId="0" fontId="9" fillId="0" borderId="0" xfId="1" applyFont="1" applyFill="1" applyBorder="1" applyAlignment="1">
      <alignment horizontal="center" vertical="center" wrapText="1"/>
    </xf>
    <xf numFmtId="0" fontId="11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19" xfId="1" applyFont="1" applyFill="1" applyBorder="1" applyAlignment="1">
      <alignment horizontal="center" vertical="center" wrapText="1"/>
    </xf>
    <xf numFmtId="0" fontId="6" fillId="36" borderId="2" xfId="1" applyFont="1" applyFill="1" applyBorder="1"/>
    <xf numFmtId="0" fontId="6" fillId="36" borderId="2" xfId="1" applyFont="1" applyFill="1" applyBorder="1" applyAlignment="1">
      <alignment horizontal="right"/>
    </xf>
    <xf numFmtId="9" fontId="9" fillId="36" borderId="2" xfId="32660" applyFont="1" applyFill="1" applyBorder="1" applyAlignment="1">
      <alignment horizontal="right"/>
    </xf>
    <xf numFmtId="3" fontId="11" fillId="2" borderId="2" xfId="1" applyNumberFormat="1" applyFont="1" applyFill="1" applyBorder="1" applyAlignment="1">
      <alignment horizontal="right" vertical="center" wrapText="1"/>
    </xf>
    <xf numFmtId="0" fontId="11" fillId="0" borderId="0" xfId="1" applyFont="1" applyFill="1" applyBorder="1" applyAlignment="1">
      <alignment horizontal="left"/>
    </xf>
    <xf numFmtId="0" fontId="11" fillId="0" borderId="0" xfId="1" applyFont="1" applyFill="1" applyAlignment="1">
      <alignment horizontal="left"/>
    </xf>
    <xf numFmtId="0" fontId="11" fillId="0" borderId="2" xfId="1" applyFont="1" applyFill="1" applyBorder="1" applyAlignment="1">
      <alignment horizontal="left"/>
    </xf>
    <xf numFmtId="0" fontId="11" fillId="0" borderId="2" xfId="1" applyFont="1" applyFill="1" applyBorder="1" applyAlignment="1">
      <alignment horizontal="left" vertical="center"/>
    </xf>
    <xf numFmtId="0" fontId="75" fillId="0" borderId="2" xfId="1" applyFont="1" applyFill="1" applyBorder="1" applyAlignment="1">
      <alignment horizontal="left" vertical="center"/>
    </xf>
    <xf numFmtId="3" fontId="75" fillId="0" borderId="2" xfId="1" applyNumberFormat="1" applyFont="1" applyFill="1" applyBorder="1" applyAlignment="1">
      <alignment horizontal="left" vertical="center"/>
    </xf>
    <xf numFmtId="4" fontId="11" fillId="0" borderId="2" xfId="1" applyNumberFormat="1" applyFont="1" applyFill="1" applyBorder="1" applyAlignment="1">
      <alignment horizontal="left" vertical="center"/>
    </xf>
    <xf numFmtId="3" fontId="11" fillId="0" borderId="2" xfId="1" applyNumberFormat="1" applyFont="1" applyFill="1" applyBorder="1" applyAlignment="1">
      <alignment horizontal="left" vertical="center"/>
    </xf>
    <xf numFmtId="0" fontId="14" fillId="0" borderId="2" xfId="1" applyFont="1" applyFill="1" applyBorder="1" applyAlignment="1">
      <alignment horizontal="left" wrapText="1"/>
    </xf>
    <xf numFmtId="0" fontId="14" fillId="0" borderId="2" xfId="1" applyFont="1" applyFill="1" applyBorder="1" applyAlignment="1">
      <alignment horizontal="left" vertical="center" wrapText="1"/>
    </xf>
    <xf numFmtId="0" fontId="8" fillId="0" borderId="2" xfId="1" applyFont="1" applyFill="1" applyBorder="1" applyAlignment="1">
      <alignment horizontal="left" vertical="center" wrapText="1"/>
    </xf>
    <xf numFmtId="0" fontId="80" fillId="0" borderId="2" xfId="0" applyFont="1" applyBorder="1" applyAlignment="1">
      <alignment horizontal="left" vertical="center" wrapText="1"/>
    </xf>
    <xf numFmtId="0" fontId="80" fillId="0" borderId="2" xfId="0" applyFont="1" applyBorder="1" applyAlignment="1">
      <alignment horizontal="left" wrapText="1"/>
    </xf>
    <xf numFmtId="3" fontId="14" fillId="0" borderId="2" xfId="1" applyNumberFormat="1" applyFont="1" applyFill="1" applyBorder="1" applyAlignment="1">
      <alignment horizontal="left" vertical="center" wrapText="1"/>
    </xf>
    <xf numFmtId="4" fontId="14" fillId="0" borderId="2" xfId="1" applyNumberFormat="1" applyFont="1" applyFill="1" applyBorder="1" applyAlignment="1">
      <alignment horizontal="left" vertical="center" wrapText="1"/>
    </xf>
    <xf numFmtId="0" fontId="80" fillId="0" borderId="2" xfId="0" applyFont="1" applyBorder="1" applyAlignment="1">
      <alignment horizontal="left" vertical="top" wrapText="1"/>
    </xf>
    <xf numFmtId="0" fontId="80" fillId="0" borderId="0" xfId="0" applyFont="1" applyAlignment="1">
      <alignment horizontal="left" vertical="top" wrapText="1"/>
    </xf>
    <xf numFmtId="0" fontId="80" fillId="0" borderId="2" xfId="1" applyFont="1" applyFill="1" applyBorder="1" applyAlignment="1">
      <alignment horizontal="left" vertical="center" wrapText="1"/>
    </xf>
    <xf numFmtId="0" fontId="80" fillId="0" borderId="2" xfId="1" applyFont="1" applyFill="1" applyBorder="1" applyAlignment="1">
      <alignment horizontal="left" vertical="top" wrapText="1"/>
    </xf>
    <xf numFmtId="0" fontId="80" fillId="0" borderId="2" xfId="1" applyFont="1" applyFill="1" applyBorder="1" applyAlignment="1">
      <alignment horizontal="left" wrapText="1"/>
    </xf>
    <xf numFmtId="0" fontId="10" fillId="0" borderId="0" xfId="0" applyFont="1" applyAlignment="1">
      <alignment horizontal="right" vertical="center"/>
    </xf>
    <xf numFmtId="0" fontId="88" fillId="0" borderId="0" xfId="0" applyFont="1" applyAlignment="1">
      <alignment vertical="center"/>
    </xf>
    <xf numFmtId="196" fontId="75" fillId="36" borderId="28" xfId="160" applyNumberFormat="1" applyFont="1" applyFill="1" applyBorder="1" applyAlignment="1">
      <alignment wrapText="1"/>
    </xf>
    <xf numFmtId="9" fontId="75" fillId="36" borderId="29" xfId="32660" applyFont="1" applyFill="1" applyBorder="1" applyAlignment="1">
      <alignment horizontal="right"/>
    </xf>
    <xf numFmtId="9" fontId="75" fillId="36" borderId="29" xfId="32660" applyFont="1" applyFill="1" applyBorder="1" applyAlignment="1">
      <alignment horizontal="right" wrapText="1"/>
    </xf>
    <xf numFmtId="0" fontId="6" fillId="0" borderId="30" xfId="1" applyFont="1" applyFill="1" applyBorder="1" applyAlignment="1"/>
    <xf numFmtId="9" fontId="75" fillId="36" borderId="31" xfId="32660" applyFont="1" applyFill="1" applyBorder="1" applyAlignment="1">
      <alignment horizontal="right" wrapText="1"/>
    </xf>
    <xf numFmtId="196" fontId="75" fillId="36" borderId="32" xfId="160" applyNumberFormat="1" applyFont="1" applyFill="1" applyBorder="1" applyAlignment="1">
      <alignment wrapText="1"/>
    </xf>
    <xf numFmtId="9" fontId="75" fillId="36" borderId="33" xfId="32660" applyFont="1" applyFill="1" applyBorder="1" applyAlignment="1">
      <alignment horizontal="right"/>
    </xf>
    <xf numFmtId="3" fontId="75" fillId="36" borderId="33" xfId="32660" applyNumberFormat="1" applyFont="1" applyFill="1" applyBorder="1" applyAlignment="1">
      <alignment horizontal="right"/>
    </xf>
    <xf numFmtId="3" fontId="6" fillId="0" borderId="34" xfId="1" applyNumberFormat="1" applyFont="1" applyFill="1" applyBorder="1" applyAlignment="1"/>
    <xf numFmtId="3" fontId="75" fillId="36" borderId="33" xfId="32660" applyNumberFormat="1" applyFont="1" applyFill="1" applyBorder="1" applyAlignment="1">
      <alignment horizontal="right" wrapText="1"/>
    </xf>
    <xf numFmtId="3" fontId="75" fillId="36" borderId="35" xfId="32660" applyNumberFormat="1" applyFont="1" applyFill="1" applyBorder="1" applyAlignment="1">
      <alignment horizontal="right" wrapText="1"/>
    </xf>
    <xf numFmtId="196" fontId="75" fillId="36" borderId="28" xfId="160" applyNumberFormat="1" applyFont="1" applyFill="1" applyBorder="1" applyAlignment="1"/>
    <xf numFmtId="196" fontId="75" fillId="36" borderId="32" xfId="160" applyNumberFormat="1" applyFont="1" applyFill="1" applyBorder="1" applyAlignment="1"/>
    <xf numFmtId="3" fontId="75" fillId="36" borderId="35" xfId="32660" applyNumberFormat="1" applyFont="1" applyFill="1" applyBorder="1" applyAlignment="1">
      <alignment horizontal="right"/>
    </xf>
    <xf numFmtId="196" fontId="75" fillId="36" borderId="36" xfId="160" applyNumberFormat="1" applyFont="1" applyFill="1" applyBorder="1" applyAlignment="1">
      <alignment wrapText="1"/>
    </xf>
    <xf numFmtId="9" fontId="75" fillId="36" borderId="37" xfId="32660" applyFont="1" applyFill="1" applyBorder="1" applyAlignment="1">
      <alignment horizontal="right"/>
    </xf>
    <xf numFmtId="3" fontId="75" fillId="36" borderId="37" xfId="32660" applyNumberFormat="1" applyFont="1" applyFill="1" applyBorder="1" applyAlignment="1">
      <alignment horizontal="right"/>
    </xf>
    <xf numFmtId="3" fontId="75" fillId="36" borderId="38" xfId="32660" applyNumberFormat="1" applyFont="1" applyFill="1" applyBorder="1" applyAlignment="1">
      <alignment horizontal="right"/>
    </xf>
    <xf numFmtId="196" fontId="75" fillId="36" borderId="36" xfId="160" applyNumberFormat="1" applyFont="1" applyFill="1" applyBorder="1" applyAlignment="1"/>
    <xf numFmtId="2" fontId="75" fillId="36" borderId="37" xfId="32660" applyNumberFormat="1" applyFont="1" applyFill="1" applyBorder="1" applyAlignment="1">
      <alignment horizontal="right"/>
    </xf>
    <xf numFmtId="2" fontId="75" fillId="36" borderId="37" xfId="32660" applyNumberFormat="1" applyFont="1" applyFill="1" applyBorder="1" applyAlignment="1">
      <alignment horizontal="right" wrapText="1"/>
    </xf>
    <xf numFmtId="2" fontId="6" fillId="0" borderId="34" xfId="1" applyNumberFormat="1" applyFont="1" applyFill="1" applyBorder="1" applyAlignment="1"/>
    <xf numFmtId="2" fontId="75" fillId="36" borderId="38" xfId="32660" applyNumberFormat="1" applyFont="1" applyFill="1" applyBorder="1" applyAlignment="1">
      <alignment horizontal="right" wrapText="1"/>
    </xf>
    <xf numFmtId="0" fontId="75" fillId="0" borderId="0" xfId="1" applyFont="1" applyFill="1" applyAlignment="1">
      <alignment horizontal="right"/>
    </xf>
    <xf numFmtId="9" fontId="6" fillId="0" borderId="0" xfId="32660" applyFont="1" applyFill="1" applyAlignment="1">
      <alignment horizontal="right"/>
    </xf>
    <xf numFmtId="9" fontId="11" fillId="0" borderId="0" xfId="32660" applyFont="1" applyFill="1" applyAlignment="1">
      <alignment horizontal="right"/>
    </xf>
    <xf numFmtId="3" fontId="11" fillId="0" borderId="0" xfId="1" applyNumberFormat="1" applyFont="1" applyFill="1" applyAlignment="1">
      <alignment horizontal="right"/>
    </xf>
    <xf numFmtId="3" fontId="6" fillId="38" borderId="0" xfId="1" applyNumberFormat="1" applyFont="1" applyFill="1" applyAlignment="1">
      <alignment vertical="center"/>
    </xf>
    <xf numFmtId="208" fontId="14" fillId="0" borderId="0" xfId="1" applyNumberFormat="1" applyFont="1" applyFill="1" applyAlignment="1">
      <alignment vertical="center"/>
    </xf>
    <xf numFmtId="200" fontId="6" fillId="0" borderId="0" xfId="1" applyNumberFormat="1" applyFont="1" applyFill="1" applyAlignment="1">
      <alignment vertical="center"/>
    </xf>
    <xf numFmtId="208" fontId="6" fillId="0" borderId="0" xfId="1" applyNumberFormat="1" applyFont="1" applyFill="1" applyAlignment="1">
      <alignment vertical="center"/>
    </xf>
    <xf numFmtId="209" fontId="6" fillId="0" borderId="0" xfId="1" applyNumberFormat="1" applyFont="1" applyFill="1" applyAlignment="1">
      <alignment vertical="center"/>
    </xf>
    <xf numFmtId="3" fontId="12" fillId="38" borderId="2" xfId="1" applyNumberFormat="1" applyFont="1" applyFill="1" applyBorder="1" applyAlignment="1">
      <alignment horizontal="right" vertical="center" wrapText="1"/>
    </xf>
    <xf numFmtId="3" fontId="6" fillId="38" borderId="2" xfId="1" applyNumberFormat="1" applyFont="1" applyFill="1" applyBorder="1" applyAlignment="1">
      <alignment horizontal="right" vertical="center" wrapText="1"/>
    </xf>
    <xf numFmtId="3" fontId="9" fillId="38" borderId="2" xfId="1" applyNumberFormat="1" applyFont="1" applyFill="1" applyBorder="1" applyAlignment="1">
      <alignment horizontal="right" vertical="center" wrapText="1"/>
    </xf>
    <xf numFmtId="0" fontId="85" fillId="0" borderId="0" xfId="1" applyFont="1" applyFill="1" applyBorder="1"/>
    <xf numFmtId="0" fontId="85" fillId="0" borderId="0" xfId="1" applyFont="1" applyFill="1"/>
    <xf numFmtId="0" fontId="89" fillId="0" borderId="0" xfId="1" applyFont="1" applyFill="1"/>
    <xf numFmtId="3" fontId="85" fillId="0" borderId="0" xfId="1" applyNumberFormat="1" applyFont="1" applyFill="1" applyAlignment="1">
      <alignment vertical="center"/>
    </xf>
    <xf numFmtId="209" fontId="85" fillId="0" borderId="0" xfId="1" applyNumberFormat="1" applyFont="1" applyFill="1" applyAlignment="1">
      <alignment vertical="center"/>
    </xf>
    <xf numFmtId="206" fontId="89" fillId="0" borderId="0" xfId="1" applyNumberFormat="1" applyFont="1" applyFill="1" applyAlignment="1">
      <alignment vertical="center"/>
    </xf>
    <xf numFmtId="9" fontId="85" fillId="0" borderId="0" xfId="32660" applyFont="1" applyFill="1" applyAlignment="1">
      <alignment vertical="center"/>
    </xf>
    <xf numFmtId="9" fontId="85" fillId="0" borderId="0" xfId="1" applyNumberFormat="1" applyFont="1" applyFill="1" applyAlignment="1">
      <alignment vertical="center"/>
    </xf>
    <xf numFmtId="200" fontId="85" fillId="0" borderId="0" xfId="1" applyNumberFormat="1" applyFont="1" applyFill="1" applyAlignment="1">
      <alignment vertical="center"/>
    </xf>
    <xf numFmtId="3" fontId="90" fillId="0" borderId="0" xfId="1" applyNumberFormat="1" applyFont="1" applyFill="1" applyAlignment="1">
      <alignment vertical="center"/>
    </xf>
    <xf numFmtId="3" fontId="81" fillId="0" borderId="0" xfId="1" applyNumberFormat="1" applyFont="1" applyFill="1" applyAlignment="1">
      <alignment vertical="center"/>
    </xf>
    <xf numFmtId="0" fontId="81" fillId="0" borderId="0" xfId="1" applyFont="1" applyFill="1"/>
    <xf numFmtId="206" fontId="89" fillId="0" borderId="0" xfId="1" applyNumberFormat="1" applyFont="1" applyFill="1"/>
    <xf numFmtId="0" fontId="6" fillId="38" borderId="0" xfId="1" applyFont="1" applyFill="1" applyAlignment="1">
      <alignment vertical="center"/>
    </xf>
    <xf numFmtId="0" fontId="6" fillId="38" borderId="0" xfId="1" applyFont="1" applyFill="1" applyAlignment="1">
      <alignment horizontal="center" vertical="center"/>
    </xf>
    <xf numFmtId="3" fontId="9" fillId="38" borderId="2" xfId="1" applyNumberFormat="1" applyFont="1" applyFill="1" applyBorder="1" applyAlignment="1">
      <alignment horizontal="right" vertical="center"/>
    </xf>
    <xf numFmtId="3" fontId="6" fillId="38" borderId="2" xfId="1" applyNumberFormat="1" applyFont="1" applyFill="1" applyBorder="1" applyAlignment="1">
      <alignment horizontal="right" vertical="center"/>
    </xf>
    <xf numFmtId="200" fontId="91" fillId="0" borderId="0" xfId="1" applyNumberFormat="1" applyFont="1" applyFill="1" applyAlignment="1">
      <alignment vertical="center"/>
    </xf>
    <xf numFmtId="0" fontId="11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19" xfId="1" applyFont="1" applyFill="1" applyBorder="1" applyAlignment="1">
      <alignment horizontal="center" vertical="center" wrapText="1"/>
    </xf>
    <xf numFmtId="0" fontId="74" fillId="0" borderId="23" xfId="1" applyFont="1" applyFill="1" applyBorder="1" applyAlignment="1">
      <alignment horizontal="right" vertical="top" wrapText="1"/>
    </xf>
    <xf numFmtId="3" fontId="9" fillId="0" borderId="23" xfId="2" applyNumberFormat="1" applyFont="1" applyFill="1" applyBorder="1" applyAlignment="1">
      <alignment horizontal="right" vertical="center" wrapText="1"/>
    </xf>
    <xf numFmtId="3" fontId="6" fillId="0" borderId="23" xfId="2" applyNumberFormat="1" applyFont="1" applyFill="1" applyBorder="1" applyAlignment="1">
      <alignment horizontal="right" vertical="center" wrapText="1"/>
    </xf>
    <xf numFmtId="3" fontId="6" fillId="0" borderId="23" xfId="129" applyNumberFormat="1" applyFont="1" applyFill="1" applyBorder="1" applyAlignment="1">
      <alignment horizontal="right" vertical="center" wrapText="1"/>
    </xf>
    <xf numFmtId="3" fontId="9" fillId="0" borderId="0" xfId="1" applyNumberFormat="1" applyFont="1" applyFill="1" applyBorder="1" applyAlignment="1">
      <alignment horizontal="right" vertical="center" wrapText="1"/>
    </xf>
    <xf numFmtId="9" fontId="9" fillId="36" borderId="19" xfId="32660" applyNumberFormat="1" applyFont="1" applyFill="1" applyBorder="1" applyAlignment="1">
      <alignment horizontal="right" wrapText="1"/>
    </xf>
    <xf numFmtId="9" fontId="9" fillId="36" borderId="19" xfId="2" applyNumberFormat="1" applyFont="1" applyFill="1" applyBorder="1" applyAlignment="1">
      <alignment horizontal="right" wrapText="1"/>
    </xf>
    <xf numFmtId="0" fontId="11" fillId="0" borderId="39" xfId="1" applyFont="1" applyFill="1" applyBorder="1"/>
    <xf numFmtId="195" fontId="74" fillId="0" borderId="0" xfId="1" applyNumberFormat="1" applyFont="1" applyFill="1" applyAlignment="1">
      <alignment vertical="center"/>
    </xf>
    <xf numFmtId="4" fontId="74" fillId="0" borderId="0" xfId="1" applyNumberFormat="1" applyFont="1" applyFill="1" applyAlignment="1">
      <alignment vertical="center"/>
    </xf>
    <xf numFmtId="201" fontId="92" fillId="0" borderId="0" xfId="1" applyNumberFormat="1" applyFont="1" applyFill="1" applyAlignment="1">
      <alignment vertical="center"/>
    </xf>
    <xf numFmtId="3" fontId="85" fillId="0" borderId="0" xfId="1" applyNumberFormat="1" applyFont="1" applyFill="1"/>
    <xf numFmtId="3" fontId="81" fillId="0" borderId="0" xfId="1" applyNumberFormat="1" applyFont="1" applyFill="1" applyBorder="1" applyAlignment="1">
      <alignment horizontal="right" vertical="center" wrapText="1"/>
    </xf>
    <xf numFmtId="3" fontId="84" fillId="0" borderId="0" xfId="1" applyNumberFormat="1" applyFont="1" applyFill="1" applyBorder="1" applyAlignment="1">
      <alignment horizontal="right" vertical="center" wrapText="1"/>
    </xf>
    <xf numFmtId="3" fontId="84" fillId="0" borderId="0" xfId="1" applyNumberFormat="1" applyFont="1" applyFill="1" applyBorder="1" applyAlignment="1">
      <alignment horizontal="right" vertical="center"/>
    </xf>
    <xf numFmtId="209" fontId="81" fillId="0" borderId="0" xfId="1" applyNumberFormat="1" applyFont="1" applyFill="1" applyAlignment="1">
      <alignment horizontal="center" vertical="center"/>
    </xf>
    <xf numFmtId="0" fontId="9" fillId="0" borderId="2" xfId="1" applyFont="1" applyFill="1" applyBorder="1" applyAlignment="1">
      <alignment horizontal="center" vertical="center" wrapText="1"/>
    </xf>
    <xf numFmtId="0" fontId="11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9" fillId="0" borderId="19" xfId="1" applyFont="1" applyFill="1" applyBorder="1" applyAlignment="1">
      <alignment horizontal="center" vertical="center" wrapText="1"/>
    </xf>
    <xf numFmtId="0" fontId="11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199" fontId="77" fillId="0" borderId="24" xfId="0" applyNumberFormat="1" applyFont="1" applyFill="1" applyBorder="1" applyAlignment="1">
      <alignment vertical="top"/>
    </xf>
    <xf numFmtId="0" fontId="6" fillId="0" borderId="19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vertical="center"/>
    </xf>
    <xf numFmtId="3" fontId="6" fillId="0" borderId="19" xfId="112" applyNumberFormat="1" applyFont="1" applyFill="1" applyBorder="1" applyAlignment="1">
      <alignment horizontal="right" vertical="center"/>
    </xf>
    <xf numFmtId="3" fontId="6" fillId="0" borderId="2" xfId="2" applyNumberFormat="1" applyFont="1" applyFill="1" applyBorder="1" applyAlignment="1">
      <alignment horizontal="right" vertical="center"/>
    </xf>
    <xf numFmtId="168" fontId="6" fillId="0" borderId="2" xfId="1" applyNumberFormat="1" applyFont="1" applyFill="1" applyBorder="1" applyAlignment="1">
      <alignment horizontal="right" vertical="center"/>
    </xf>
    <xf numFmtId="3" fontId="6" fillId="0" borderId="19" xfId="129" applyNumberFormat="1" applyFont="1" applyFill="1" applyBorder="1" applyAlignment="1">
      <alignment horizontal="right" vertical="center"/>
    </xf>
    <xf numFmtId="3" fontId="6" fillId="0" borderId="2" xfId="129" applyNumberFormat="1" applyFont="1" applyFill="1" applyBorder="1" applyAlignment="1">
      <alignment horizontal="right" vertical="center"/>
    </xf>
    <xf numFmtId="0" fontId="75" fillId="39" borderId="2" xfId="1" applyFont="1" applyFill="1" applyBorder="1" applyAlignment="1">
      <alignment horizontal="center" vertical="center" wrapText="1"/>
    </xf>
    <xf numFmtId="3" fontId="9" fillId="39" borderId="2" xfId="2" applyNumberFormat="1" applyFont="1" applyFill="1" applyBorder="1" applyAlignment="1">
      <alignment horizontal="right" vertical="center"/>
    </xf>
    <xf numFmtId="0" fontId="9" fillId="0" borderId="0" xfId="1" applyFont="1" applyFill="1" applyBorder="1" applyAlignment="1">
      <alignment horizontal="left" vertical="center"/>
    </xf>
    <xf numFmtId="0" fontId="76" fillId="0" borderId="0" xfId="1" applyFont="1" applyFill="1" applyBorder="1" applyAlignment="1">
      <alignment horizontal="left" vertical="center" wrapText="1"/>
    </xf>
    <xf numFmtId="0" fontId="9" fillId="39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left"/>
    </xf>
    <xf numFmtId="0" fontId="9" fillId="0" borderId="0" xfId="1" applyFont="1" applyFill="1" applyAlignment="1">
      <alignment horizontal="left"/>
    </xf>
    <xf numFmtId="0" fontId="93" fillId="40" borderId="2" xfId="1" applyFont="1" applyFill="1" applyBorder="1" applyAlignment="1">
      <alignment horizontal="center" vertical="center" wrapText="1"/>
    </xf>
    <xf numFmtId="0" fontId="94" fillId="40" borderId="2" xfId="1" applyFont="1" applyFill="1" applyBorder="1" applyAlignment="1">
      <alignment horizontal="left" vertical="center"/>
    </xf>
    <xf numFmtId="3" fontId="94" fillId="40" borderId="2" xfId="2" applyNumberFormat="1" applyFont="1" applyFill="1" applyBorder="1" applyAlignment="1">
      <alignment horizontal="right" vertical="center"/>
    </xf>
    <xf numFmtId="3" fontId="6" fillId="39" borderId="2" xfId="1" applyNumberFormat="1" applyFont="1" applyFill="1" applyBorder="1" applyAlignment="1">
      <alignment horizontal="right" vertical="center"/>
    </xf>
    <xf numFmtId="3" fontId="9" fillId="39" borderId="2" xfId="1" applyNumberFormat="1" applyFont="1" applyFill="1" applyBorder="1" applyAlignment="1">
      <alignment horizontal="right" vertical="center"/>
    </xf>
    <xf numFmtId="0" fontId="6" fillId="39" borderId="0" xfId="1" applyFont="1" applyFill="1" applyAlignment="1">
      <alignment horizontal="center" vertical="center"/>
    </xf>
    <xf numFmtId="3" fontId="9" fillId="39" borderId="23" xfId="1" applyNumberFormat="1" applyFont="1" applyFill="1" applyBorder="1" applyAlignment="1">
      <alignment horizontal="right" vertical="center"/>
    </xf>
    <xf numFmtId="0" fontId="6" fillId="0" borderId="2" xfId="1" applyFont="1" applyFill="1" applyBorder="1" applyAlignment="1">
      <alignment horizontal="left" vertical="center" indent="2"/>
    </xf>
    <xf numFmtId="0" fontId="6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9" fontId="12" fillId="0" borderId="2" xfId="32660" applyFont="1" applyFill="1" applyBorder="1" applyAlignment="1">
      <alignment horizontal="right" vertical="center"/>
    </xf>
    <xf numFmtId="9" fontId="6" fillId="0" borderId="2" xfId="32660" applyFont="1" applyFill="1" applyBorder="1" applyAlignment="1">
      <alignment horizontal="right" vertical="center"/>
    </xf>
    <xf numFmtId="9" fontId="9" fillId="39" borderId="2" xfId="32660" applyFont="1" applyFill="1" applyBorder="1" applyAlignment="1">
      <alignment horizontal="right" vertical="center"/>
    </xf>
    <xf numFmtId="9" fontId="94" fillId="40" borderId="2" xfId="32660" applyFont="1" applyFill="1" applyBorder="1" applyAlignment="1">
      <alignment horizontal="right" vertical="center"/>
    </xf>
    <xf numFmtId="0" fontId="8" fillId="0" borderId="19" xfId="0" applyFont="1" applyFill="1" applyBorder="1" applyAlignment="1">
      <alignment horizontal="center" vertical="center" wrapText="1"/>
    </xf>
    <xf numFmtId="0" fontId="95" fillId="0" borderId="0" xfId="32653" applyFont="1"/>
    <xf numFmtId="0" fontId="96" fillId="0" borderId="2" xfId="32653" applyFont="1" applyBorder="1" applyAlignment="1">
      <alignment horizontal="center" vertical="center" wrapText="1"/>
    </xf>
    <xf numFmtId="9" fontId="96" fillId="41" borderId="2" xfId="32653" applyNumberFormat="1" applyFont="1" applyFill="1" applyBorder="1" applyAlignment="1">
      <alignment wrapText="1"/>
    </xf>
    <xf numFmtId="0" fontId="95" fillId="0" borderId="2" xfId="32653" applyFont="1" applyBorder="1" applyAlignment="1">
      <alignment horizontal="left" vertical="center" wrapText="1"/>
    </xf>
    <xf numFmtId="3" fontId="95" fillId="0" borderId="2" xfId="32653" applyNumberFormat="1" applyFont="1" applyBorder="1" applyAlignment="1">
      <alignment horizontal="right" vertical="center" wrapText="1"/>
    </xf>
    <xf numFmtId="3" fontId="95" fillId="0" borderId="18" xfId="32653" applyNumberFormat="1" applyFont="1" applyBorder="1" applyAlignment="1">
      <alignment horizontal="right" vertical="center" wrapText="1"/>
    </xf>
    <xf numFmtId="9" fontId="95" fillId="0" borderId="18" xfId="32653" applyNumberFormat="1" applyFont="1" applyBorder="1" applyAlignment="1">
      <alignment horizontal="right" vertical="center" wrapText="1"/>
    </xf>
    <xf numFmtId="9" fontId="95" fillId="0" borderId="2" xfId="32653" applyNumberFormat="1" applyFont="1" applyFill="1" applyBorder="1" applyAlignment="1">
      <alignment horizontal="left" vertical="center" wrapText="1"/>
    </xf>
    <xf numFmtId="0" fontId="95" fillId="0" borderId="18" xfId="32653" applyFont="1" applyBorder="1" applyAlignment="1">
      <alignment horizontal="left" vertical="center" wrapText="1"/>
    </xf>
    <xf numFmtId="9" fontId="95" fillId="0" borderId="18" xfId="32653" applyNumberFormat="1" applyFont="1" applyFill="1" applyBorder="1" applyAlignment="1">
      <alignment horizontal="left" vertical="center" wrapText="1"/>
    </xf>
    <xf numFmtId="0" fontId="96" fillId="41" borderId="18" xfId="32653" applyFont="1" applyFill="1" applyBorder="1" applyAlignment="1">
      <alignment vertical="center" wrapText="1"/>
    </xf>
    <xf numFmtId="9" fontId="96" fillId="41" borderId="18" xfId="32653" applyNumberFormat="1" applyFont="1" applyFill="1" applyBorder="1" applyAlignment="1">
      <alignment horizontal="right" vertical="center" wrapText="1"/>
    </xf>
    <xf numFmtId="9" fontId="96" fillId="41" borderId="2" xfId="32653" applyNumberFormat="1" applyFont="1" applyFill="1" applyBorder="1" applyAlignment="1">
      <alignment vertical="center" wrapText="1"/>
    </xf>
    <xf numFmtId="9" fontId="95" fillId="0" borderId="2" xfId="32653" applyNumberFormat="1" applyFont="1" applyBorder="1" applyAlignment="1">
      <alignment horizontal="left" vertical="center" wrapText="1"/>
    </xf>
    <xf numFmtId="0" fontId="95" fillId="0" borderId="0" xfId="32653" applyFont="1" applyAlignment="1">
      <alignment horizontal="center"/>
    </xf>
    <xf numFmtId="0" fontId="95" fillId="0" borderId="2" xfId="32653" applyFont="1" applyBorder="1" applyAlignment="1">
      <alignment horizontal="center" vertical="center" wrapText="1"/>
    </xf>
    <xf numFmtId="0" fontId="96" fillId="41" borderId="18" xfId="32653" applyFont="1" applyFill="1" applyBorder="1" applyAlignment="1">
      <alignment horizontal="center" vertical="center" wrapText="1"/>
    </xf>
    <xf numFmtId="0" fontId="96" fillId="0" borderId="0" xfId="32653" applyFont="1"/>
    <xf numFmtId="0" fontId="95" fillId="0" borderId="0" xfId="32653" applyFont="1" applyAlignment="1">
      <alignment vertical="center"/>
    </xf>
    <xf numFmtId="0" fontId="96" fillId="0" borderId="0" xfId="32653" applyFont="1" applyAlignment="1">
      <alignment vertical="center"/>
    </xf>
    <xf numFmtId="0" fontId="95" fillId="0" borderId="0" xfId="32653" applyFont="1" applyFill="1" applyAlignment="1">
      <alignment vertical="center"/>
    </xf>
    <xf numFmtId="0" fontId="95" fillId="0" borderId="2" xfId="32653" applyFont="1" applyFill="1" applyBorder="1" applyAlignment="1">
      <alignment horizontal="center" vertical="center" wrapText="1"/>
    </xf>
    <xf numFmtId="9" fontId="98" fillId="0" borderId="0" xfId="32662" applyFont="1" applyAlignment="1">
      <alignment vertical="center"/>
    </xf>
    <xf numFmtId="0" fontId="96" fillId="0" borderId="0" xfId="32653" applyFont="1" applyFill="1" applyAlignment="1">
      <alignment vertical="center"/>
    </xf>
    <xf numFmtId="0" fontId="95" fillId="0" borderId="2" xfId="32653" applyFont="1" applyBorder="1" applyAlignment="1">
      <alignment vertical="center"/>
    </xf>
    <xf numFmtId="0" fontId="95" fillId="0" borderId="2" xfId="32653" applyFont="1" applyBorder="1" applyAlignment="1">
      <alignment vertical="center" wrapText="1"/>
    </xf>
    <xf numFmtId="0" fontId="95" fillId="0" borderId="2" xfId="32653" applyFont="1" applyBorder="1" applyAlignment="1">
      <alignment horizontal="center" vertical="center"/>
    </xf>
    <xf numFmtId="9" fontId="95" fillId="0" borderId="2" xfId="32653" applyNumberFormat="1" applyFont="1" applyBorder="1" applyAlignment="1">
      <alignment horizontal="right" vertical="center" wrapText="1"/>
    </xf>
    <xf numFmtId="0" fontId="96" fillId="41" borderId="2" xfId="32653" applyFont="1" applyFill="1" applyBorder="1" applyAlignment="1">
      <alignment horizontal="center" vertical="center" wrapText="1"/>
    </xf>
    <xf numFmtId="0" fontId="96" fillId="41" borderId="2" xfId="32653" applyFont="1" applyFill="1" applyBorder="1" applyAlignment="1">
      <alignment vertical="center" wrapText="1"/>
    </xf>
    <xf numFmtId="9" fontId="96" fillId="41" borderId="2" xfId="32653" applyNumberFormat="1" applyFont="1" applyFill="1" applyBorder="1" applyAlignment="1">
      <alignment horizontal="right" vertical="center" wrapText="1"/>
    </xf>
    <xf numFmtId="3" fontId="95" fillId="0" borderId="2" xfId="32653" applyNumberFormat="1" applyFont="1" applyFill="1" applyBorder="1" applyAlignment="1">
      <alignment horizontal="right" vertical="center" wrapText="1"/>
    </xf>
    <xf numFmtId="3" fontId="98" fillId="0" borderId="2" xfId="32653" applyNumberFormat="1" applyFont="1" applyFill="1" applyBorder="1" applyAlignment="1">
      <alignment horizontal="right" vertical="center" wrapText="1"/>
    </xf>
    <xf numFmtId="3" fontId="95" fillId="0" borderId="2" xfId="32653" applyNumberFormat="1" applyFont="1" applyBorder="1" applyAlignment="1">
      <alignment vertical="center"/>
    </xf>
    <xf numFmtId="0" fontId="96" fillId="41" borderId="2" xfId="32653" applyFont="1" applyFill="1" applyBorder="1" applyAlignment="1">
      <alignment wrapText="1"/>
    </xf>
    <xf numFmtId="3" fontId="96" fillId="41" borderId="2" xfId="32653" applyNumberFormat="1" applyFont="1" applyFill="1" applyBorder="1" applyAlignment="1">
      <alignment horizontal="left" wrapText="1" indent="1"/>
    </xf>
    <xf numFmtId="9" fontId="96" fillId="41" borderId="2" xfId="32653" applyNumberFormat="1" applyFont="1" applyFill="1" applyBorder="1" applyAlignment="1">
      <alignment horizontal="right" wrapText="1" indent="1"/>
    </xf>
    <xf numFmtId="3" fontId="96" fillId="41" borderId="2" xfId="32653" applyNumberFormat="1" applyFont="1" applyFill="1" applyBorder="1" applyAlignment="1">
      <alignment horizontal="right" vertical="center" wrapText="1"/>
    </xf>
    <xf numFmtId="3" fontId="96" fillId="41" borderId="18" xfId="32653" applyNumberFormat="1" applyFont="1" applyFill="1" applyBorder="1" applyAlignment="1">
      <alignment horizontal="right" vertical="center" wrapText="1"/>
    </xf>
    <xf numFmtId="9" fontId="95" fillId="0" borderId="2" xfId="32660" applyFont="1" applyBorder="1" applyAlignment="1">
      <alignment horizontal="right" vertical="center" wrapText="1"/>
    </xf>
    <xf numFmtId="3" fontId="96" fillId="0" borderId="0" xfId="32653" applyNumberFormat="1" applyFont="1" applyFill="1" applyAlignment="1">
      <alignment vertical="center"/>
    </xf>
    <xf numFmtId="3" fontId="96" fillId="0" borderId="0" xfId="32653" applyNumberFormat="1" applyFont="1" applyAlignment="1">
      <alignment vertical="center"/>
    </xf>
    <xf numFmtId="16" fontId="95" fillId="0" borderId="2" xfId="32653" applyNumberFormat="1" applyFont="1" applyBorder="1" applyAlignment="1">
      <alignment horizontal="center" vertical="center" wrapText="1"/>
    </xf>
    <xf numFmtId="9" fontId="100" fillId="0" borderId="2" xfId="32660" applyFont="1" applyFill="1" applyBorder="1" applyAlignment="1">
      <alignment horizontal="right" vertical="center"/>
    </xf>
    <xf numFmtId="0" fontId="6" fillId="0" borderId="2" xfId="1" applyFont="1" applyFill="1" applyBorder="1" applyAlignment="1">
      <alignment horizontal="left" vertical="center" indent="1"/>
    </xf>
    <xf numFmtId="0" fontId="12" fillId="0" borderId="2" xfId="1" applyFont="1" applyFill="1" applyBorder="1" applyAlignment="1">
      <alignment horizontal="left" vertical="center" indent="2"/>
    </xf>
    <xf numFmtId="0" fontId="12" fillId="0" borderId="19" xfId="1" applyFont="1" applyFill="1" applyBorder="1" applyAlignment="1">
      <alignment horizontal="left" vertical="center" indent="2"/>
    </xf>
    <xf numFmtId="0" fontId="9" fillId="0" borderId="0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 wrapText="1"/>
    </xf>
    <xf numFmtId="0" fontId="74" fillId="0" borderId="0" xfId="1" applyFont="1" applyFill="1" applyBorder="1" applyAlignment="1">
      <alignment horizontal="center" vertical="center" wrapText="1"/>
    </xf>
    <xf numFmtId="3" fontId="6" fillId="0" borderId="0" xfId="1" applyNumberFormat="1" applyFont="1" applyFill="1" applyBorder="1" applyAlignment="1">
      <alignment horizontal="right" vertical="center"/>
    </xf>
    <xf numFmtId="3" fontId="12" fillId="0" borderId="0" xfId="1" applyNumberFormat="1" applyFont="1" applyFill="1" applyBorder="1" applyAlignment="1">
      <alignment horizontal="right" vertical="center"/>
    </xf>
    <xf numFmtId="3" fontId="12" fillId="0" borderId="0" xfId="112" applyNumberFormat="1" applyFont="1" applyFill="1" applyBorder="1" applyAlignment="1">
      <alignment horizontal="right" vertical="center"/>
    </xf>
    <xf numFmtId="3" fontId="6" fillId="0" borderId="0" xfId="112" applyNumberFormat="1" applyFont="1" applyFill="1" applyBorder="1" applyAlignment="1">
      <alignment horizontal="right" vertical="center"/>
    </xf>
    <xf numFmtId="3" fontId="6" fillId="0" borderId="0" xfId="2" applyNumberFormat="1" applyFont="1" applyFill="1" applyBorder="1" applyAlignment="1">
      <alignment horizontal="right" vertical="center"/>
    </xf>
    <xf numFmtId="168" fontId="6" fillId="0" borderId="0" xfId="1" applyNumberFormat="1" applyFont="1" applyFill="1" applyBorder="1" applyAlignment="1">
      <alignment horizontal="right" vertical="center"/>
    </xf>
    <xf numFmtId="168" fontId="12" fillId="0" borderId="0" xfId="1" applyNumberFormat="1" applyFont="1" applyFill="1" applyBorder="1" applyAlignment="1">
      <alignment horizontal="right" vertical="center"/>
    </xf>
    <xf numFmtId="3" fontId="6" fillId="0" borderId="0" xfId="2" applyNumberFormat="1" applyFont="1" applyFill="1" applyBorder="1" applyAlignment="1">
      <alignment horizontal="right" vertical="center" wrapText="1"/>
    </xf>
    <xf numFmtId="3" fontId="6" fillId="0" borderId="0" xfId="129" applyNumberFormat="1" applyFont="1" applyFill="1" applyBorder="1" applyAlignment="1">
      <alignment horizontal="right" vertical="center" wrapText="1"/>
    </xf>
    <xf numFmtId="3" fontId="94" fillId="0" borderId="0" xfId="2" applyNumberFormat="1" applyFont="1" applyFill="1" applyBorder="1" applyAlignment="1">
      <alignment horizontal="right" vertical="center"/>
    </xf>
    <xf numFmtId="3" fontId="9" fillId="0" borderId="0" xfId="2" applyNumberFormat="1" applyFont="1" applyFill="1" applyBorder="1" applyAlignment="1">
      <alignment horizontal="right" vertical="center"/>
    </xf>
    <xf numFmtId="3" fontId="9" fillId="0" borderId="0" xfId="1" applyNumberFormat="1" applyFont="1" applyFill="1" applyBorder="1" applyAlignment="1">
      <alignment horizontal="right" vertical="center"/>
    </xf>
    <xf numFmtId="0" fontId="11" fillId="0" borderId="19" xfId="1" applyFont="1" applyFill="1" applyBorder="1" applyAlignment="1">
      <alignment horizontal="center" vertical="center" wrapText="1"/>
    </xf>
    <xf numFmtId="9" fontId="6" fillId="0" borderId="2" xfId="32660" applyNumberFormat="1" applyFont="1" applyFill="1" applyBorder="1" applyAlignment="1">
      <alignment horizontal="right" vertical="center"/>
    </xf>
    <xf numFmtId="0" fontId="6" fillId="0" borderId="19" xfId="1" applyFont="1" applyFill="1" applyBorder="1" applyAlignment="1">
      <alignment horizontal="center" vertical="center" wrapText="1"/>
    </xf>
    <xf numFmtId="0" fontId="96" fillId="0" borderId="2" xfId="32653" applyFont="1" applyBorder="1" applyAlignment="1">
      <alignment horizontal="center" vertical="center" wrapText="1"/>
    </xf>
    <xf numFmtId="3" fontId="9" fillId="0" borderId="0" xfId="1" applyNumberFormat="1" applyFont="1" applyFill="1" applyAlignment="1">
      <alignment horizontal="right"/>
    </xf>
    <xf numFmtId="0" fontId="12" fillId="2" borderId="2" xfId="1" applyFont="1" applyFill="1" applyBorder="1" applyAlignment="1">
      <alignment horizontal="left" vertical="center" wrapText="1" indent="2"/>
    </xf>
    <xf numFmtId="0" fontId="12" fillId="0" borderId="2" xfId="1" applyFont="1" applyFill="1" applyBorder="1" applyAlignment="1">
      <alignment horizontal="left" vertical="center" wrapText="1" indent="2"/>
    </xf>
    <xf numFmtId="0" fontId="102" fillId="0" borderId="2" xfId="1" applyFont="1" applyFill="1" applyBorder="1"/>
    <xf numFmtId="0" fontId="103" fillId="0" borderId="2" xfId="1" applyFont="1" applyFill="1" applyBorder="1"/>
    <xf numFmtId="0" fontId="102" fillId="0" borderId="2" xfId="1" applyFont="1" applyFill="1" applyBorder="1" applyAlignment="1">
      <alignment vertical="center" wrapText="1"/>
    </xf>
    <xf numFmtId="0" fontId="103" fillId="0" borderId="2" xfId="1" applyFont="1" applyFill="1" applyBorder="1" applyAlignment="1">
      <alignment horizontal="left"/>
    </xf>
    <xf numFmtId="0" fontId="103" fillId="0" borderId="2" xfId="1" applyFont="1" applyFill="1" applyBorder="1" applyAlignment="1">
      <alignment horizontal="right"/>
    </xf>
    <xf numFmtId="4" fontId="79" fillId="0" borderId="2" xfId="1" applyNumberFormat="1" applyFont="1" applyFill="1" applyBorder="1" applyAlignment="1">
      <alignment horizontal="right"/>
    </xf>
    <xf numFmtId="3" fontId="6" fillId="0" borderId="2" xfId="1" applyNumberFormat="1" applyFont="1" applyFill="1" applyBorder="1" applyAlignment="1">
      <alignment horizontal="right"/>
    </xf>
    <xf numFmtId="3" fontId="84" fillId="0" borderId="2" xfId="1" applyNumberFormat="1" applyFont="1" applyFill="1" applyBorder="1" applyAlignment="1">
      <alignment wrapText="1"/>
    </xf>
    <xf numFmtId="0" fontId="6" fillId="0" borderId="2" xfId="1" applyFont="1" applyFill="1" applyBorder="1" applyAlignment="1">
      <alignment wrapText="1"/>
    </xf>
    <xf numFmtId="3" fontId="84" fillId="0" borderId="2" xfId="1" applyNumberFormat="1" applyFont="1" applyFill="1" applyBorder="1" applyAlignment="1">
      <alignment horizontal="right"/>
    </xf>
    <xf numFmtId="0" fontId="6" fillId="0" borderId="2" xfId="1" applyFont="1" applyFill="1" applyBorder="1" applyAlignment="1">
      <alignment horizontal="right"/>
    </xf>
    <xf numFmtId="0" fontId="74" fillId="0" borderId="2" xfId="1" applyFont="1" applyFill="1" applyBorder="1" applyAlignment="1">
      <alignment horizontal="right"/>
    </xf>
    <xf numFmtId="4" fontId="84" fillId="0" borderId="2" xfId="1" applyNumberFormat="1" applyFont="1" applyFill="1" applyBorder="1" applyAlignment="1">
      <alignment horizontal="right"/>
    </xf>
    <xf numFmtId="0" fontId="74" fillId="0" borderId="2" xfId="1" applyFont="1" applyFill="1" applyBorder="1"/>
    <xf numFmtId="4" fontId="84" fillId="0" borderId="2" xfId="1" applyNumberFormat="1" applyFont="1" applyFill="1" applyBorder="1"/>
    <xf numFmtId="4" fontId="6" fillId="0" borderId="2" xfId="1" applyNumberFormat="1" applyFont="1" applyFill="1" applyBorder="1" applyAlignment="1">
      <alignment horizontal="right"/>
    </xf>
    <xf numFmtId="4" fontId="6" fillId="0" borderId="2" xfId="1" applyNumberFormat="1" applyFont="1" applyFill="1" applyBorder="1"/>
    <xf numFmtId="0" fontId="9" fillId="0" borderId="0" xfId="1" applyFont="1" applyFill="1" applyBorder="1" applyAlignment="1">
      <alignment horizontal="right"/>
    </xf>
    <xf numFmtId="0" fontId="6" fillId="0" borderId="40" xfId="1" applyFont="1" applyFill="1" applyBorder="1"/>
    <xf numFmtId="3" fontId="84" fillId="0" borderId="0" xfId="1" applyNumberFormat="1" applyFont="1" applyFill="1" applyBorder="1" applyAlignment="1">
      <alignment wrapText="1"/>
    </xf>
    <xf numFmtId="0" fontId="6" fillId="0" borderId="0" xfId="1" applyFont="1" applyFill="1" applyBorder="1" applyAlignment="1">
      <alignment wrapText="1"/>
    </xf>
    <xf numFmtId="3" fontId="84" fillId="0" borderId="0" xfId="1" applyNumberFormat="1" applyFont="1" applyFill="1" applyBorder="1" applyAlignment="1">
      <alignment horizontal="right"/>
    </xf>
    <xf numFmtId="0" fontId="74" fillId="0" borderId="24" xfId="1" applyFont="1" applyFill="1" applyBorder="1"/>
    <xf numFmtId="0" fontId="74" fillId="0" borderId="0" xfId="1" applyFont="1" applyFill="1" applyBorder="1" applyAlignment="1">
      <alignment horizontal="right"/>
    </xf>
    <xf numFmtId="4" fontId="84" fillId="0" borderId="0" xfId="1" applyNumberFormat="1" applyFont="1" applyFill="1" applyBorder="1" applyAlignment="1">
      <alignment horizontal="right"/>
    </xf>
    <xf numFmtId="0" fontId="74" fillId="0" borderId="0" xfId="1" applyFont="1" applyFill="1" applyBorder="1"/>
    <xf numFmtId="201" fontId="74" fillId="0" borderId="24" xfId="1" applyNumberFormat="1" applyFont="1" applyFill="1" applyBorder="1" applyAlignment="1">
      <alignment horizontal="right"/>
    </xf>
    <xf numFmtId="4" fontId="84" fillId="0" borderId="0" xfId="1" applyNumberFormat="1" applyFont="1" applyFill="1" applyBorder="1"/>
    <xf numFmtId="4" fontId="6" fillId="0" borderId="24" xfId="1" applyNumberFormat="1" applyFont="1" applyFill="1" applyBorder="1"/>
    <xf numFmtId="4" fontId="6" fillId="0" borderId="0" xfId="1" applyNumberFormat="1" applyFont="1" applyFill="1" applyBorder="1" applyAlignment="1">
      <alignment horizontal="right"/>
    </xf>
    <xf numFmtId="0" fontId="6" fillId="0" borderId="17" xfId="1" applyFont="1" applyFill="1" applyBorder="1"/>
    <xf numFmtId="9" fontId="83" fillId="38" borderId="2" xfId="32660" applyFont="1" applyFill="1" applyBorder="1" applyAlignment="1">
      <alignment horizontal="right"/>
    </xf>
    <xf numFmtId="9" fontId="83" fillId="38" borderId="2" xfId="32660" applyFont="1" applyFill="1" applyBorder="1" applyAlignment="1">
      <alignment horizontal="right" wrapText="1"/>
    </xf>
    <xf numFmtId="9" fontId="83" fillId="42" borderId="2" xfId="32660" applyFont="1" applyFill="1" applyBorder="1" applyAlignment="1">
      <alignment horizontal="right"/>
    </xf>
    <xf numFmtId="9" fontId="83" fillId="42" borderId="2" xfId="32660" applyFont="1" applyFill="1" applyBorder="1" applyAlignment="1">
      <alignment horizontal="right" wrapText="1"/>
    </xf>
    <xf numFmtId="9" fontId="83" fillId="35" borderId="2" xfId="32660" applyFont="1" applyFill="1" applyBorder="1" applyAlignment="1">
      <alignment horizontal="right"/>
    </xf>
    <xf numFmtId="9" fontId="83" fillId="35" borderId="2" xfId="32660" applyNumberFormat="1" applyFont="1" applyFill="1" applyBorder="1" applyAlignment="1">
      <alignment horizontal="right" wrapText="1"/>
    </xf>
    <xf numFmtId="167" fontId="83" fillId="35" borderId="2" xfId="32660" applyNumberFormat="1" applyFont="1" applyFill="1" applyBorder="1" applyAlignment="1">
      <alignment horizontal="right" wrapText="1"/>
    </xf>
    <xf numFmtId="9" fontId="83" fillId="43" borderId="2" xfId="32660" applyFont="1" applyFill="1" applyBorder="1" applyAlignment="1">
      <alignment horizontal="right"/>
    </xf>
    <xf numFmtId="9" fontId="83" fillId="43" borderId="2" xfId="32660" applyFont="1" applyFill="1" applyBorder="1" applyAlignment="1">
      <alignment horizontal="right" wrapText="1"/>
    </xf>
    <xf numFmtId="167" fontId="83" fillId="43" borderId="2" xfId="32660" applyNumberFormat="1" applyFont="1" applyFill="1" applyBorder="1" applyAlignment="1">
      <alignment horizontal="right" wrapText="1"/>
    </xf>
    <xf numFmtId="0" fontId="98" fillId="0" borderId="2" xfId="32653" applyFont="1" applyBorder="1" applyAlignment="1">
      <alignment vertical="center"/>
    </xf>
    <xf numFmtId="0" fontId="95" fillId="0" borderId="0" xfId="32653" applyFont="1" applyBorder="1" applyAlignment="1">
      <alignment horizontal="center" vertical="center" wrapText="1"/>
    </xf>
    <xf numFmtId="0" fontId="95" fillId="0" borderId="0" xfId="32653" applyFont="1" applyBorder="1" applyAlignment="1">
      <alignment vertical="center"/>
    </xf>
    <xf numFmtId="3" fontId="95" fillId="0" borderId="0" xfId="32653" applyNumberFormat="1" applyFont="1" applyBorder="1" applyAlignment="1">
      <alignment horizontal="right" vertical="center" wrapText="1"/>
    </xf>
    <xf numFmtId="9" fontId="95" fillId="0" borderId="0" xfId="32653" applyNumberFormat="1" applyFont="1" applyBorder="1" applyAlignment="1">
      <alignment horizontal="right" vertical="center" wrapText="1"/>
    </xf>
    <xf numFmtId="0" fontId="95" fillId="0" borderId="0" xfId="32653" applyFont="1" applyBorder="1" applyAlignment="1">
      <alignment horizontal="center"/>
    </xf>
    <xf numFmtId="0" fontId="95" fillId="0" borderId="0" xfId="32653" applyFont="1" applyBorder="1"/>
    <xf numFmtId="195" fontId="6" fillId="0" borderId="0" xfId="1" applyNumberFormat="1" applyFont="1" applyFill="1" applyAlignment="1">
      <alignment horizontal="right"/>
    </xf>
    <xf numFmtId="195" fontId="79" fillId="0" borderId="2" xfId="1" applyNumberFormat="1" applyFont="1" applyFill="1" applyBorder="1" applyAlignment="1">
      <alignment horizontal="right"/>
    </xf>
    <xf numFmtId="3" fontId="8" fillId="0" borderId="0" xfId="1" applyNumberFormat="1" applyFont="1" applyFill="1" applyAlignment="1">
      <alignment horizontal="right"/>
    </xf>
    <xf numFmtId="0" fontId="82" fillId="0" borderId="0" xfId="1" applyFont="1" applyFill="1"/>
    <xf numFmtId="9" fontId="9" fillId="0" borderId="0" xfId="32660" applyFont="1" applyFill="1" applyAlignment="1">
      <alignment vertical="center"/>
    </xf>
    <xf numFmtId="0" fontId="96" fillId="0" borderId="2" xfId="32653" applyFont="1" applyBorder="1" applyAlignment="1">
      <alignment horizontal="center" vertical="center" wrapText="1"/>
    </xf>
    <xf numFmtId="3" fontId="96" fillId="0" borderId="2" xfId="32653" applyNumberFormat="1" applyFont="1" applyBorder="1" applyAlignment="1">
      <alignment horizontal="right" vertical="center" wrapText="1"/>
    </xf>
    <xf numFmtId="9" fontId="96" fillId="0" borderId="2" xfId="32653" applyNumberFormat="1" applyFont="1" applyBorder="1" applyAlignment="1">
      <alignment horizontal="right" vertical="center" wrapText="1"/>
    </xf>
    <xf numFmtId="0" fontId="96" fillId="0" borderId="2" xfId="32653" applyFont="1" applyBorder="1" applyAlignment="1">
      <alignment vertical="center"/>
    </xf>
    <xf numFmtId="9" fontId="95" fillId="0" borderId="0" xfId="32660" applyFont="1"/>
    <xf numFmtId="0" fontId="90" fillId="0" borderId="0" xfId="1" applyFont="1" applyFill="1" applyAlignment="1">
      <alignment horizontal="right"/>
    </xf>
    <xf numFmtId="0" fontId="84" fillId="0" borderId="0" xfId="1" applyFont="1" applyFill="1" applyAlignment="1">
      <alignment horizontal="right"/>
    </xf>
    <xf numFmtId="2" fontId="84" fillId="0" borderId="0" xfId="1" applyNumberFormat="1" applyFont="1" applyFill="1" applyAlignment="1">
      <alignment horizontal="right"/>
    </xf>
    <xf numFmtId="2" fontId="81" fillId="0" borderId="0" xfId="1" applyNumberFormat="1" applyFont="1" applyFill="1"/>
    <xf numFmtId="3" fontId="101" fillId="0" borderId="19" xfId="112" applyNumberFormat="1" applyFont="1" applyFill="1" applyBorder="1" applyAlignment="1">
      <alignment horizontal="right" vertical="center"/>
    </xf>
    <xf numFmtId="3" fontId="101" fillId="0" borderId="2" xfId="1" applyNumberFormat="1" applyFont="1" applyFill="1" applyBorder="1" applyAlignment="1">
      <alignment horizontal="right" vertical="center"/>
    </xf>
    <xf numFmtId="0" fontId="6" fillId="0" borderId="0" xfId="32663" applyFont="1" applyFill="1" applyBorder="1"/>
    <xf numFmtId="1" fontId="74" fillId="0" borderId="0" xfId="32663" applyNumberFormat="1" applyFont="1" applyFill="1" applyBorder="1"/>
    <xf numFmtId="0" fontId="75" fillId="0" borderId="0" xfId="32663" applyFont="1" applyFill="1" applyBorder="1" applyAlignment="1">
      <alignment horizontal="center" vertical="center" wrapText="1"/>
    </xf>
    <xf numFmtId="0" fontId="6" fillId="0" borderId="24" xfId="32663" applyFont="1" applyFill="1" applyBorder="1"/>
    <xf numFmtId="0" fontId="6" fillId="0" borderId="40" xfId="32663" applyFont="1" applyFill="1" applyBorder="1"/>
    <xf numFmtId="0" fontId="6" fillId="0" borderId="2" xfId="32663" applyFont="1" applyFill="1" applyBorder="1" applyAlignment="1">
      <alignment horizontal="center" vertical="center" wrapText="1"/>
    </xf>
    <xf numFmtId="0" fontId="8" fillId="0" borderId="2" xfId="32663" applyFont="1" applyFill="1" applyBorder="1" applyAlignment="1">
      <alignment horizontal="center" vertical="center" wrapText="1"/>
    </xf>
    <xf numFmtId="0" fontId="6" fillId="0" borderId="0" xfId="32663" applyFont="1" applyFill="1"/>
    <xf numFmtId="0" fontId="11" fillId="0" borderId="2" xfId="32663" applyFont="1" applyFill="1" applyBorder="1" applyAlignment="1">
      <alignment horizontal="center" vertical="top" wrapText="1"/>
    </xf>
    <xf numFmtId="0" fontId="74" fillId="0" borderId="2" xfId="32663" applyFont="1" applyFill="1" applyBorder="1" applyAlignment="1">
      <alignment horizontal="center" vertical="top" wrapText="1"/>
    </xf>
    <xf numFmtId="0" fontId="74" fillId="0" borderId="2" xfId="32663" applyFont="1" applyFill="1" applyBorder="1" applyAlignment="1">
      <alignment horizontal="right" vertical="top" wrapText="1"/>
    </xf>
    <xf numFmtId="0" fontId="74" fillId="0" borderId="2" xfId="32663" applyFont="1" applyFill="1" applyBorder="1" applyAlignment="1">
      <alignment horizontal="right" vertical="center" wrapText="1"/>
    </xf>
    <xf numFmtId="0" fontId="74" fillId="0" borderId="0" xfId="32663" applyFont="1" applyFill="1"/>
    <xf numFmtId="0" fontId="75" fillId="0" borderId="2" xfId="32663" applyFont="1" applyFill="1" applyBorder="1" applyAlignment="1">
      <alignment horizontal="center" vertical="center" wrapText="1"/>
    </xf>
    <xf numFmtId="0" fontId="9" fillId="0" borderId="2" xfId="32663" applyFont="1" applyFill="1" applyBorder="1" applyAlignment="1">
      <alignment vertical="center" wrapText="1"/>
    </xf>
    <xf numFmtId="0" fontId="9" fillId="0" borderId="2" xfId="32663" applyFont="1" applyFill="1" applyBorder="1" applyAlignment="1">
      <alignment horizontal="center" vertical="center" wrapText="1"/>
    </xf>
    <xf numFmtId="3" fontId="9" fillId="0" borderId="2" xfId="32664" applyNumberFormat="1" applyFont="1" applyFill="1" applyBorder="1" applyAlignment="1">
      <alignment horizontal="right" vertical="center" wrapText="1"/>
    </xf>
    <xf numFmtId="0" fontId="6" fillId="0" borderId="0" xfId="32663" applyFont="1" applyFill="1" applyAlignment="1">
      <alignment vertical="center"/>
    </xf>
    <xf numFmtId="3" fontId="6" fillId="0" borderId="0" xfId="32663" applyNumberFormat="1" applyFont="1" applyFill="1" applyAlignment="1">
      <alignment vertical="center"/>
    </xf>
    <xf numFmtId="0" fontId="11" fillId="0" borderId="2" xfId="32663" applyFont="1" applyFill="1" applyBorder="1" applyAlignment="1">
      <alignment horizontal="center" vertical="center" wrapText="1"/>
    </xf>
    <xf numFmtId="0" fontId="6" fillId="0" borderId="2" xfId="32663" applyFont="1" applyFill="1" applyBorder="1" applyAlignment="1">
      <alignment vertical="center" wrapText="1"/>
    </xf>
    <xf numFmtId="3" fontId="6" fillId="0" borderId="2" xfId="32663" applyNumberFormat="1" applyFont="1" applyFill="1" applyBorder="1" applyAlignment="1">
      <alignment horizontal="right" vertical="center" wrapText="1"/>
    </xf>
    <xf numFmtId="0" fontId="9" fillId="0" borderId="0" xfId="32663" applyFont="1" applyFill="1" applyAlignment="1">
      <alignment vertical="center"/>
    </xf>
    <xf numFmtId="3" fontId="6" fillId="0" borderId="2" xfId="32664" applyNumberFormat="1" applyFont="1" applyFill="1" applyBorder="1" applyAlignment="1">
      <alignment horizontal="right" vertical="center" wrapText="1"/>
    </xf>
    <xf numFmtId="0" fontId="12" fillId="0" borderId="2" xfId="32663" applyFont="1" applyFill="1" applyBorder="1" applyAlignment="1">
      <alignment horizontal="right" vertical="center" wrapText="1"/>
    </xf>
    <xf numFmtId="3" fontId="12" fillId="0" borderId="2" xfId="32663" applyNumberFormat="1" applyFont="1" applyFill="1" applyBorder="1" applyAlignment="1">
      <alignment horizontal="right" vertical="center" wrapText="1"/>
    </xf>
    <xf numFmtId="3" fontId="12" fillId="0" borderId="2" xfId="32664" applyNumberFormat="1" applyFont="1" applyFill="1" applyBorder="1" applyAlignment="1">
      <alignment horizontal="right" vertical="center" wrapText="1"/>
    </xf>
    <xf numFmtId="3" fontId="12" fillId="0" borderId="2" xfId="32663" applyNumberFormat="1" applyFont="1" applyFill="1" applyBorder="1" applyAlignment="1">
      <alignment horizontal="right" vertical="center"/>
    </xf>
    <xf numFmtId="0" fontId="12" fillId="0" borderId="0" xfId="32663" applyFont="1" applyFill="1" applyAlignment="1">
      <alignment vertical="center"/>
    </xf>
    <xf numFmtId="3" fontId="12" fillId="0" borderId="2" xfId="32665" applyNumberFormat="1" applyFont="1" applyFill="1" applyBorder="1" applyAlignment="1">
      <alignment horizontal="right" vertical="center" wrapText="1"/>
    </xf>
    <xf numFmtId="3" fontId="12" fillId="0" borderId="2" xfId="32665" applyNumberFormat="1" applyFont="1" applyFill="1" applyBorder="1" applyAlignment="1">
      <alignment horizontal="right" vertical="center"/>
    </xf>
    <xf numFmtId="0" fontId="12" fillId="0" borderId="2" xfId="32663" applyFont="1" applyFill="1" applyBorder="1" applyAlignment="1">
      <alignment horizontal="center" vertical="center" wrapText="1"/>
    </xf>
    <xf numFmtId="3" fontId="6" fillId="0" borderId="2" xfId="32665" applyNumberFormat="1" applyFont="1" applyFill="1" applyBorder="1" applyAlignment="1">
      <alignment horizontal="right" vertical="center" wrapText="1"/>
    </xf>
    <xf numFmtId="3" fontId="13" fillId="0" borderId="2" xfId="32663" applyNumberFormat="1" applyFont="1" applyFill="1" applyBorder="1" applyAlignment="1">
      <alignment horizontal="right" vertical="center" wrapText="1"/>
    </xf>
    <xf numFmtId="3" fontId="9" fillId="0" borderId="2" xfId="32663" applyNumberFormat="1" applyFont="1" applyFill="1" applyBorder="1" applyAlignment="1">
      <alignment horizontal="right" vertical="center" wrapText="1"/>
    </xf>
    <xf numFmtId="3" fontId="9" fillId="0" borderId="0" xfId="32663" applyNumberFormat="1" applyFont="1" applyFill="1" applyAlignment="1">
      <alignment vertical="center"/>
    </xf>
    <xf numFmtId="3" fontId="6" fillId="0" borderId="2" xfId="32663" applyNumberFormat="1" applyFont="1" applyFill="1" applyBorder="1" applyAlignment="1">
      <alignment horizontal="right" vertical="center"/>
    </xf>
    <xf numFmtId="3" fontId="9" fillId="0" borderId="2" xfId="32663" applyNumberFormat="1" applyFont="1" applyFill="1" applyBorder="1" applyAlignment="1">
      <alignment horizontal="right" vertical="center"/>
    </xf>
    <xf numFmtId="0" fontId="11" fillId="0" borderId="2" xfId="32663" applyFont="1" applyFill="1" applyBorder="1" applyAlignment="1">
      <alignment horizontal="center" vertical="center"/>
    </xf>
    <xf numFmtId="0" fontId="6" fillId="0" borderId="2" xfId="32663" applyFont="1" applyFill="1" applyBorder="1" applyAlignment="1">
      <alignment horizontal="right" vertical="center" wrapText="1"/>
    </xf>
    <xf numFmtId="1" fontId="12" fillId="0" borderId="2" xfId="32663" applyNumberFormat="1" applyFont="1" applyFill="1" applyBorder="1" applyAlignment="1">
      <alignment vertical="center"/>
    </xf>
    <xf numFmtId="9" fontId="6" fillId="0" borderId="0" xfId="32663" applyNumberFormat="1" applyFont="1" applyFill="1" applyAlignment="1">
      <alignment vertical="center"/>
    </xf>
    <xf numFmtId="3" fontId="12" fillId="0" borderId="2" xfId="32663" applyNumberFormat="1" applyFont="1" applyFill="1" applyBorder="1" applyAlignment="1">
      <alignment horizontal="right"/>
    </xf>
    <xf numFmtId="49" fontId="11" fillId="0" borderId="2" xfId="160" applyNumberFormat="1" applyFont="1" applyFill="1" applyBorder="1" applyAlignment="1">
      <alignment horizontal="center"/>
    </xf>
    <xf numFmtId="196" fontId="83" fillId="0" borderId="2" xfId="160" applyNumberFormat="1" applyFont="1" applyFill="1" applyBorder="1" applyAlignment="1">
      <alignment wrapText="1"/>
    </xf>
    <xf numFmtId="9" fontId="83" fillId="0" borderId="2" xfId="32660" applyFont="1" applyFill="1" applyBorder="1" applyAlignment="1">
      <alignment horizontal="right"/>
    </xf>
    <xf numFmtId="9" fontId="83" fillId="0" borderId="2" xfId="32660" applyFont="1" applyFill="1" applyBorder="1" applyAlignment="1">
      <alignment horizontal="right" wrapText="1"/>
    </xf>
    <xf numFmtId="0" fontId="83" fillId="0" borderId="0" xfId="32663" applyFont="1" applyFill="1" applyAlignment="1"/>
    <xf numFmtId="2" fontId="6" fillId="0" borderId="0" xfId="32663" applyNumberFormat="1" applyFont="1" applyFill="1" applyAlignment="1">
      <alignment vertical="center"/>
    </xf>
    <xf numFmtId="167" fontId="6" fillId="0" borderId="0" xfId="32663" applyNumberFormat="1" applyFont="1" applyFill="1" applyAlignment="1">
      <alignment vertical="center"/>
    </xf>
    <xf numFmtId="9" fontId="83" fillId="0" borderId="2" xfId="32660" applyNumberFormat="1" applyFont="1" applyFill="1" applyBorder="1" applyAlignment="1">
      <alignment horizontal="right" wrapText="1"/>
    </xf>
    <xf numFmtId="10" fontId="6" fillId="0" borderId="0" xfId="32660" applyNumberFormat="1" applyFont="1" applyFill="1" applyAlignment="1">
      <alignment vertical="center"/>
    </xf>
    <xf numFmtId="196" fontId="83" fillId="0" borderId="2" xfId="160" applyNumberFormat="1" applyFont="1" applyFill="1" applyBorder="1" applyAlignment="1"/>
    <xf numFmtId="167" fontId="83" fillId="0" borderId="2" xfId="32660" applyNumberFormat="1" applyFont="1" applyFill="1" applyBorder="1" applyAlignment="1">
      <alignment horizontal="right" wrapText="1"/>
    </xf>
    <xf numFmtId="210" fontId="14" fillId="0" borderId="0" xfId="32660" applyNumberFormat="1" applyFont="1" applyFill="1" applyAlignment="1">
      <alignment vertical="center"/>
    </xf>
    <xf numFmtId="1" fontId="6" fillId="0" borderId="0" xfId="32663" applyNumberFormat="1" applyFont="1" applyFill="1" applyAlignment="1">
      <alignment vertical="center"/>
    </xf>
    <xf numFmtId="168" fontId="6" fillId="0" borderId="2" xfId="32663" applyNumberFormat="1" applyFont="1" applyFill="1" applyBorder="1" applyAlignment="1">
      <alignment horizontal="right" vertical="center" wrapText="1"/>
    </xf>
    <xf numFmtId="168" fontId="12" fillId="0" borderId="2" xfId="32663" applyNumberFormat="1" applyFont="1" applyFill="1" applyBorder="1" applyAlignment="1">
      <alignment horizontal="right" vertical="center" wrapText="1"/>
    </xf>
    <xf numFmtId="168" fontId="12" fillId="0" borderId="2" xfId="32663" applyNumberFormat="1" applyFont="1" applyFill="1" applyBorder="1" applyAlignment="1">
      <alignment horizontal="right" vertical="center"/>
    </xf>
    <xf numFmtId="200" fontId="74" fillId="0" borderId="0" xfId="32663" applyNumberFormat="1" applyFont="1" applyFill="1" applyAlignment="1">
      <alignment vertical="center"/>
    </xf>
    <xf numFmtId="0" fontId="14" fillId="0" borderId="2" xfId="32663" applyFont="1" applyFill="1" applyBorder="1" applyAlignment="1">
      <alignment horizontal="center" vertical="center" wrapText="1"/>
    </xf>
    <xf numFmtId="3" fontId="11" fillId="0" borderId="2" xfId="32663" applyNumberFormat="1" applyFont="1" applyFill="1" applyBorder="1" applyAlignment="1">
      <alignment horizontal="right" vertical="center" wrapText="1"/>
    </xf>
    <xf numFmtId="0" fontId="6" fillId="0" borderId="0" xfId="32663" applyFont="1" applyFill="1" applyAlignment="1">
      <alignment horizontal="center" vertical="center"/>
    </xf>
    <xf numFmtId="0" fontId="11" fillId="0" borderId="25" xfId="32663" applyFont="1" applyFill="1" applyBorder="1"/>
    <xf numFmtId="0" fontId="6" fillId="0" borderId="25" xfId="32663" applyFont="1" applyFill="1" applyBorder="1"/>
    <xf numFmtId="3" fontId="14" fillId="0" borderId="0" xfId="32663" applyNumberFormat="1" applyFont="1" applyFill="1" applyAlignment="1">
      <alignment horizontal="right"/>
    </xf>
    <xf numFmtId="0" fontId="6" fillId="0" borderId="0" xfId="32663" applyFont="1" applyFill="1" applyAlignment="1">
      <alignment horizontal="right"/>
    </xf>
    <xf numFmtId="0" fontId="11" fillId="0" borderId="0" xfId="32663" applyFont="1" applyFill="1"/>
    <xf numFmtId="0" fontId="6" fillId="0" borderId="2" xfId="32663" applyFont="1" applyFill="1" applyBorder="1"/>
    <xf numFmtId="0" fontId="9" fillId="0" borderId="0" xfId="32663" applyFont="1" applyFill="1"/>
    <xf numFmtId="3" fontId="9" fillId="0" borderId="0" xfId="32663" applyNumberFormat="1" applyFont="1" applyFill="1" applyBorder="1" applyAlignment="1">
      <alignment horizontal="right" vertical="center" wrapText="1"/>
    </xf>
    <xf numFmtId="0" fontId="9" fillId="0" borderId="0" xfId="32663" applyFont="1" applyFill="1" applyAlignment="1">
      <alignment horizontal="right"/>
    </xf>
    <xf numFmtId="3" fontId="74" fillId="0" borderId="0" xfId="32663" applyNumberFormat="1" applyFont="1" applyFill="1" applyAlignment="1">
      <alignment horizontal="right"/>
    </xf>
    <xf numFmtId="3" fontId="6" fillId="0" borderId="0" xfId="32663" applyNumberFormat="1" applyFont="1" applyFill="1" applyAlignment="1">
      <alignment horizontal="right"/>
    </xf>
    <xf numFmtId="3" fontId="9" fillId="0" borderId="0" xfId="32663" applyNumberFormat="1" applyFont="1" applyFill="1" applyAlignment="1">
      <alignment horizontal="right"/>
    </xf>
    <xf numFmtId="0" fontId="84" fillId="0" borderId="0" xfId="32663" applyFont="1" applyFill="1" applyAlignment="1">
      <alignment wrapText="1"/>
    </xf>
    <xf numFmtId="0" fontId="6" fillId="0" borderId="0" xfId="32663" applyFont="1" applyFill="1" applyAlignment="1">
      <alignment wrapText="1"/>
    </xf>
    <xf numFmtId="3" fontId="84" fillId="0" borderId="0" xfId="32663" applyNumberFormat="1" applyFont="1" applyFill="1" applyAlignment="1">
      <alignment wrapText="1"/>
    </xf>
    <xf numFmtId="3" fontId="6" fillId="0" borderId="0" xfId="32663" applyNumberFormat="1" applyFont="1" applyFill="1" applyAlignment="1">
      <alignment wrapText="1"/>
    </xf>
    <xf numFmtId="0" fontId="84" fillId="0" borderId="0" xfId="32663" applyFont="1" applyFill="1"/>
    <xf numFmtId="3" fontId="84" fillId="0" borderId="0" xfId="32663" applyNumberFormat="1" applyFont="1" applyFill="1" applyAlignment="1">
      <alignment horizontal="right"/>
    </xf>
    <xf numFmtId="0" fontId="74" fillId="0" borderId="0" xfId="32663" applyFont="1" applyFill="1" applyAlignment="1">
      <alignment horizontal="right"/>
    </xf>
    <xf numFmtId="4" fontId="84" fillId="0" borderId="0" xfId="32663" applyNumberFormat="1" applyFont="1" applyFill="1" applyAlignment="1">
      <alignment horizontal="right"/>
    </xf>
    <xf numFmtId="4" fontId="84" fillId="0" borderId="0" xfId="32663" applyNumberFormat="1" applyFont="1" applyFill="1"/>
    <xf numFmtId="201" fontId="74" fillId="0" borderId="0" xfId="32663" applyNumberFormat="1" applyFont="1" applyFill="1" applyAlignment="1">
      <alignment horizontal="right"/>
    </xf>
    <xf numFmtId="4" fontId="6" fillId="0" borderId="0" xfId="32663" applyNumberFormat="1" applyFont="1" applyFill="1" applyAlignment="1">
      <alignment horizontal="right"/>
    </xf>
    <xf numFmtId="4" fontId="6" fillId="0" borderId="0" xfId="32663" applyNumberFormat="1" applyFont="1" applyFill="1"/>
    <xf numFmtId="3" fontId="6" fillId="0" borderId="0" xfId="32663" applyNumberFormat="1" applyFont="1" applyFill="1"/>
    <xf numFmtId="0" fontId="9" fillId="0" borderId="0" xfId="32665" applyFont="1" applyFill="1" applyBorder="1" applyAlignment="1">
      <alignment vertical="center"/>
    </xf>
    <xf numFmtId="1" fontId="74" fillId="0" borderId="0" xfId="32665" applyNumberFormat="1" applyFont="1" applyFill="1" applyBorder="1"/>
    <xf numFmtId="0" fontId="6" fillId="0" borderId="0" xfId="32665" applyFont="1" applyFill="1" applyBorder="1"/>
    <xf numFmtId="4" fontId="74" fillId="0" borderId="0" xfId="32665" applyNumberFormat="1" applyFont="1" applyFill="1" applyBorder="1"/>
    <xf numFmtId="4" fontId="74" fillId="0" borderId="0" xfId="32660" applyNumberFormat="1" applyFont="1" applyFill="1" applyBorder="1"/>
    <xf numFmtId="4" fontId="6" fillId="0" borderId="0" xfId="32665" applyNumberFormat="1" applyFont="1" applyFill="1" applyBorder="1"/>
    <xf numFmtId="3" fontId="74" fillId="0" borderId="0" xfId="32665" applyNumberFormat="1" applyFont="1" applyFill="1" applyBorder="1"/>
    <xf numFmtId="3" fontId="74" fillId="0" borderId="0" xfId="32660" applyNumberFormat="1" applyFont="1" applyFill="1" applyBorder="1"/>
    <xf numFmtId="3" fontId="6" fillId="0" borderId="0" xfId="32665" applyNumberFormat="1" applyFont="1" applyFill="1" applyBorder="1"/>
    <xf numFmtId="204" fontId="74" fillId="0" borderId="0" xfId="32665" applyNumberFormat="1" applyFont="1" applyFill="1" applyBorder="1"/>
    <xf numFmtId="1" fontId="83" fillId="0" borderId="0" xfId="32665" applyNumberFormat="1" applyFont="1" applyFill="1" applyBorder="1"/>
    <xf numFmtId="0" fontId="75" fillId="0" borderId="0" xfId="32665" applyFont="1" applyFill="1" applyBorder="1" applyAlignment="1">
      <alignment horizontal="center" vertical="center" wrapText="1"/>
    </xf>
    <xf numFmtId="0" fontId="76" fillId="0" borderId="0" xfId="32665" applyFont="1" applyFill="1" applyBorder="1" applyAlignment="1">
      <alignment vertical="center"/>
    </xf>
    <xf numFmtId="195" fontId="77" fillId="0" borderId="26" xfId="0" applyNumberFormat="1" applyFont="1" applyFill="1" applyBorder="1" applyAlignment="1">
      <alignment vertical="top"/>
    </xf>
    <xf numFmtId="4" fontId="77" fillId="0" borderId="26" xfId="0" applyNumberFormat="1" applyFont="1" applyFill="1" applyBorder="1" applyAlignment="1">
      <alignment vertical="top"/>
    </xf>
    <xf numFmtId="200" fontId="77" fillId="0" borderId="26" xfId="0" applyNumberFormat="1" applyFont="1" applyFill="1" applyBorder="1" applyAlignment="1">
      <alignment vertical="top"/>
    </xf>
    <xf numFmtId="4" fontId="77" fillId="0" borderId="0" xfId="0" applyNumberFormat="1" applyFont="1" applyFill="1" applyBorder="1" applyAlignment="1">
      <alignment vertical="top"/>
    </xf>
    <xf numFmtId="204" fontId="77" fillId="0" borderId="26" xfId="0" applyNumberFormat="1" applyFont="1" applyFill="1" applyBorder="1" applyAlignment="1">
      <alignment vertical="top"/>
    </xf>
    <xf numFmtId="196" fontId="90" fillId="38" borderId="2" xfId="160" applyNumberFormat="1" applyFont="1" applyFill="1" applyBorder="1" applyAlignment="1">
      <alignment wrapText="1"/>
    </xf>
    <xf numFmtId="0" fontId="76" fillId="0" borderId="0" xfId="32665" applyFont="1" applyFill="1" applyBorder="1" applyAlignment="1">
      <alignment horizontal="center" vertical="center" wrapText="1"/>
    </xf>
    <xf numFmtId="9" fontId="83" fillId="38" borderId="2" xfId="32660" applyNumberFormat="1" applyFont="1" applyFill="1" applyBorder="1" applyAlignment="1">
      <alignment horizontal="right"/>
    </xf>
    <xf numFmtId="9" fontId="83" fillId="38" borderId="2" xfId="32660" applyFont="1" applyFill="1" applyBorder="1" applyAlignment="1">
      <alignment vertical="top"/>
    </xf>
    <xf numFmtId="9" fontId="83" fillId="0" borderId="0" xfId="32660" applyFont="1" applyFill="1" applyBorder="1" applyAlignment="1">
      <alignment vertical="top"/>
    </xf>
    <xf numFmtId="196" fontId="90" fillId="42" borderId="2" xfId="160" applyNumberFormat="1" applyFont="1" applyFill="1" applyBorder="1" applyAlignment="1">
      <alignment wrapText="1"/>
    </xf>
    <xf numFmtId="9" fontId="83" fillId="42" borderId="2" xfId="32660" applyNumberFormat="1" applyFont="1" applyFill="1" applyBorder="1" applyAlignment="1">
      <alignment horizontal="right"/>
    </xf>
    <xf numFmtId="9" fontId="83" fillId="42" borderId="2" xfId="32660" applyFont="1" applyFill="1" applyBorder="1" applyAlignment="1">
      <alignment vertical="top"/>
    </xf>
    <xf numFmtId="196" fontId="90" fillId="35" borderId="2" xfId="160" applyNumberFormat="1" applyFont="1" applyFill="1" applyBorder="1" applyAlignment="1"/>
    <xf numFmtId="9" fontId="83" fillId="35" borderId="2" xfId="32660" applyNumberFormat="1" applyFont="1" applyFill="1" applyBorder="1" applyAlignment="1">
      <alignment horizontal="right"/>
    </xf>
    <xf numFmtId="9" fontId="83" fillId="35" borderId="2" xfId="32660" applyFont="1" applyFill="1" applyBorder="1" applyAlignment="1">
      <alignment vertical="top"/>
    </xf>
    <xf numFmtId="167" fontId="83" fillId="0" borderId="0" xfId="32660" applyNumberFormat="1" applyFont="1" applyFill="1" applyBorder="1" applyAlignment="1">
      <alignment vertical="top"/>
    </xf>
    <xf numFmtId="9" fontId="83" fillId="35" borderId="2" xfId="32660" applyFont="1" applyFill="1" applyBorder="1" applyAlignment="1">
      <alignment horizontal="right" wrapText="1"/>
    </xf>
    <xf numFmtId="196" fontId="90" fillId="43" borderId="2" xfId="160" applyNumberFormat="1" applyFont="1" applyFill="1" applyBorder="1" applyAlignment="1"/>
    <xf numFmtId="9" fontId="83" fillId="43" borderId="2" xfId="32660" applyNumberFormat="1" applyFont="1" applyFill="1" applyBorder="1" applyAlignment="1">
      <alignment horizontal="right"/>
    </xf>
    <xf numFmtId="9" fontId="83" fillId="43" borderId="2" xfId="32660" applyFont="1" applyFill="1" applyBorder="1" applyAlignment="1">
      <alignment vertical="top"/>
    </xf>
    <xf numFmtId="9" fontId="77" fillId="0" borderId="26" xfId="32660" applyFont="1" applyFill="1" applyBorder="1" applyAlignment="1">
      <alignment vertical="top"/>
    </xf>
    <xf numFmtId="190" fontId="77" fillId="0" borderId="0" xfId="0" applyNumberFormat="1" applyFont="1" applyFill="1" applyBorder="1" applyAlignment="1">
      <alignment vertical="top"/>
    </xf>
    <xf numFmtId="168" fontId="77" fillId="0" borderId="0" xfId="0" applyNumberFormat="1" applyFont="1" applyFill="1" applyBorder="1" applyAlignment="1">
      <alignment vertical="top"/>
    </xf>
    <xf numFmtId="0" fontId="9" fillId="0" borderId="0" xfId="32665" applyFont="1" applyFill="1" applyBorder="1" applyAlignment="1">
      <alignment horizontal="center" vertical="center" wrapText="1"/>
    </xf>
    <xf numFmtId="0" fontId="6" fillId="0" borderId="2" xfId="32665" applyFont="1" applyFill="1" applyBorder="1" applyAlignment="1">
      <alignment horizontal="center" vertical="center" wrapText="1"/>
    </xf>
    <xf numFmtId="0" fontId="8" fillId="0" borderId="2" xfId="32665" applyFont="1" applyFill="1" applyBorder="1" applyAlignment="1">
      <alignment horizontal="center" vertical="center" wrapText="1"/>
    </xf>
    <xf numFmtId="0" fontId="6" fillId="0" borderId="0" xfId="32665" applyFont="1" applyFill="1"/>
    <xf numFmtId="0" fontId="11" fillId="0" borderId="2" xfId="32665" applyFont="1" applyFill="1" applyBorder="1" applyAlignment="1">
      <alignment horizontal="center" vertical="top" wrapText="1"/>
    </xf>
    <xf numFmtId="0" fontId="74" fillId="0" borderId="2" xfId="32665" applyFont="1" applyFill="1" applyBorder="1" applyAlignment="1">
      <alignment horizontal="center" vertical="top" wrapText="1"/>
    </xf>
    <xf numFmtId="0" fontId="74" fillId="0" borderId="2" xfId="32665" applyFont="1" applyFill="1" applyBorder="1" applyAlignment="1">
      <alignment horizontal="right" vertical="top" wrapText="1"/>
    </xf>
    <xf numFmtId="0" fontId="74" fillId="0" borderId="2" xfId="32665" applyFont="1" applyFill="1" applyBorder="1" applyAlignment="1">
      <alignment horizontal="right" vertical="center" wrapText="1"/>
    </xf>
    <xf numFmtId="0" fontId="74" fillId="0" borderId="0" xfId="32665" applyFont="1" applyFill="1" applyBorder="1" applyAlignment="1">
      <alignment horizontal="right" vertical="center" wrapText="1"/>
    </xf>
    <xf numFmtId="0" fontId="74" fillId="0" borderId="0" xfId="32665" applyFont="1" applyFill="1"/>
    <xf numFmtId="0" fontId="75" fillId="0" borderId="2" xfId="32665" applyFont="1" applyFill="1" applyBorder="1" applyAlignment="1">
      <alignment horizontal="center" vertical="center" wrapText="1"/>
    </xf>
    <xf numFmtId="0" fontId="9" fillId="0" borderId="2" xfId="32665" applyFont="1" applyFill="1" applyBorder="1" applyAlignment="1">
      <alignment vertical="center" wrapText="1"/>
    </xf>
    <xf numFmtId="0" fontId="9" fillId="0" borderId="2" xfId="32665" applyFont="1" applyFill="1" applyBorder="1" applyAlignment="1">
      <alignment horizontal="center" vertical="center" wrapText="1"/>
    </xf>
    <xf numFmtId="3" fontId="9" fillId="0" borderId="0" xfId="32664" applyNumberFormat="1" applyFont="1" applyFill="1" applyBorder="1" applyAlignment="1">
      <alignment horizontal="right" vertical="center" wrapText="1"/>
    </xf>
    <xf numFmtId="0" fontId="6" fillId="0" borderId="0" xfId="32665" applyFont="1" applyFill="1" applyAlignment="1">
      <alignment vertical="center"/>
    </xf>
    <xf numFmtId="0" fontId="11" fillId="0" borderId="2" xfId="32665" applyFont="1" applyFill="1" applyBorder="1" applyAlignment="1">
      <alignment horizontal="center" vertical="center" wrapText="1"/>
    </xf>
    <xf numFmtId="0" fontId="6" fillId="0" borderId="2" xfId="32665" applyFont="1" applyFill="1" applyBorder="1" applyAlignment="1">
      <alignment vertical="center" wrapText="1"/>
    </xf>
    <xf numFmtId="3" fontId="6" fillId="0" borderId="0" xfId="32665" applyNumberFormat="1" applyFont="1" applyFill="1" applyBorder="1" applyAlignment="1">
      <alignment horizontal="right" vertical="center" wrapText="1"/>
    </xf>
    <xf numFmtId="0" fontId="9" fillId="0" borderId="0" xfId="32665" applyFont="1" applyFill="1" applyAlignment="1">
      <alignment vertical="center"/>
    </xf>
    <xf numFmtId="0" fontId="12" fillId="0" borderId="2" xfId="32665" applyFont="1" applyFill="1" applyBorder="1" applyAlignment="1">
      <alignment horizontal="right" vertical="center" wrapText="1"/>
    </xf>
    <xf numFmtId="196" fontId="82" fillId="38" borderId="0" xfId="160" applyNumberFormat="1" applyFont="1" applyFill="1" applyBorder="1" applyAlignment="1">
      <alignment horizontal="left"/>
    </xf>
    <xf numFmtId="3" fontId="12" fillId="45" borderId="2" xfId="32665" applyNumberFormat="1" applyFont="1" applyFill="1" applyBorder="1" applyAlignment="1">
      <alignment horizontal="right" vertical="center" wrapText="1"/>
    </xf>
    <xf numFmtId="3" fontId="12" fillId="38" borderId="2" xfId="32665" applyNumberFormat="1" applyFont="1" applyFill="1" applyBorder="1" applyAlignment="1">
      <alignment horizontal="right" vertical="center" wrapText="1"/>
    </xf>
    <xf numFmtId="0" fontId="6" fillId="0" borderId="2" xfId="32665" applyFont="1" applyFill="1" applyBorder="1" applyAlignment="1">
      <alignment horizontal="center" vertical="center"/>
    </xf>
    <xf numFmtId="196" fontId="82" fillId="46" borderId="0" xfId="160" applyNumberFormat="1" applyFont="1" applyFill="1" applyBorder="1" applyAlignment="1">
      <alignment horizontal="left"/>
    </xf>
    <xf numFmtId="3" fontId="12" fillId="46" borderId="2" xfId="32665" applyNumberFormat="1" applyFont="1" applyFill="1" applyBorder="1" applyAlignment="1">
      <alignment horizontal="right" vertical="center" wrapText="1"/>
    </xf>
    <xf numFmtId="9" fontId="6" fillId="46" borderId="2" xfId="32660" applyFont="1" applyFill="1" applyBorder="1" applyAlignment="1">
      <alignment vertical="center"/>
    </xf>
    <xf numFmtId="196" fontId="82" fillId="43" borderId="0" xfId="160" applyNumberFormat="1" applyFont="1" applyFill="1" applyBorder="1" applyAlignment="1">
      <alignment horizontal="left"/>
    </xf>
    <xf numFmtId="3" fontId="12" fillId="43" borderId="2" xfId="32665" applyNumberFormat="1" applyFont="1" applyFill="1" applyBorder="1" applyAlignment="1">
      <alignment horizontal="right" vertical="center" wrapText="1"/>
    </xf>
    <xf numFmtId="0" fontId="6" fillId="0" borderId="2" xfId="32665" applyFont="1" applyFill="1" applyBorder="1" applyAlignment="1">
      <alignment vertical="center"/>
    </xf>
    <xf numFmtId="3" fontId="11" fillId="0" borderId="0" xfId="32665" applyNumberFormat="1" applyFont="1" applyFill="1" applyBorder="1" applyAlignment="1">
      <alignment horizontal="right" vertical="center" wrapText="1"/>
    </xf>
    <xf numFmtId="0" fontId="12" fillId="0" borderId="2" xfId="32665" applyFont="1" applyFill="1" applyBorder="1" applyAlignment="1">
      <alignment horizontal="center" vertical="center" wrapText="1"/>
    </xf>
    <xf numFmtId="3" fontId="6" fillId="45" borderId="2" xfId="32665" applyNumberFormat="1" applyFont="1" applyFill="1" applyBorder="1" applyAlignment="1">
      <alignment horizontal="right" vertical="center" wrapText="1"/>
    </xf>
    <xf numFmtId="3" fontId="6" fillId="47" borderId="2" xfId="32665" applyNumberFormat="1" applyFont="1" applyFill="1" applyBorder="1" applyAlignment="1">
      <alignment horizontal="right" vertical="center" wrapText="1"/>
    </xf>
    <xf numFmtId="3" fontId="6" fillId="46" borderId="2" xfId="32665" applyNumberFormat="1" applyFont="1" applyFill="1" applyBorder="1" applyAlignment="1">
      <alignment horizontal="right" vertical="center" wrapText="1"/>
    </xf>
    <xf numFmtId="3" fontId="9" fillId="0" borderId="2" xfId="32665" applyNumberFormat="1" applyFont="1" applyFill="1" applyBorder="1" applyAlignment="1">
      <alignment horizontal="right" vertical="center" wrapText="1"/>
    </xf>
    <xf numFmtId="3" fontId="75" fillId="0" borderId="0" xfId="32664" applyNumberFormat="1" applyFont="1" applyFill="1" applyBorder="1" applyAlignment="1">
      <alignment horizontal="right" vertical="center" wrapText="1"/>
    </xf>
    <xf numFmtId="0" fontId="9" fillId="0" borderId="2" xfId="32665" applyFont="1" applyFill="1" applyBorder="1" applyAlignment="1">
      <alignment vertical="center"/>
    </xf>
    <xf numFmtId="3" fontId="6" fillId="0" borderId="2" xfId="32665" applyNumberFormat="1" applyFont="1" applyFill="1" applyBorder="1" applyAlignment="1">
      <alignment horizontal="right" vertical="center"/>
    </xf>
    <xf numFmtId="3" fontId="11" fillId="0" borderId="0" xfId="32665" applyNumberFormat="1" applyFont="1" applyFill="1" applyBorder="1" applyAlignment="1">
      <alignment horizontal="right" vertical="center"/>
    </xf>
    <xf numFmtId="3" fontId="6" fillId="38" borderId="2" xfId="32665" applyNumberFormat="1" applyFont="1" applyFill="1" applyBorder="1" applyAlignment="1">
      <alignment horizontal="right" vertical="center" wrapText="1"/>
    </xf>
    <xf numFmtId="3" fontId="9" fillId="0" borderId="2" xfId="32665" applyNumberFormat="1" applyFont="1" applyFill="1" applyBorder="1" applyAlignment="1">
      <alignment horizontal="right" vertical="center"/>
    </xf>
    <xf numFmtId="196" fontId="82" fillId="35" borderId="0" xfId="160" applyNumberFormat="1" applyFont="1" applyFill="1" applyBorder="1" applyAlignment="1">
      <alignment horizontal="left" wrapText="1"/>
    </xf>
    <xf numFmtId="3" fontId="9" fillId="45" borderId="2" xfId="32665" applyNumberFormat="1" applyFont="1" applyFill="1" applyBorder="1" applyAlignment="1">
      <alignment horizontal="right" vertical="center" wrapText="1"/>
    </xf>
    <xf numFmtId="3" fontId="9" fillId="35" borderId="2" xfId="32665" applyNumberFormat="1" applyFont="1" applyFill="1" applyBorder="1" applyAlignment="1">
      <alignment horizontal="right" vertical="center" wrapText="1"/>
    </xf>
    <xf numFmtId="3" fontId="75" fillId="0" borderId="0" xfId="32665" applyNumberFormat="1" applyFont="1" applyFill="1" applyBorder="1" applyAlignment="1">
      <alignment horizontal="right" vertical="center" wrapText="1"/>
    </xf>
    <xf numFmtId="196" fontId="82" fillId="35" borderId="0" xfId="160" applyNumberFormat="1" applyFont="1" applyFill="1" applyBorder="1" applyAlignment="1">
      <alignment horizontal="left"/>
    </xf>
    <xf numFmtId="3" fontId="11" fillId="35" borderId="2" xfId="32665" applyNumberFormat="1" applyFont="1" applyFill="1" applyBorder="1" applyAlignment="1">
      <alignment horizontal="right" vertical="center" wrapText="1"/>
    </xf>
    <xf numFmtId="3" fontId="12" fillId="35" borderId="2" xfId="32665" applyNumberFormat="1" applyFont="1" applyFill="1" applyBorder="1" applyAlignment="1">
      <alignment horizontal="right" vertical="center" wrapText="1"/>
    </xf>
    <xf numFmtId="0" fontId="12" fillId="0" borderId="0" xfId="32665" applyFont="1" applyFill="1" applyAlignment="1">
      <alignment vertical="center"/>
    </xf>
    <xf numFmtId="3" fontId="12" fillId="44" borderId="2" xfId="32665" applyNumberFormat="1" applyFont="1" applyFill="1" applyBorder="1" applyAlignment="1">
      <alignment horizontal="right" vertical="center" wrapText="1"/>
    </xf>
    <xf numFmtId="3" fontId="101" fillId="45" borderId="2" xfId="32665" applyNumberFormat="1" applyFont="1" applyFill="1" applyBorder="1" applyAlignment="1">
      <alignment horizontal="right" vertical="center" wrapText="1"/>
    </xf>
    <xf numFmtId="4" fontId="6" fillId="0" borderId="0" xfId="32665" applyNumberFormat="1" applyFont="1" applyFill="1" applyBorder="1" applyAlignment="1">
      <alignment vertical="center"/>
    </xf>
    <xf numFmtId="4" fontId="9" fillId="0" borderId="0" xfId="32665" applyNumberFormat="1" applyFont="1" applyFill="1" applyAlignment="1">
      <alignment vertical="center"/>
    </xf>
    <xf numFmtId="3" fontId="12" fillId="0" borderId="0" xfId="32665" applyNumberFormat="1" applyFont="1" applyFill="1" applyBorder="1" applyAlignment="1">
      <alignment horizontal="right" vertical="center"/>
    </xf>
    <xf numFmtId="4" fontId="6" fillId="0" borderId="0" xfId="32665" applyNumberFormat="1" applyFont="1" applyFill="1" applyAlignment="1">
      <alignment vertical="center"/>
    </xf>
    <xf numFmtId="3" fontId="104" fillId="45" borderId="2" xfId="32665" applyNumberFormat="1" applyFont="1" applyFill="1" applyBorder="1" applyAlignment="1">
      <alignment horizontal="right" vertical="center" wrapText="1"/>
    </xf>
    <xf numFmtId="3" fontId="104" fillId="38" borderId="2" xfId="32665" applyNumberFormat="1" applyFont="1" applyFill="1" applyBorder="1" applyAlignment="1">
      <alignment horizontal="right" vertical="center" wrapText="1"/>
    </xf>
    <xf numFmtId="211" fontId="6" fillId="0" borderId="0" xfId="32665" applyNumberFormat="1" applyFont="1" applyFill="1" applyAlignment="1">
      <alignment vertical="center"/>
    </xf>
    <xf numFmtId="0" fontId="11" fillId="0" borderId="2" xfId="32665" applyFont="1" applyFill="1" applyBorder="1" applyAlignment="1">
      <alignment horizontal="center" vertical="center"/>
    </xf>
    <xf numFmtId="0" fontId="6" fillId="0" borderId="2" xfId="32665" applyFont="1" applyFill="1" applyBorder="1" applyAlignment="1">
      <alignment horizontal="right" vertical="center" wrapText="1"/>
    </xf>
    <xf numFmtId="3" fontId="12" fillId="35" borderId="2" xfId="32664" applyNumberFormat="1" applyFont="1" applyFill="1" applyBorder="1" applyAlignment="1">
      <alignment horizontal="right" vertical="center" wrapText="1"/>
    </xf>
    <xf numFmtId="196" fontId="75" fillId="0" borderId="2" xfId="160" applyNumberFormat="1" applyFont="1" applyFill="1" applyBorder="1" applyAlignment="1">
      <alignment wrapText="1"/>
    </xf>
    <xf numFmtId="9" fontId="83" fillId="0" borderId="0" xfId="32660" applyFont="1" applyFill="1" applyBorder="1" applyAlignment="1">
      <alignment horizontal="right" wrapText="1"/>
    </xf>
    <xf numFmtId="0" fontId="85" fillId="0" borderId="0" xfId="32665" applyFont="1" applyFill="1" applyAlignment="1">
      <alignment vertical="center"/>
    </xf>
    <xf numFmtId="3" fontId="83" fillId="0" borderId="2" xfId="32660" applyNumberFormat="1" applyFont="1" applyFill="1" applyBorder="1" applyAlignment="1">
      <alignment horizontal="right"/>
    </xf>
    <xf numFmtId="196" fontId="75" fillId="0" borderId="2" xfId="160" applyNumberFormat="1" applyFont="1" applyFill="1" applyBorder="1" applyAlignment="1"/>
    <xf numFmtId="167" fontId="83" fillId="0" borderId="0" xfId="32660" applyNumberFormat="1" applyFont="1" applyFill="1" applyBorder="1" applyAlignment="1">
      <alignment horizontal="right" wrapText="1"/>
    </xf>
    <xf numFmtId="3" fontId="6" fillId="35" borderId="2" xfId="32665" applyNumberFormat="1" applyFont="1" applyFill="1" applyBorder="1" applyAlignment="1">
      <alignment horizontal="right" vertical="center" wrapText="1"/>
    </xf>
    <xf numFmtId="3" fontId="6" fillId="44" borderId="2" xfId="32665" applyNumberFormat="1" applyFont="1" applyFill="1" applyBorder="1" applyAlignment="1">
      <alignment horizontal="right" vertical="center" wrapText="1"/>
    </xf>
    <xf numFmtId="195" fontId="6" fillId="0" borderId="0" xfId="32665" applyNumberFormat="1" applyFont="1" applyFill="1" applyAlignment="1">
      <alignment vertical="center"/>
    </xf>
    <xf numFmtId="168" fontId="6" fillId="0" borderId="2" xfId="32665" applyNumberFormat="1" applyFont="1" applyFill="1" applyBorder="1" applyAlignment="1">
      <alignment horizontal="right" vertical="center" wrapText="1"/>
    </xf>
    <xf numFmtId="168" fontId="11" fillId="0" borderId="0" xfId="32665" applyNumberFormat="1" applyFont="1" applyFill="1" applyBorder="1" applyAlignment="1">
      <alignment horizontal="right" vertical="center" wrapText="1"/>
    </xf>
    <xf numFmtId="168" fontId="12" fillId="0" borderId="2" xfId="32665" applyNumberFormat="1" applyFont="1" applyFill="1" applyBorder="1" applyAlignment="1">
      <alignment horizontal="right" vertical="center" wrapText="1"/>
    </xf>
    <xf numFmtId="195" fontId="12" fillId="35" borderId="2" xfId="32665" applyNumberFormat="1" applyFont="1" applyFill="1" applyBorder="1" applyAlignment="1">
      <alignment horizontal="right" vertical="center" wrapText="1"/>
    </xf>
    <xf numFmtId="168" fontId="12" fillId="35" borderId="2" xfId="32665" applyNumberFormat="1" applyFont="1" applyFill="1" applyBorder="1" applyAlignment="1">
      <alignment horizontal="right" vertical="center" wrapText="1"/>
    </xf>
    <xf numFmtId="4" fontId="105" fillId="0" borderId="41" xfId="32666" applyNumberFormat="1" applyFont="1" applyBorder="1" applyAlignment="1">
      <alignment horizontal="right" vertical="top" wrapText="1"/>
    </xf>
    <xf numFmtId="3" fontId="106" fillId="45" borderId="2" xfId="32665" applyNumberFormat="1" applyFont="1" applyFill="1" applyBorder="1" applyAlignment="1">
      <alignment horizontal="right" vertical="center" wrapText="1"/>
    </xf>
    <xf numFmtId="3" fontId="106" fillId="0" borderId="2" xfId="32665" applyNumberFormat="1" applyFont="1" applyFill="1" applyBorder="1" applyAlignment="1">
      <alignment horizontal="right" vertical="center" wrapText="1"/>
    </xf>
    <xf numFmtId="3" fontId="106" fillId="38" borderId="2" xfId="32665" applyNumberFormat="1" applyFont="1" applyFill="1" applyBorder="1" applyAlignment="1">
      <alignment horizontal="right" vertical="center" wrapText="1"/>
    </xf>
    <xf numFmtId="196" fontId="82" fillId="42" borderId="0" xfId="160" applyNumberFormat="1" applyFont="1" applyFill="1" applyBorder="1" applyAlignment="1">
      <alignment horizontal="left"/>
    </xf>
    <xf numFmtId="3" fontId="12" fillId="42" borderId="2" xfId="32665" applyNumberFormat="1" applyFont="1" applyFill="1" applyBorder="1" applyAlignment="1">
      <alignment horizontal="right" vertical="center" wrapText="1"/>
    </xf>
    <xf numFmtId="3" fontId="6" fillId="0" borderId="0" xfId="32664" applyNumberFormat="1" applyFont="1" applyFill="1" applyBorder="1" applyAlignment="1">
      <alignment horizontal="right" vertical="center" wrapText="1"/>
    </xf>
    <xf numFmtId="3" fontId="6" fillId="45" borderId="2" xfId="32664" applyNumberFormat="1" applyFont="1" applyFill="1" applyBorder="1" applyAlignment="1">
      <alignment horizontal="right" vertical="center" wrapText="1"/>
    </xf>
    <xf numFmtId="3" fontId="6" fillId="45" borderId="2" xfId="129" applyNumberFormat="1" applyFont="1" applyFill="1" applyBorder="1" applyAlignment="1">
      <alignment horizontal="right" vertical="center" wrapText="1"/>
    </xf>
    <xf numFmtId="3" fontId="9" fillId="0" borderId="0" xfId="32665" applyNumberFormat="1" applyFont="1" applyFill="1" applyBorder="1" applyAlignment="1">
      <alignment horizontal="right" vertical="center" wrapText="1"/>
    </xf>
    <xf numFmtId="0" fontId="14" fillId="0" borderId="2" xfId="32665" applyFont="1" applyFill="1" applyBorder="1" applyAlignment="1">
      <alignment horizontal="center" vertical="center" wrapText="1"/>
    </xf>
    <xf numFmtId="3" fontId="11" fillId="0" borderId="2" xfId="32665" applyNumberFormat="1" applyFont="1" applyFill="1" applyBorder="1" applyAlignment="1">
      <alignment horizontal="right" vertical="center" wrapText="1"/>
    </xf>
    <xf numFmtId="3" fontId="6" fillId="0" borderId="0" xfId="32665" applyNumberFormat="1" applyFont="1" applyFill="1" applyBorder="1" applyAlignment="1">
      <alignment vertical="center"/>
    </xf>
    <xf numFmtId="3" fontId="6" fillId="0" borderId="0" xfId="32665" applyNumberFormat="1" applyFont="1" applyFill="1" applyAlignment="1">
      <alignment vertical="center"/>
    </xf>
    <xf numFmtId="0" fontId="6" fillId="0" borderId="0" xfId="32665" applyFont="1" applyFill="1" applyBorder="1" applyAlignment="1">
      <alignment horizontal="center" vertical="center"/>
    </xf>
    <xf numFmtId="0" fontId="6" fillId="0" borderId="0" xfId="32665" applyFont="1" applyFill="1" applyAlignment="1">
      <alignment horizontal="center" vertical="center"/>
    </xf>
    <xf numFmtId="3" fontId="9" fillId="0" borderId="0" xfId="32665" applyNumberFormat="1" applyFont="1" applyFill="1" applyBorder="1" applyAlignment="1">
      <alignment horizontal="right" vertical="center"/>
    </xf>
    <xf numFmtId="0" fontId="14" fillId="0" borderId="0" xfId="32665" applyFont="1" applyFill="1" applyBorder="1" applyAlignment="1">
      <alignment horizontal="center" vertical="center" wrapText="1"/>
    </xf>
    <xf numFmtId="0" fontId="11" fillId="0" borderId="25" xfId="32665" applyFont="1" applyFill="1" applyBorder="1"/>
    <xf numFmtId="0" fontId="6" fillId="0" borderId="25" xfId="32665" applyFont="1" applyFill="1" applyBorder="1"/>
    <xf numFmtId="3" fontId="14" fillId="0" borderId="0" xfId="32665" applyNumberFormat="1" applyFont="1" applyFill="1" applyAlignment="1">
      <alignment horizontal="right"/>
    </xf>
    <xf numFmtId="0" fontId="6" fillId="0" borderId="0" xfId="32665" applyFont="1" applyFill="1" applyAlignment="1">
      <alignment horizontal="right"/>
    </xf>
    <xf numFmtId="0" fontId="11" fillId="0" borderId="0" xfId="32665" applyFont="1" applyFill="1"/>
    <xf numFmtId="0" fontId="6" fillId="0" borderId="2" xfId="32665" applyFont="1" applyFill="1" applyBorder="1"/>
    <xf numFmtId="0" fontId="9" fillId="0" borderId="0" xfId="32665" applyFont="1" applyFill="1"/>
    <xf numFmtId="3" fontId="6" fillId="0" borderId="0" xfId="32665" applyNumberFormat="1" applyFont="1" applyFill="1" applyAlignment="1">
      <alignment horizontal="right"/>
    </xf>
    <xf numFmtId="0" fontId="9" fillId="0" borderId="0" xfId="32665" applyFont="1" applyFill="1" applyAlignment="1">
      <alignment horizontal="right"/>
    </xf>
    <xf numFmtId="0" fontId="84" fillId="0" borderId="0" xfId="32665" applyFont="1" applyFill="1" applyAlignment="1">
      <alignment wrapText="1"/>
    </xf>
    <xf numFmtId="0" fontId="6" fillId="0" borderId="0" xfId="32665" applyFont="1" applyFill="1" applyAlignment="1">
      <alignment wrapText="1"/>
    </xf>
    <xf numFmtId="3" fontId="84" fillId="0" borderId="0" xfId="32665" applyNumberFormat="1" applyFont="1" applyFill="1" applyAlignment="1">
      <alignment wrapText="1"/>
    </xf>
    <xf numFmtId="3" fontId="6" fillId="0" borderId="0" xfId="32665" applyNumberFormat="1" applyFont="1" applyFill="1" applyAlignment="1">
      <alignment wrapText="1"/>
    </xf>
    <xf numFmtId="0" fontId="84" fillId="0" borderId="0" xfId="32665" applyFont="1" applyFill="1"/>
    <xf numFmtId="3" fontId="84" fillId="0" borderId="0" xfId="32665" applyNumberFormat="1" applyFont="1" applyFill="1" applyAlignment="1">
      <alignment horizontal="right"/>
    </xf>
    <xf numFmtId="4" fontId="84" fillId="0" borderId="0" xfId="32665" applyNumberFormat="1" applyFont="1" applyFill="1" applyAlignment="1">
      <alignment horizontal="right"/>
    </xf>
    <xf numFmtId="0" fontId="74" fillId="0" borderId="0" xfId="32665" applyFont="1" applyFill="1" applyAlignment="1">
      <alignment horizontal="right"/>
    </xf>
    <xf numFmtId="4" fontId="84" fillId="0" borderId="0" xfId="32665" applyNumberFormat="1" applyFont="1" applyFill="1"/>
    <xf numFmtId="201" fontId="74" fillId="0" borderId="0" xfId="32665" applyNumberFormat="1" applyFont="1" applyFill="1" applyAlignment="1">
      <alignment horizontal="right"/>
    </xf>
    <xf numFmtId="0" fontId="102" fillId="0" borderId="2" xfId="32665" applyFont="1" applyFill="1" applyBorder="1"/>
    <xf numFmtId="0" fontId="103" fillId="0" borderId="2" xfId="32665" applyFont="1" applyFill="1" applyBorder="1"/>
    <xf numFmtId="0" fontId="103" fillId="0" borderId="2" xfId="32665" applyFont="1" applyFill="1" applyBorder="1" applyAlignment="1">
      <alignment horizontal="right"/>
    </xf>
    <xf numFmtId="0" fontId="102" fillId="0" borderId="2" xfId="32665" applyFont="1" applyFill="1" applyBorder="1" applyAlignment="1">
      <alignment vertical="center" wrapText="1"/>
    </xf>
    <xf numFmtId="4" fontId="79" fillId="0" borderId="2" xfId="32665" applyNumberFormat="1" applyFont="1" applyFill="1" applyBorder="1" applyAlignment="1">
      <alignment horizontal="right"/>
    </xf>
    <xf numFmtId="4" fontId="103" fillId="0" borderId="2" xfId="32665" applyNumberFormat="1" applyFont="1" applyFill="1" applyBorder="1" applyAlignment="1">
      <alignment horizontal="right"/>
    </xf>
    <xf numFmtId="0" fontId="103" fillId="0" borderId="2" xfId="32665" applyFont="1" applyFill="1" applyBorder="1" applyAlignment="1">
      <alignment horizontal="left"/>
    </xf>
    <xf numFmtId="4" fontId="79" fillId="0" borderId="2" xfId="32665" applyNumberFormat="1" applyFont="1" applyFill="1" applyBorder="1"/>
    <xf numFmtId="3" fontId="103" fillId="0" borderId="2" xfId="32665" applyNumberFormat="1" applyFont="1" applyFill="1" applyBorder="1" applyAlignment="1">
      <alignment horizontal="right"/>
    </xf>
    <xf numFmtId="4" fontId="6" fillId="0" borderId="0" xfId="32665" applyNumberFormat="1" applyFont="1" applyFill="1" applyAlignment="1">
      <alignment horizontal="right"/>
    </xf>
    <xf numFmtId="1" fontId="6" fillId="0" borderId="0" xfId="32665" applyNumberFormat="1" applyFont="1" applyFill="1" applyAlignment="1">
      <alignment horizontal="right"/>
    </xf>
    <xf numFmtId="212" fontId="6" fillId="0" borderId="0" xfId="32665" applyNumberFormat="1" applyFont="1" applyFill="1"/>
    <xf numFmtId="9" fontId="6" fillId="0" borderId="0" xfId="32665" applyNumberFormat="1" applyFont="1" applyFill="1" applyAlignment="1">
      <alignment horizontal="right"/>
    </xf>
    <xf numFmtId="0" fontId="96" fillId="0" borderId="2" xfId="32653" applyFont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76" fillId="0" borderId="0" xfId="1" applyFont="1" applyFill="1" applyBorder="1" applyAlignment="1">
      <alignment horizontal="center" vertical="center" wrapText="1"/>
    </xf>
    <xf numFmtId="0" fontId="11" fillId="0" borderId="19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9" fillId="0" borderId="20" xfId="1" applyFont="1" applyFill="1" applyBorder="1" applyAlignment="1">
      <alignment horizontal="center" vertical="center" wrapText="1"/>
    </xf>
    <xf numFmtId="0" fontId="9" fillId="0" borderId="21" xfId="1" applyFont="1" applyFill="1" applyBorder="1" applyAlignment="1">
      <alignment horizontal="center" vertical="center" wrapText="1"/>
    </xf>
    <xf numFmtId="0" fontId="9" fillId="0" borderId="22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11" fillId="0" borderId="17" xfId="1" applyFont="1" applyFill="1" applyBorder="1" applyAlignment="1">
      <alignment horizontal="center" vertical="center" wrapText="1"/>
    </xf>
    <xf numFmtId="0" fontId="11" fillId="0" borderId="18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17" xfId="1" applyFont="1" applyFill="1" applyBorder="1" applyAlignment="1">
      <alignment horizontal="left" vertical="center" wrapText="1"/>
    </xf>
    <xf numFmtId="0" fontId="6" fillId="0" borderId="18" xfId="1" applyFont="1" applyFill="1" applyBorder="1" applyAlignment="1">
      <alignment horizontal="left" vertical="center" wrapText="1"/>
    </xf>
    <xf numFmtId="0" fontId="9" fillId="0" borderId="4" xfId="1" applyFont="1" applyFill="1" applyBorder="1" applyAlignment="1">
      <alignment horizontal="left" vertical="center" wrapText="1"/>
    </xf>
    <xf numFmtId="0" fontId="9" fillId="0" borderId="17" xfId="1" applyFont="1" applyFill="1" applyBorder="1" applyAlignment="1">
      <alignment horizontal="left" vertical="center" wrapText="1"/>
    </xf>
    <xf numFmtId="0" fontId="9" fillId="0" borderId="18" xfId="1" applyFont="1" applyFill="1" applyBorder="1" applyAlignment="1">
      <alignment horizontal="left" vertical="center" wrapText="1"/>
    </xf>
    <xf numFmtId="190" fontId="79" fillId="0" borderId="0" xfId="0" applyNumberFormat="1" applyFont="1" applyFill="1" applyBorder="1" applyAlignment="1">
      <alignment horizontal="center"/>
    </xf>
    <xf numFmtId="0" fontId="9" fillId="35" borderId="20" xfId="1" applyFont="1" applyFill="1" applyBorder="1" applyAlignment="1">
      <alignment horizontal="center" vertical="center" wrapText="1"/>
    </xf>
    <xf numFmtId="0" fontId="9" fillId="35" borderId="21" xfId="1" applyFont="1" applyFill="1" applyBorder="1" applyAlignment="1">
      <alignment horizontal="center" vertical="center" wrapText="1"/>
    </xf>
    <xf numFmtId="0" fontId="9" fillId="35" borderId="22" xfId="1" applyFont="1" applyFill="1" applyBorder="1" applyAlignment="1">
      <alignment horizontal="center" vertical="center" wrapText="1"/>
    </xf>
    <xf numFmtId="0" fontId="9" fillId="35" borderId="20" xfId="1" applyFont="1" applyFill="1" applyBorder="1" applyAlignment="1">
      <alignment horizontal="center"/>
    </xf>
    <xf numFmtId="0" fontId="9" fillId="35" borderId="21" xfId="1" applyFont="1" applyFill="1" applyBorder="1" applyAlignment="1">
      <alignment horizontal="center"/>
    </xf>
    <xf numFmtId="0" fontId="9" fillId="35" borderId="22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 vertical="center" wrapText="1"/>
    </xf>
    <xf numFmtId="0" fontId="9" fillId="0" borderId="19" xfId="1" applyFont="1" applyFill="1" applyBorder="1" applyAlignment="1">
      <alignment horizontal="center" vertical="center" wrapText="1"/>
    </xf>
    <xf numFmtId="0" fontId="80" fillId="0" borderId="27" xfId="0" applyFont="1" applyBorder="1" applyAlignment="1">
      <alignment horizontal="left" wrapText="1"/>
    </xf>
    <xf numFmtId="0" fontId="80" fillId="0" borderId="18" xfId="0" applyFont="1" applyBorder="1" applyAlignment="1">
      <alignment horizontal="left" wrapText="1"/>
    </xf>
    <xf numFmtId="0" fontId="6" fillId="0" borderId="25" xfId="1" applyFont="1" applyFill="1" applyBorder="1" applyAlignment="1">
      <alignment horizontal="left" wrapText="1"/>
    </xf>
    <xf numFmtId="0" fontId="9" fillId="35" borderId="2" xfId="1" applyFont="1" applyFill="1" applyBorder="1" applyAlignment="1">
      <alignment horizontal="center"/>
    </xf>
    <xf numFmtId="0" fontId="9" fillId="2" borderId="20" xfId="1" applyFont="1" applyFill="1" applyBorder="1" applyAlignment="1">
      <alignment horizontal="center"/>
    </xf>
    <xf numFmtId="0" fontId="9" fillId="2" borderId="21" xfId="1" applyFont="1" applyFill="1" applyBorder="1" applyAlignment="1">
      <alignment horizontal="center"/>
    </xf>
    <xf numFmtId="0" fontId="6" fillId="0" borderId="4" xfId="1" applyFont="1" applyFill="1" applyBorder="1" applyAlignment="1">
      <alignment horizontal="center" vertical="center" wrapText="1"/>
    </xf>
    <xf numFmtId="0" fontId="6" fillId="0" borderId="17" xfId="1" applyFont="1" applyFill="1" applyBorder="1" applyAlignment="1">
      <alignment horizontal="center" vertical="center" wrapText="1"/>
    </xf>
    <xf numFmtId="0" fontId="6" fillId="0" borderId="18" xfId="1" applyFont="1" applyFill="1" applyBorder="1" applyAlignment="1">
      <alignment horizontal="center" vertical="center" wrapText="1"/>
    </xf>
    <xf numFmtId="0" fontId="75" fillId="0" borderId="4" xfId="1" applyFont="1" applyFill="1" applyBorder="1" applyAlignment="1">
      <alignment horizontal="center" vertical="center" wrapText="1"/>
    </xf>
    <xf numFmtId="0" fontId="75" fillId="0" borderId="17" xfId="1" applyFont="1" applyFill="1" applyBorder="1" applyAlignment="1">
      <alignment horizontal="center" vertical="center" wrapText="1"/>
    </xf>
    <xf numFmtId="0" fontId="75" fillId="0" borderId="18" xfId="1" applyFont="1" applyFill="1" applyBorder="1" applyAlignment="1">
      <alignment horizontal="center" vertical="center" wrapText="1"/>
    </xf>
    <xf numFmtId="0" fontId="9" fillId="0" borderId="23" xfId="1" applyFont="1" applyFill="1" applyBorder="1" applyAlignment="1">
      <alignment horizontal="center" vertical="center" wrapText="1"/>
    </xf>
    <xf numFmtId="0" fontId="9" fillId="0" borderId="0" xfId="32663" applyFont="1" applyFill="1" applyBorder="1" applyAlignment="1">
      <alignment horizontal="center" vertical="center" wrapText="1"/>
    </xf>
    <xf numFmtId="0" fontId="76" fillId="0" borderId="0" xfId="32663" applyFont="1" applyFill="1" applyBorder="1" applyAlignment="1">
      <alignment horizontal="center" vertical="center" wrapText="1"/>
    </xf>
    <xf numFmtId="0" fontId="11" fillId="0" borderId="2" xfId="32663" applyFont="1" applyFill="1" applyBorder="1" applyAlignment="1">
      <alignment horizontal="center" vertical="center" wrapText="1"/>
    </xf>
    <xf numFmtId="0" fontId="6" fillId="0" borderId="2" xfId="32663" applyFont="1" applyFill="1" applyBorder="1" applyAlignment="1">
      <alignment horizontal="center" vertical="center" wrapText="1"/>
    </xf>
    <xf numFmtId="0" fontId="9" fillId="0" borderId="20" xfId="32663" applyFont="1" applyFill="1" applyBorder="1" applyAlignment="1">
      <alignment horizontal="center" vertical="center" wrapText="1"/>
    </xf>
    <xf numFmtId="0" fontId="9" fillId="0" borderId="21" xfId="32663" applyFont="1" applyFill="1" applyBorder="1" applyAlignment="1">
      <alignment horizontal="center" vertical="center" wrapText="1"/>
    </xf>
    <xf numFmtId="0" fontId="9" fillId="0" borderId="22" xfId="32663" applyFont="1" applyFill="1" applyBorder="1" applyAlignment="1">
      <alignment horizontal="center" vertical="center" wrapText="1"/>
    </xf>
    <xf numFmtId="0" fontId="9" fillId="0" borderId="2" xfId="32663" applyFont="1" applyFill="1" applyBorder="1" applyAlignment="1">
      <alignment horizontal="center" vertical="center" wrapText="1"/>
    </xf>
    <xf numFmtId="0" fontId="75" fillId="0" borderId="27" xfId="32663" applyFont="1" applyFill="1" applyBorder="1" applyAlignment="1">
      <alignment horizontal="center" vertical="center" wrapText="1"/>
    </xf>
    <xf numFmtId="0" fontId="75" fillId="0" borderId="17" xfId="32663" applyFont="1" applyFill="1" applyBorder="1" applyAlignment="1">
      <alignment horizontal="center" vertical="center" wrapText="1"/>
    </xf>
    <xf numFmtId="0" fontId="75" fillId="0" borderId="18" xfId="32663" applyFont="1" applyFill="1" applyBorder="1" applyAlignment="1">
      <alignment horizontal="center" vertical="center" wrapText="1"/>
    </xf>
    <xf numFmtId="0" fontId="9" fillId="0" borderId="27" xfId="32663" applyFont="1" applyFill="1" applyBorder="1" applyAlignment="1">
      <alignment horizontal="left" vertical="center" wrapText="1"/>
    </xf>
    <xf numFmtId="0" fontId="9" fillId="0" borderId="17" xfId="32663" applyFont="1" applyFill="1" applyBorder="1" applyAlignment="1">
      <alignment horizontal="left" vertical="center" wrapText="1"/>
    </xf>
    <xf numFmtId="0" fontId="9" fillId="0" borderId="18" xfId="32663" applyFont="1" applyFill="1" applyBorder="1" applyAlignment="1">
      <alignment horizontal="left" vertical="center" wrapText="1"/>
    </xf>
    <xf numFmtId="0" fontId="99" fillId="0" borderId="0" xfId="32653" applyFont="1" applyAlignment="1">
      <alignment horizontal="center" wrapText="1"/>
    </xf>
    <xf numFmtId="0" fontId="96" fillId="0" borderId="2" xfId="32653" applyFont="1" applyBorder="1" applyAlignment="1">
      <alignment horizontal="center" vertical="center" wrapText="1"/>
    </xf>
    <xf numFmtId="0" fontId="96" fillId="0" borderId="2" xfId="32653" applyNumberFormat="1" applyFont="1" applyBorder="1" applyAlignment="1">
      <alignment horizontal="center" vertical="center" wrapText="1"/>
    </xf>
    <xf numFmtId="0" fontId="96" fillId="0" borderId="2" xfId="32653" applyFont="1" applyBorder="1" applyAlignment="1">
      <alignment horizontal="center" vertical="center"/>
    </xf>
    <xf numFmtId="0" fontId="99" fillId="0" borderId="0" xfId="32653" applyFont="1" applyAlignment="1">
      <alignment horizontal="center"/>
    </xf>
    <xf numFmtId="0" fontId="9" fillId="0" borderId="27" xfId="1" applyFont="1" applyFill="1" applyBorder="1" applyAlignment="1">
      <alignment horizontal="left" vertical="center"/>
    </xf>
    <xf numFmtId="0" fontId="9" fillId="0" borderId="17" xfId="1" applyFont="1" applyFill="1" applyBorder="1" applyAlignment="1">
      <alignment horizontal="left" vertical="center"/>
    </xf>
    <xf numFmtId="0" fontId="9" fillId="0" borderId="18" xfId="1" applyFont="1" applyFill="1" applyBorder="1" applyAlignment="1">
      <alignment horizontal="left" vertical="center"/>
    </xf>
    <xf numFmtId="0" fontId="75" fillId="0" borderId="27" xfId="1" applyFont="1" applyFill="1" applyBorder="1" applyAlignment="1">
      <alignment horizontal="center" vertical="center" wrapText="1"/>
    </xf>
    <xf numFmtId="0" fontId="9" fillId="39" borderId="2" xfId="1" applyFont="1" applyFill="1" applyBorder="1" applyAlignment="1">
      <alignment horizontal="left" vertical="center"/>
    </xf>
    <xf numFmtId="0" fontId="75" fillId="39" borderId="2" xfId="1" applyFont="1" applyFill="1" applyBorder="1" applyAlignment="1">
      <alignment horizontal="center" vertical="center" wrapText="1"/>
    </xf>
    <xf numFmtId="0" fontId="9" fillId="0" borderId="2" xfId="32665" applyFont="1" applyFill="1" applyBorder="1" applyAlignment="1">
      <alignment horizontal="center" vertical="center" wrapText="1"/>
    </xf>
    <xf numFmtId="0" fontId="9" fillId="44" borderId="0" xfId="32665" applyFont="1" applyFill="1" applyAlignment="1">
      <alignment horizontal="center" vertical="center" wrapText="1"/>
    </xf>
    <xf numFmtId="0" fontId="9" fillId="0" borderId="2" xfId="32665" applyFont="1" applyFill="1" applyBorder="1" applyAlignment="1">
      <alignment horizontal="center" vertical="center"/>
    </xf>
    <xf numFmtId="0" fontId="75" fillId="0" borderId="27" xfId="32665" applyFont="1" applyFill="1" applyBorder="1" applyAlignment="1">
      <alignment horizontal="center" vertical="center" wrapText="1"/>
    </xf>
    <xf numFmtId="0" fontId="75" fillId="0" borderId="17" xfId="32665" applyFont="1" applyFill="1" applyBorder="1" applyAlignment="1">
      <alignment horizontal="center" vertical="center" wrapText="1"/>
    </xf>
    <xf numFmtId="0" fontId="75" fillId="0" borderId="18" xfId="32665" applyFont="1" applyFill="1" applyBorder="1" applyAlignment="1">
      <alignment horizontal="center" vertical="center" wrapText="1"/>
    </xf>
    <xf numFmtId="0" fontId="9" fillId="0" borderId="27" xfId="32665" applyFont="1" applyFill="1" applyBorder="1" applyAlignment="1">
      <alignment horizontal="left" vertical="center" wrapText="1"/>
    </xf>
    <xf numFmtId="0" fontId="9" fillId="0" borderId="17" xfId="32665" applyFont="1" applyFill="1" applyBorder="1" applyAlignment="1">
      <alignment horizontal="left" vertical="center" wrapText="1"/>
    </xf>
    <xf numFmtId="0" fontId="9" fillId="0" borderId="18" xfId="32665" applyFont="1" applyFill="1" applyBorder="1" applyAlignment="1">
      <alignment horizontal="left" vertical="center" wrapText="1"/>
    </xf>
    <xf numFmtId="0" fontId="75" fillId="0" borderId="25" xfId="32665" applyFont="1" applyFill="1" applyBorder="1" applyAlignment="1">
      <alignment horizontal="center" vertical="center" wrapText="1"/>
    </xf>
    <xf numFmtId="0" fontId="75" fillId="0" borderId="0" xfId="32665" applyFont="1" applyFill="1" applyBorder="1" applyAlignment="1">
      <alignment horizontal="center" vertical="center" wrapText="1"/>
    </xf>
    <xf numFmtId="0" fontId="75" fillId="0" borderId="26" xfId="32665" applyFont="1" applyFill="1" applyBorder="1" applyAlignment="1">
      <alignment horizontal="center" vertical="center" wrapText="1"/>
    </xf>
    <xf numFmtId="0" fontId="9" fillId="0" borderId="25" xfId="32665" applyFont="1" applyFill="1" applyBorder="1" applyAlignment="1">
      <alignment horizontal="left" vertical="center" wrapText="1"/>
    </xf>
    <xf numFmtId="0" fontId="9" fillId="0" borderId="0" xfId="32665" applyFont="1" applyFill="1" applyBorder="1" applyAlignment="1">
      <alignment horizontal="left" vertical="center" wrapText="1"/>
    </xf>
    <xf numFmtId="0" fontId="9" fillId="0" borderId="26" xfId="32665" applyFont="1" applyFill="1" applyBorder="1" applyAlignment="1">
      <alignment horizontal="left" vertical="center" wrapText="1"/>
    </xf>
    <xf numFmtId="0" fontId="11" fillId="0" borderId="2" xfId="32665" applyFont="1" applyFill="1" applyBorder="1" applyAlignment="1">
      <alignment horizontal="center" vertical="center" wrapText="1"/>
    </xf>
    <xf numFmtId="0" fontId="6" fillId="0" borderId="2" xfId="32665" applyFont="1" applyFill="1" applyBorder="1" applyAlignment="1">
      <alignment horizontal="center" vertical="center" wrapText="1"/>
    </xf>
    <xf numFmtId="0" fontId="95" fillId="0" borderId="0" xfId="32653" applyFont="1" applyAlignment="1">
      <alignment horizontal="left"/>
    </xf>
    <xf numFmtId="0" fontId="95" fillId="0" borderId="26" xfId="32653" applyFont="1" applyBorder="1" applyAlignment="1">
      <alignment horizontal="center"/>
    </xf>
    <xf numFmtId="0" fontId="95" fillId="0" borderId="26" xfId="32653" applyFont="1" applyBorder="1"/>
  </cellXfs>
  <cellStyles count="32667">
    <cellStyle name="%" xfId="166"/>
    <cellStyle name="% 10" xfId="167"/>
    <cellStyle name="% 11" xfId="168"/>
    <cellStyle name="% 12" xfId="169"/>
    <cellStyle name="% 13" xfId="170"/>
    <cellStyle name="% 14" xfId="171"/>
    <cellStyle name="% 15" xfId="172"/>
    <cellStyle name="% 16" xfId="173"/>
    <cellStyle name="% 17" xfId="174"/>
    <cellStyle name="% 18" xfId="175"/>
    <cellStyle name="% 19" xfId="176"/>
    <cellStyle name="% 2" xfId="177"/>
    <cellStyle name="% 20" xfId="178"/>
    <cellStyle name="% 21" xfId="179"/>
    <cellStyle name="% 22" xfId="180"/>
    <cellStyle name="% 23" xfId="181"/>
    <cellStyle name="% 24" xfId="182"/>
    <cellStyle name="% 25" xfId="183"/>
    <cellStyle name="% 26" xfId="184"/>
    <cellStyle name="% 27" xfId="185"/>
    <cellStyle name="% 28" xfId="186"/>
    <cellStyle name="% 29" xfId="187"/>
    <cellStyle name="% 3" xfId="188"/>
    <cellStyle name="% 30" xfId="189"/>
    <cellStyle name="% 31" xfId="190"/>
    <cellStyle name="% 32" xfId="191"/>
    <cellStyle name="% 33" xfId="192"/>
    <cellStyle name="% 34" xfId="193"/>
    <cellStyle name="% 35" xfId="194"/>
    <cellStyle name="% 36" xfId="195"/>
    <cellStyle name="% 37" xfId="196"/>
    <cellStyle name="% 38" xfId="197"/>
    <cellStyle name="% 39" xfId="198"/>
    <cellStyle name="% 4" xfId="199"/>
    <cellStyle name="% 40" xfId="200"/>
    <cellStyle name="% 41" xfId="201"/>
    <cellStyle name="% 42" xfId="202"/>
    <cellStyle name="% 43" xfId="203"/>
    <cellStyle name="% 44" xfId="204"/>
    <cellStyle name="% 45" xfId="205"/>
    <cellStyle name="% 46" xfId="206"/>
    <cellStyle name="% 47" xfId="207"/>
    <cellStyle name="% 48" xfId="208"/>
    <cellStyle name="% 49" xfId="209"/>
    <cellStyle name="% 5" xfId="210"/>
    <cellStyle name="% 50" xfId="211"/>
    <cellStyle name="% 51" xfId="212"/>
    <cellStyle name="% 52" xfId="213"/>
    <cellStyle name="% 53" xfId="214"/>
    <cellStyle name="% 54" xfId="215"/>
    <cellStyle name="% 55" xfId="216"/>
    <cellStyle name="% 56" xfId="217"/>
    <cellStyle name="% 57" xfId="218"/>
    <cellStyle name="% 58" xfId="219"/>
    <cellStyle name="% 59" xfId="220"/>
    <cellStyle name="% 6" xfId="221"/>
    <cellStyle name="% 60" xfId="222"/>
    <cellStyle name="% 61" xfId="223"/>
    <cellStyle name="% 62" xfId="224"/>
    <cellStyle name="% 63" xfId="225"/>
    <cellStyle name="% 64" xfId="226"/>
    <cellStyle name="% 65" xfId="227"/>
    <cellStyle name="% 66" xfId="228"/>
    <cellStyle name="% 67" xfId="229"/>
    <cellStyle name="% 68" xfId="230"/>
    <cellStyle name="% 69" xfId="231"/>
    <cellStyle name="% 7" xfId="232"/>
    <cellStyle name="% 70" xfId="233"/>
    <cellStyle name="% 71" xfId="234"/>
    <cellStyle name="% 72" xfId="235"/>
    <cellStyle name="% 73" xfId="236"/>
    <cellStyle name="% 74" xfId="237"/>
    <cellStyle name="% 75" xfId="238"/>
    <cellStyle name="% 76" xfId="239"/>
    <cellStyle name="% 77" xfId="240"/>
    <cellStyle name="% 78" xfId="241"/>
    <cellStyle name="% 79" xfId="242"/>
    <cellStyle name="% 8" xfId="243"/>
    <cellStyle name="% 80" xfId="244"/>
    <cellStyle name="% 81" xfId="245"/>
    <cellStyle name="% 82" xfId="246"/>
    <cellStyle name="% 83" xfId="247"/>
    <cellStyle name="% 84" xfId="248"/>
    <cellStyle name="% 85" xfId="249"/>
    <cellStyle name="% 86" xfId="250"/>
    <cellStyle name="% 9" xfId="251"/>
    <cellStyle name="%_Свод1 110108" xfId="252"/>
    <cellStyle name="%_Свод1 проба11" xfId="253"/>
    <cellStyle name="_999" xfId="254"/>
    <cellStyle name="_999_2pr" xfId="255"/>
    <cellStyle name="_999_bln" xfId="256"/>
    <cellStyle name="_999_BLNMIX" xfId="257"/>
    <cellStyle name="_999_BLNREST" xfId="258"/>
    <cellStyle name="_грузы" xfId="259"/>
    <cellStyle name="_Для Рината-111" xfId="260"/>
    <cellStyle name="_Для Рината-111 10" xfId="261"/>
    <cellStyle name="_Для Рината-111 11" xfId="262"/>
    <cellStyle name="_Для Рината-111 12" xfId="263"/>
    <cellStyle name="_Для Рината-111 13" xfId="264"/>
    <cellStyle name="_Для Рината-111 14" xfId="265"/>
    <cellStyle name="_Для Рината-111 15" xfId="266"/>
    <cellStyle name="_Для Рината-111 16" xfId="267"/>
    <cellStyle name="_Для Рината-111 17" xfId="268"/>
    <cellStyle name="_Для Рината-111 18" xfId="269"/>
    <cellStyle name="_Для Рината-111 19" xfId="270"/>
    <cellStyle name="_Для Рината-111 2" xfId="271"/>
    <cellStyle name="_Для Рината-111 20" xfId="272"/>
    <cellStyle name="_Для Рината-111 21" xfId="273"/>
    <cellStyle name="_Для Рината-111 22" xfId="274"/>
    <cellStyle name="_Для Рината-111 23" xfId="275"/>
    <cellStyle name="_Для Рината-111 24" xfId="276"/>
    <cellStyle name="_Для Рината-111 25" xfId="277"/>
    <cellStyle name="_Для Рината-111 26" xfId="278"/>
    <cellStyle name="_Для Рината-111 27" xfId="279"/>
    <cellStyle name="_Для Рината-111 28" xfId="280"/>
    <cellStyle name="_Для Рината-111 29" xfId="281"/>
    <cellStyle name="_Для Рината-111 3" xfId="282"/>
    <cellStyle name="_Для Рината-111 30" xfId="283"/>
    <cellStyle name="_Для Рината-111 31" xfId="284"/>
    <cellStyle name="_Для Рината-111 32" xfId="285"/>
    <cellStyle name="_Для Рината-111 33" xfId="286"/>
    <cellStyle name="_Для Рината-111 34" xfId="287"/>
    <cellStyle name="_Для Рината-111 35" xfId="288"/>
    <cellStyle name="_Для Рината-111 36" xfId="289"/>
    <cellStyle name="_Для Рината-111 37" xfId="290"/>
    <cellStyle name="_Для Рината-111 38" xfId="291"/>
    <cellStyle name="_Для Рината-111 39" xfId="292"/>
    <cellStyle name="_Для Рината-111 4" xfId="293"/>
    <cellStyle name="_Для Рината-111 40" xfId="294"/>
    <cellStyle name="_Для Рината-111 41" xfId="295"/>
    <cellStyle name="_Для Рината-111 42" xfId="296"/>
    <cellStyle name="_Для Рината-111 43" xfId="297"/>
    <cellStyle name="_Для Рината-111 44" xfId="298"/>
    <cellStyle name="_Для Рината-111 45" xfId="299"/>
    <cellStyle name="_Для Рината-111 46" xfId="300"/>
    <cellStyle name="_Для Рината-111 47" xfId="301"/>
    <cellStyle name="_Для Рината-111 48" xfId="302"/>
    <cellStyle name="_Для Рината-111 49" xfId="303"/>
    <cellStyle name="_Для Рината-111 5" xfId="304"/>
    <cellStyle name="_Для Рината-111 50" xfId="305"/>
    <cellStyle name="_Для Рината-111 51" xfId="306"/>
    <cellStyle name="_Для Рината-111 52" xfId="307"/>
    <cellStyle name="_Для Рината-111 53" xfId="308"/>
    <cellStyle name="_Для Рината-111 54" xfId="309"/>
    <cellStyle name="_Для Рината-111 55" xfId="310"/>
    <cellStyle name="_Для Рината-111 56" xfId="311"/>
    <cellStyle name="_Для Рината-111 57" xfId="312"/>
    <cellStyle name="_Для Рината-111 58" xfId="313"/>
    <cellStyle name="_Для Рината-111 59" xfId="314"/>
    <cellStyle name="_Для Рината-111 6" xfId="315"/>
    <cellStyle name="_Для Рината-111 60" xfId="316"/>
    <cellStyle name="_Для Рината-111 61" xfId="317"/>
    <cellStyle name="_Для Рината-111 62" xfId="318"/>
    <cellStyle name="_Для Рината-111 63" xfId="319"/>
    <cellStyle name="_Для Рината-111 64" xfId="320"/>
    <cellStyle name="_Для Рината-111 65" xfId="321"/>
    <cellStyle name="_Для Рината-111 66" xfId="322"/>
    <cellStyle name="_Для Рината-111 67" xfId="323"/>
    <cellStyle name="_Для Рината-111 68" xfId="324"/>
    <cellStyle name="_Для Рината-111 69" xfId="325"/>
    <cellStyle name="_Для Рината-111 7" xfId="326"/>
    <cellStyle name="_Для Рината-111 70" xfId="327"/>
    <cellStyle name="_Для Рината-111 71" xfId="328"/>
    <cellStyle name="_Для Рината-111 72" xfId="329"/>
    <cellStyle name="_Для Рината-111 73" xfId="330"/>
    <cellStyle name="_Для Рината-111 74" xfId="331"/>
    <cellStyle name="_Для Рината-111 75" xfId="332"/>
    <cellStyle name="_Для Рината-111 76" xfId="333"/>
    <cellStyle name="_Для Рината-111 77" xfId="334"/>
    <cellStyle name="_Для Рината-111 78" xfId="335"/>
    <cellStyle name="_Для Рината-111 79" xfId="336"/>
    <cellStyle name="_Для Рината-111 8" xfId="337"/>
    <cellStyle name="_Для Рината-111 80" xfId="338"/>
    <cellStyle name="_Для Рината-111 81" xfId="339"/>
    <cellStyle name="_Для Рината-111 82" xfId="340"/>
    <cellStyle name="_Для Рината-111 83" xfId="341"/>
    <cellStyle name="_Для Рината-111 84" xfId="342"/>
    <cellStyle name="_Для Рината-111 85" xfId="343"/>
    <cellStyle name="_Для Рината-111 86" xfId="344"/>
    <cellStyle name="_Для Рината-111 9" xfId="345"/>
    <cellStyle name="_Для Рината-111_Shar-Ust Kamenogorsk для КТЖ_2" xfId="346"/>
    <cellStyle name="_Для Рината-111_Shar-Ust Kamenogorsk для КТЖ_2 10" xfId="347"/>
    <cellStyle name="_Для Рината-111_Shar-Ust Kamenogorsk для КТЖ_2 11" xfId="348"/>
    <cellStyle name="_Для Рината-111_Shar-Ust Kamenogorsk для КТЖ_2 12" xfId="349"/>
    <cellStyle name="_Для Рината-111_Shar-Ust Kamenogorsk для КТЖ_2 13" xfId="350"/>
    <cellStyle name="_Для Рината-111_Shar-Ust Kamenogorsk для КТЖ_2 14" xfId="351"/>
    <cellStyle name="_Для Рината-111_Shar-Ust Kamenogorsk для КТЖ_2 15" xfId="352"/>
    <cellStyle name="_Для Рината-111_Shar-Ust Kamenogorsk для КТЖ_2 16" xfId="353"/>
    <cellStyle name="_Для Рината-111_Shar-Ust Kamenogorsk для КТЖ_2 17" xfId="354"/>
    <cellStyle name="_Для Рината-111_Shar-Ust Kamenogorsk для КТЖ_2 18" xfId="355"/>
    <cellStyle name="_Для Рината-111_Shar-Ust Kamenogorsk для КТЖ_2 19" xfId="356"/>
    <cellStyle name="_Для Рината-111_Shar-Ust Kamenogorsk для КТЖ_2 2" xfId="357"/>
    <cellStyle name="_Для Рината-111_Shar-Ust Kamenogorsk для КТЖ_2 20" xfId="358"/>
    <cellStyle name="_Для Рината-111_Shar-Ust Kamenogorsk для КТЖ_2 21" xfId="359"/>
    <cellStyle name="_Для Рината-111_Shar-Ust Kamenogorsk для КТЖ_2 22" xfId="360"/>
    <cellStyle name="_Для Рината-111_Shar-Ust Kamenogorsk для КТЖ_2 23" xfId="361"/>
    <cellStyle name="_Для Рината-111_Shar-Ust Kamenogorsk для КТЖ_2 24" xfId="362"/>
    <cellStyle name="_Для Рината-111_Shar-Ust Kamenogorsk для КТЖ_2 25" xfId="363"/>
    <cellStyle name="_Для Рината-111_Shar-Ust Kamenogorsk для КТЖ_2 26" xfId="364"/>
    <cellStyle name="_Для Рината-111_Shar-Ust Kamenogorsk для КТЖ_2 27" xfId="365"/>
    <cellStyle name="_Для Рината-111_Shar-Ust Kamenogorsk для КТЖ_2 28" xfId="366"/>
    <cellStyle name="_Для Рината-111_Shar-Ust Kamenogorsk для КТЖ_2 29" xfId="367"/>
    <cellStyle name="_Для Рината-111_Shar-Ust Kamenogorsk для КТЖ_2 3" xfId="368"/>
    <cellStyle name="_Для Рината-111_Shar-Ust Kamenogorsk для КТЖ_2 30" xfId="369"/>
    <cellStyle name="_Для Рината-111_Shar-Ust Kamenogorsk для КТЖ_2 31" xfId="370"/>
    <cellStyle name="_Для Рината-111_Shar-Ust Kamenogorsk для КТЖ_2 32" xfId="371"/>
    <cellStyle name="_Для Рината-111_Shar-Ust Kamenogorsk для КТЖ_2 33" xfId="372"/>
    <cellStyle name="_Для Рината-111_Shar-Ust Kamenogorsk для КТЖ_2 34" xfId="373"/>
    <cellStyle name="_Для Рината-111_Shar-Ust Kamenogorsk для КТЖ_2 35" xfId="374"/>
    <cellStyle name="_Для Рината-111_Shar-Ust Kamenogorsk для КТЖ_2 36" xfId="375"/>
    <cellStyle name="_Для Рината-111_Shar-Ust Kamenogorsk для КТЖ_2 37" xfId="376"/>
    <cellStyle name="_Для Рината-111_Shar-Ust Kamenogorsk для КТЖ_2 38" xfId="377"/>
    <cellStyle name="_Для Рината-111_Shar-Ust Kamenogorsk для КТЖ_2 39" xfId="378"/>
    <cellStyle name="_Для Рината-111_Shar-Ust Kamenogorsk для КТЖ_2 4" xfId="379"/>
    <cellStyle name="_Для Рината-111_Shar-Ust Kamenogorsk для КТЖ_2 40" xfId="380"/>
    <cellStyle name="_Для Рината-111_Shar-Ust Kamenogorsk для КТЖ_2 41" xfId="381"/>
    <cellStyle name="_Для Рината-111_Shar-Ust Kamenogorsk для КТЖ_2 42" xfId="382"/>
    <cellStyle name="_Для Рината-111_Shar-Ust Kamenogorsk для КТЖ_2 43" xfId="383"/>
    <cellStyle name="_Для Рината-111_Shar-Ust Kamenogorsk для КТЖ_2 44" xfId="384"/>
    <cellStyle name="_Для Рината-111_Shar-Ust Kamenogorsk для КТЖ_2 45" xfId="385"/>
    <cellStyle name="_Для Рината-111_Shar-Ust Kamenogorsk для КТЖ_2 46" xfId="386"/>
    <cellStyle name="_Для Рината-111_Shar-Ust Kamenogorsk для КТЖ_2 47" xfId="387"/>
    <cellStyle name="_Для Рината-111_Shar-Ust Kamenogorsk для КТЖ_2 48" xfId="388"/>
    <cellStyle name="_Для Рината-111_Shar-Ust Kamenogorsk для КТЖ_2 49" xfId="389"/>
    <cellStyle name="_Для Рината-111_Shar-Ust Kamenogorsk для КТЖ_2 5" xfId="390"/>
    <cellStyle name="_Для Рината-111_Shar-Ust Kamenogorsk для КТЖ_2 50" xfId="391"/>
    <cellStyle name="_Для Рината-111_Shar-Ust Kamenogorsk для КТЖ_2 51" xfId="392"/>
    <cellStyle name="_Для Рината-111_Shar-Ust Kamenogorsk для КТЖ_2 52" xfId="393"/>
    <cellStyle name="_Для Рината-111_Shar-Ust Kamenogorsk для КТЖ_2 53" xfId="394"/>
    <cellStyle name="_Для Рината-111_Shar-Ust Kamenogorsk для КТЖ_2 54" xfId="395"/>
    <cellStyle name="_Для Рината-111_Shar-Ust Kamenogorsk для КТЖ_2 55" xfId="396"/>
    <cellStyle name="_Для Рината-111_Shar-Ust Kamenogorsk для КТЖ_2 56" xfId="397"/>
    <cellStyle name="_Для Рината-111_Shar-Ust Kamenogorsk для КТЖ_2 57" xfId="398"/>
    <cellStyle name="_Для Рината-111_Shar-Ust Kamenogorsk для КТЖ_2 58" xfId="399"/>
    <cellStyle name="_Для Рината-111_Shar-Ust Kamenogorsk для КТЖ_2 59" xfId="400"/>
    <cellStyle name="_Для Рината-111_Shar-Ust Kamenogorsk для КТЖ_2 6" xfId="401"/>
    <cellStyle name="_Для Рината-111_Shar-Ust Kamenogorsk для КТЖ_2 60" xfId="402"/>
    <cellStyle name="_Для Рината-111_Shar-Ust Kamenogorsk для КТЖ_2 61" xfId="403"/>
    <cellStyle name="_Для Рината-111_Shar-Ust Kamenogorsk для КТЖ_2 62" xfId="404"/>
    <cellStyle name="_Для Рината-111_Shar-Ust Kamenogorsk для КТЖ_2 63" xfId="405"/>
    <cellStyle name="_Для Рината-111_Shar-Ust Kamenogorsk для КТЖ_2 64" xfId="406"/>
    <cellStyle name="_Для Рината-111_Shar-Ust Kamenogorsk для КТЖ_2 65" xfId="407"/>
    <cellStyle name="_Для Рината-111_Shar-Ust Kamenogorsk для КТЖ_2 66" xfId="408"/>
    <cellStyle name="_Для Рината-111_Shar-Ust Kamenogorsk для КТЖ_2 67" xfId="409"/>
    <cellStyle name="_Для Рината-111_Shar-Ust Kamenogorsk для КТЖ_2 68" xfId="410"/>
    <cellStyle name="_Для Рината-111_Shar-Ust Kamenogorsk для КТЖ_2 69" xfId="411"/>
    <cellStyle name="_Для Рината-111_Shar-Ust Kamenogorsk для КТЖ_2 7" xfId="412"/>
    <cellStyle name="_Для Рината-111_Shar-Ust Kamenogorsk для КТЖ_2 70" xfId="413"/>
    <cellStyle name="_Для Рината-111_Shar-Ust Kamenogorsk для КТЖ_2 71" xfId="414"/>
    <cellStyle name="_Для Рината-111_Shar-Ust Kamenogorsk для КТЖ_2 72" xfId="415"/>
    <cellStyle name="_Для Рината-111_Shar-Ust Kamenogorsk для КТЖ_2 73" xfId="416"/>
    <cellStyle name="_Для Рината-111_Shar-Ust Kamenogorsk для КТЖ_2 74" xfId="417"/>
    <cellStyle name="_Для Рината-111_Shar-Ust Kamenogorsk для КТЖ_2 75" xfId="418"/>
    <cellStyle name="_Для Рината-111_Shar-Ust Kamenogorsk для КТЖ_2 76" xfId="419"/>
    <cellStyle name="_Для Рината-111_Shar-Ust Kamenogorsk для КТЖ_2 77" xfId="420"/>
    <cellStyle name="_Для Рината-111_Shar-Ust Kamenogorsk для КТЖ_2 78" xfId="421"/>
    <cellStyle name="_Для Рината-111_Shar-Ust Kamenogorsk для КТЖ_2 79" xfId="422"/>
    <cellStyle name="_Для Рината-111_Shar-Ust Kamenogorsk для КТЖ_2 8" xfId="423"/>
    <cellStyle name="_Для Рината-111_Shar-Ust Kamenogorsk для КТЖ_2 80" xfId="424"/>
    <cellStyle name="_Для Рината-111_Shar-Ust Kamenogorsk для КТЖ_2 81" xfId="425"/>
    <cellStyle name="_Для Рината-111_Shar-Ust Kamenogorsk для КТЖ_2 82" xfId="426"/>
    <cellStyle name="_Для Рината-111_Shar-Ust Kamenogorsk для КТЖ_2 83" xfId="427"/>
    <cellStyle name="_Для Рината-111_Shar-Ust Kamenogorsk для КТЖ_2 84" xfId="428"/>
    <cellStyle name="_Для Рината-111_Shar-Ust Kamenogorsk для КТЖ_2 85" xfId="429"/>
    <cellStyle name="_Для Рината-111_Shar-Ust Kamenogorsk для КТЖ_2 86" xfId="430"/>
    <cellStyle name="_Для Рината-111_Shar-Ust Kamenogorsk для КТЖ_2 9" xfId="431"/>
    <cellStyle name="_Для Рината-111_Shar-Ust Kamenogorsk для КТЖ_2_Свод1 110108" xfId="432"/>
    <cellStyle name="_Для Рината-111_Shar-Ust Kamenogorsk для КТЖ_2_Свод1 проба11" xfId="433"/>
    <cellStyle name="_Для Рината-111_от ЦЖС Shar-Ust Kamenogorsk для КТЖ_2" xfId="434"/>
    <cellStyle name="_Для Рината-111_от ЦЖС Shar-Ust Kamenogorsk для КТЖ_2 10" xfId="435"/>
    <cellStyle name="_Для Рината-111_от ЦЖС Shar-Ust Kamenogorsk для КТЖ_2 11" xfId="436"/>
    <cellStyle name="_Для Рината-111_от ЦЖС Shar-Ust Kamenogorsk для КТЖ_2 12" xfId="437"/>
    <cellStyle name="_Для Рината-111_от ЦЖС Shar-Ust Kamenogorsk для КТЖ_2 13" xfId="438"/>
    <cellStyle name="_Для Рината-111_от ЦЖС Shar-Ust Kamenogorsk для КТЖ_2 14" xfId="439"/>
    <cellStyle name="_Для Рината-111_от ЦЖС Shar-Ust Kamenogorsk для КТЖ_2 15" xfId="440"/>
    <cellStyle name="_Для Рината-111_от ЦЖС Shar-Ust Kamenogorsk для КТЖ_2 16" xfId="441"/>
    <cellStyle name="_Для Рината-111_от ЦЖС Shar-Ust Kamenogorsk для КТЖ_2 17" xfId="442"/>
    <cellStyle name="_Для Рината-111_от ЦЖС Shar-Ust Kamenogorsk для КТЖ_2 18" xfId="443"/>
    <cellStyle name="_Для Рината-111_от ЦЖС Shar-Ust Kamenogorsk для КТЖ_2 19" xfId="444"/>
    <cellStyle name="_Для Рината-111_от ЦЖС Shar-Ust Kamenogorsk для КТЖ_2 2" xfId="445"/>
    <cellStyle name="_Для Рината-111_от ЦЖС Shar-Ust Kamenogorsk для КТЖ_2 20" xfId="446"/>
    <cellStyle name="_Для Рината-111_от ЦЖС Shar-Ust Kamenogorsk для КТЖ_2 21" xfId="447"/>
    <cellStyle name="_Для Рината-111_от ЦЖС Shar-Ust Kamenogorsk для КТЖ_2 22" xfId="448"/>
    <cellStyle name="_Для Рината-111_от ЦЖС Shar-Ust Kamenogorsk для КТЖ_2 23" xfId="449"/>
    <cellStyle name="_Для Рината-111_от ЦЖС Shar-Ust Kamenogorsk для КТЖ_2 24" xfId="450"/>
    <cellStyle name="_Для Рината-111_от ЦЖС Shar-Ust Kamenogorsk для КТЖ_2 25" xfId="451"/>
    <cellStyle name="_Для Рината-111_от ЦЖС Shar-Ust Kamenogorsk для КТЖ_2 26" xfId="452"/>
    <cellStyle name="_Для Рината-111_от ЦЖС Shar-Ust Kamenogorsk для КТЖ_2 27" xfId="453"/>
    <cellStyle name="_Для Рината-111_от ЦЖС Shar-Ust Kamenogorsk для КТЖ_2 28" xfId="454"/>
    <cellStyle name="_Для Рината-111_от ЦЖС Shar-Ust Kamenogorsk для КТЖ_2 29" xfId="455"/>
    <cellStyle name="_Для Рината-111_от ЦЖС Shar-Ust Kamenogorsk для КТЖ_2 3" xfId="456"/>
    <cellStyle name="_Для Рината-111_от ЦЖС Shar-Ust Kamenogorsk для КТЖ_2 30" xfId="457"/>
    <cellStyle name="_Для Рината-111_от ЦЖС Shar-Ust Kamenogorsk для КТЖ_2 31" xfId="458"/>
    <cellStyle name="_Для Рината-111_от ЦЖС Shar-Ust Kamenogorsk для КТЖ_2 32" xfId="459"/>
    <cellStyle name="_Для Рината-111_от ЦЖС Shar-Ust Kamenogorsk для КТЖ_2 33" xfId="460"/>
    <cellStyle name="_Для Рината-111_от ЦЖС Shar-Ust Kamenogorsk для КТЖ_2 34" xfId="461"/>
    <cellStyle name="_Для Рината-111_от ЦЖС Shar-Ust Kamenogorsk для КТЖ_2 35" xfId="462"/>
    <cellStyle name="_Для Рината-111_от ЦЖС Shar-Ust Kamenogorsk для КТЖ_2 36" xfId="463"/>
    <cellStyle name="_Для Рината-111_от ЦЖС Shar-Ust Kamenogorsk для КТЖ_2 37" xfId="464"/>
    <cellStyle name="_Для Рината-111_от ЦЖС Shar-Ust Kamenogorsk для КТЖ_2 38" xfId="465"/>
    <cellStyle name="_Для Рината-111_от ЦЖС Shar-Ust Kamenogorsk для КТЖ_2 39" xfId="466"/>
    <cellStyle name="_Для Рината-111_от ЦЖС Shar-Ust Kamenogorsk для КТЖ_2 4" xfId="467"/>
    <cellStyle name="_Для Рината-111_от ЦЖС Shar-Ust Kamenogorsk для КТЖ_2 40" xfId="468"/>
    <cellStyle name="_Для Рината-111_от ЦЖС Shar-Ust Kamenogorsk для КТЖ_2 41" xfId="469"/>
    <cellStyle name="_Для Рината-111_от ЦЖС Shar-Ust Kamenogorsk для КТЖ_2 42" xfId="470"/>
    <cellStyle name="_Для Рината-111_от ЦЖС Shar-Ust Kamenogorsk для КТЖ_2 43" xfId="471"/>
    <cellStyle name="_Для Рината-111_от ЦЖС Shar-Ust Kamenogorsk для КТЖ_2 44" xfId="472"/>
    <cellStyle name="_Для Рината-111_от ЦЖС Shar-Ust Kamenogorsk для КТЖ_2 45" xfId="473"/>
    <cellStyle name="_Для Рината-111_от ЦЖС Shar-Ust Kamenogorsk для КТЖ_2 46" xfId="474"/>
    <cellStyle name="_Для Рината-111_от ЦЖС Shar-Ust Kamenogorsk для КТЖ_2 47" xfId="475"/>
    <cellStyle name="_Для Рината-111_от ЦЖС Shar-Ust Kamenogorsk для КТЖ_2 48" xfId="476"/>
    <cellStyle name="_Для Рината-111_от ЦЖС Shar-Ust Kamenogorsk для КТЖ_2 49" xfId="477"/>
    <cellStyle name="_Для Рината-111_от ЦЖС Shar-Ust Kamenogorsk для КТЖ_2 5" xfId="478"/>
    <cellStyle name="_Для Рината-111_от ЦЖС Shar-Ust Kamenogorsk для КТЖ_2 50" xfId="479"/>
    <cellStyle name="_Для Рината-111_от ЦЖС Shar-Ust Kamenogorsk для КТЖ_2 51" xfId="480"/>
    <cellStyle name="_Для Рината-111_от ЦЖС Shar-Ust Kamenogorsk для КТЖ_2 52" xfId="481"/>
    <cellStyle name="_Для Рината-111_от ЦЖС Shar-Ust Kamenogorsk для КТЖ_2 53" xfId="482"/>
    <cellStyle name="_Для Рината-111_от ЦЖС Shar-Ust Kamenogorsk для КТЖ_2 54" xfId="483"/>
    <cellStyle name="_Для Рината-111_от ЦЖС Shar-Ust Kamenogorsk для КТЖ_2 55" xfId="484"/>
    <cellStyle name="_Для Рината-111_от ЦЖС Shar-Ust Kamenogorsk для КТЖ_2 56" xfId="485"/>
    <cellStyle name="_Для Рината-111_от ЦЖС Shar-Ust Kamenogorsk для КТЖ_2 57" xfId="486"/>
    <cellStyle name="_Для Рината-111_от ЦЖС Shar-Ust Kamenogorsk для КТЖ_2 58" xfId="487"/>
    <cellStyle name="_Для Рината-111_от ЦЖС Shar-Ust Kamenogorsk для КТЖ_2 59" xfId="488"/>
    <cellStyle name="_Для Рината-111_от ЦЖС Shar-Ust Kamenogorsk для КТЖ_2 6" xfId="489"/>
    <cellStyle name="_Для Рината-111_от ЦЖС Shar-Ust Kamenogorsk для КТЖ_2 60" xfId="490"/>
    <cellStyle name="_Для Рината-111_от ЦЖС Shar-Ust Kamenogorsk для КТЖ_2 61" xfId="491"/>
    <cellStyle name="_Для Рината-111_от ЦЖС Shar-Ust Kamenogorsk для КТЖ_2 62" xfId="492"/>
    <cellStyle name="_Для Рината-111_от ЦЖС Shar-Ust Kamenogorsk для КТЖ_2 63" xfId="493"/>
    <cellStyle name="_Для Рината-111_от ЦЖС Shar-Ust Kamenogorsk для КТЖ_2 64" xfId="494"/>
    <cellStyle name="_Для Рината-111_от ЦЖС Shar-Ust Kamenogorsk для КТЖ_2 65" xfId="495"/>
    <cellStyle name="_Для Рината-111_от ЦЖС Shar-Ust Kamenogorsk для КТЖ_2 66" xfId="496"/>
    <cellStyle name="_Для Рината-111_от ЦЖС Shar-Ust Kamenogorsk для КТЖ_2 67" xfId="497"/>
    <cellStyle name="_Для Рината-111_от ЦЖС Shar-Ust Kamenogorsk для КТЖ_2 68" xfId="498"/>
    <cellStyle name="_Для Рината-111_от ЦЖС Shar-Ust Kamenogorsk для КТЖ_2 69" xfId="499"/>
    <cellStyle name="_Для Рината-111_от ЦЖС Shar-Ust Kamenogorsk для КТЖ_2 7" xfId="500"/>
    <cellStyle name="_Для Рината-111_от ЦЖС Shar-Ust Kamenogorsk для КТЖ_2 70" xfId="501"/>
    <cellStyle name="_Для Рината-111_от ЦЖС Shar-Ust Kamenogorsk для КТЖ_2 71" xfId="502"/>
    <cellStyle name="_Для Рината-111_от ЦЖС Shar-Ust Kamenogorsk для КТЖ_2 72" xfId="503"/>
    <cellStyle name="_Для Рината-111_от ЦЖС Shar-Ust Kamenogorsk для КТЖ_2 73" xfId="504"/>
    <cellStyle name="_Для Рината-111_от ЦЖС Shar-Ust Kamenogorsk для КТЖ_2 74" xfId="505"/>
    <cellStyle name="_Для Рината-111_от ЦЖС Shar-Ust Kamenogorsk для КТЖ_2 75" xfId="506"/>
    <cellStyle name="_Для Рината-111_от ЦЖС Shar-Ust Kamenogorsk для КТЖ_2 76" xfId="507"/>
    <cellStyle name="_Для Рината-111_от ЦЖС Shar-Ust Kamenogorsk для КТЖ_2 77" xfId="508"/>
    <cellStyle name="_Для Рината-111_от ЦЖС Shar-Ust Kamenogorsk для КТЖ_2 78" xfId="509"/>
    <cellStyle name="_Для Рината-111_от ЦЖС Shar-Ust Kamenogorsk для КТЖ_2 79" xfId="510"/>
    <cellStyle name="_Для Рината-111_от ЦЖС Shar-Ust Kamenogorsk для КТЖ_2 8" xfId="511"/>
    <cellStyle name="_Для Рината-111_от ЦЖС Shar-Ust Kamenogorsk для КТЖ_2 80" xfId="512"/>
    <cellStyle name="_Для Рината-111_от ЦЖС Shar-Ust Kamenogorsk для КТЖ_2 81" xfId="513"/>
    <cellStyle name="_Для Рината-111_от ЦЖС Shar-Ust Kamenogorsk для КТЖ_2 82" xfId="514"/>
    <cellStyle name="_Для Рината-111_от ЦЖС Shar-Ust Kamenogorsk для КТЖ_2 83" xfId="515"/>
    <cellStyle name="_Для Рината-111_от ЦЖС Shar-Ust Kamenogorsk для КТЖ_2 84" xfId="516"/>
    <cellStyle name="_Для Рината-111_от ЦЖС Shar-Ust Kamenogorsk для КТЖ_2 85" xfId="517"/>
    <cellStyle name="_Для Рината-111_от ЦЖС Shar-Ust Kamenogorsk для КТЖ_2 86" xfId="518"/>
    <cellStyle name="_Для Рината-111_от ЦЖС Shar-Ust Kamenogorsk для КТЖ_2 9" xfId="519"/>
    <cellStyle name="_Для Рината-111_от ЦЖС Shar-Ust Kamenogorsk для КТЖ_2_Свод1 110108" xfId="520"/>
    <cellStyle name="_Для Рината-111_от ЦЖС Shar-Ust Kamenogorsk для КТЖ_2_Свод1 проба11" xfId="521"/>
    <cellStyle name="_Для Рината-111_Свод1 110108" xfId="522"/>
    <cellStyle name="_Для Рината-111_Свод1 проба11" xfId="523"/>
    <cellStyle name="_Книга2" xfId="524"/>
    <cellStyle name="_Книга2 10" xfId="525"/>
    <cellStyle name="_Книга2 11" xfId="526"/>
    <cellStyle name="_Книга2 12" xfId="527"/>
    <cellStyle name="_Книга2 13" xfId="528"/>
    <cellStyle name="_Книга2 14" xfId="529"/>
    <cellStyle name="_Книга2 15" xfId="530"/>
    <cellStyle name="_Книга2 16" xfId="531"/>
    <cellStyle name="_Книга2 17" xfId="532"/>
    <cellStyle name="_Книга2 18" xfId="533"/>
    <cellStyle name="_Книга2 19" xfId="534"/>
    <cellStyle name="_Книга2 2" xfId="535"/>
    <cellStyle name="_Книга2 20" xfId="536"/>
    <cellStyle name="_Книга2 21" xfId="537"/>
    <cellStyle name="_Книга2 22" xfId="538"/>
    <cellStyle name="_Книга2 23" xfId="539"/>
    <cellStyle name="_Книга2 24" xfId="540"/>
    <cellStyle name="_Книга2 25" xfId="541"/>
    <cellStyle name="_Книга2 26" xfId="542"/>
    <cellStyle name="_Книга2 27" xfId="543"/>
    <cellStyle name="_Книга2 28" xfId="544"/>
    <cellStyle name="_Книга2 29" xfId="545"/>
    <cellStyle name="_Книга2 3" xfId="546"/>
    <cellStyle name="_Книга2 30" xfId="547"/>
    <cellStyle name="_Книга2 31" xfId="548"/>
    <cellStyle name="_Книга2 32" xfId="549"/>
    <cellStyle name="_Книга2 33" xfId="550"/>
    <cellStyle name="_Книга2 34" xfId="551"/>
    <cellStyle name="_Книга2 35" xfId="552"/>
    <cellStyle name="_Книга2 36" xfId="553"/>
    <cellStyle name="_Книга2 37" xfId="554"/>
    <cellStyle name="_Книга2 38" xfId="555"/>
    <cellStyle name="_Книга2 39" xfId="556"/>
    <cellStyle name="_Книга2 4" xfId="557"/>
    <cellStyle name="_Книга2 40" xfId="558"/>
    <cellStyle name="_Книга2 41" xfId="559"/>
    <cellStyle name="_Книга2 42" xfId="560"/>
    <cellStyle name="_Книга2 43" xfId="561"/>
    <cellStyle name="_Книга2 44" xfId="562"/>
    <cellStyle name="_Книга2 45" xfId="563"/>
    <cellStyle name="_Книга2 46" xfId="564"/>
    <cellStyle name="_Книга2 47" xfId="565"/>
    <cellStyle name="_Книга2 48" xfId="566"/>
    <cellStyle name="_Книга2 49" xfId="567"/>
    <cellStyle name="_Книга2 5" xfId="568"/>
    <cellStyle name="_Книга2 50" xfId="569"/>
    <cellStyle name="_Книга2 51" xfId="570"/>
    <cellStyle name="_Книга2 52" xfId="571"/>
    <cellStyle name="_Книга2 53" xfId="572"/>
    <cellStyle name="_Книга2 54" xfId="573"/>
    <cellStyle name="_Книга2 55" xfId="574"/>
    <cellStyle name="_Книга2 56" xfId="575"/>
    <cellStyle name="_Книга2 57" xfId="576"/>
    <cellStyle name="_Книга2 58" xfId="577"/>
    <cellStyle name="_Книга2 59" xfId="578"/>
    <cellStyle name="_Книга2 6" xfId="579"/>
    <cellStyle name="_Книга2 60" xfId="580"/>
    <cellStyle name="_Книга2 61" xfId="581"/>
    <cellStyle name="_Книга2 62" xfId="582"/>
    <cellStyle name="_Книга2 63" xfId="583"/>
    <cellStyle name="_Книга2 64" xfId="584"/>
    <cellStyle name="_Книга2 65" xfId="585"/>
    <cellStyle name="_Книга2 66" xfId="586"/>
    <cellStyle name="_Книга2 67" xfId="587"/>
    <cellStyle name="_Книга2 68" xfId="588"/>
    <cellStyle name="_Книга2 69" xfId="589"/>
    <cellStyle name="_Книга2 7" xfId="590"/>
    <cellStyle name="_Книга2 70" xfId="591"/>
    <cellStyle name="_Книга2 71" xfId="592"/>
    <cellStyle name="_Книга2 72" xfId="593"/>
    <cellStyle name="_Книга2 73" xfId="594"/>
    <cellStyle name="_Книга2 74" xfId="595"/>
    <cellStyle name="_Книга2 75" xfId="596"/>
    <cellStyle name="_Книга2 76" xfId="597"/>
    <cellStyle name="_Книга2 77" xfId="598"/>
    <cellStyle name="_Книга2 78" xfId="599"/>
    <cellStyle name="_Книга2 79" xfId="600"/>
    <cellStyle name="_Книга2 8" xfId="601"/>
    <cellStyle name="_Книга2 80" xfId="602"/>
    <cellStyle name="_Книга2 81" xfId="603"/>
    <cellStyle name="_Книга2 82" xfId="604"/>
    <cellStyle name="_Книга2 83" xfId="605"/>
    <cellStyle name="_Книга2 84" xfId="606"/>
    <cellStyle name="_Книга2 85" xfId="607"/>
    <cellStyle name="_Книга2 86" xfId="608"/>
    <cellStyle name="_Книга2 9" xfId="609"/>
    <cellStyle name="_Книга2_Shar-Ust Kamenogorsk для КТЖ_2" xfId="610"/>
    <cellStyle name="_Книга2_Shar-Ust Kamenogorsk для КТЖ_2 10" xfId="611"/>
    <cellStyle name="_Книга2_Shar-Ust Kamenogorsk для КТЖ_2 11" xfId="612"/>
    <cellStyle name="_Книга2_Shar-Ust Kamenogorsk для КТЖ_2 12" xfId="613"/>
    <cellStyle name="_Книга2_Shar-Ust Kamenogorsk для КТЖ_2 13" xfId="614"/>
    <cellStyle name="_Книга2_Shar-Ust Kamenogorsk для КТЖ_2 14" xfId="615"/>
    <cellStyle name="_Книга2_Shar-Ust Kamenogorsk для КТЖ_2 15" xfId="616"/>
    <cellStyle name="_Книга2_Shar-Ust Kamenogorsk для КТЖ_2 16" xfId="617"/>
    <cellStyle name="_Книга2_Shar-Ust Kamenogorsk для КТЖ_2 17" xfId="618"/>
    <cellStyle name="_Книга2_Shar-Ust Kamenogorsk для КТЖ_2 18" xfId="619"/>
    <cellStyle name="_Книга2_Shar-Ust Kamenogorsk для КТЖ_2 19" xfId="620"/>
    <cellStyle name="_Книга2_Shar-Ust Kamenogorsk для КТЖ_2 2" xfId="621"/>
    <cellStyle name="_Книга2_Shar-Ust Kamenogorsk для КТЖ_2 20" xfId="622"/>
    <cellStyle name="_Книга2_Shar-Ust Kamenogorsk для КТЖ_2 21" xfId="623"/>
    <cellStyle name="_Книга2_Shar-Ust Kamenogorsk для КТЖ_2 22" xfId="624"/>
    <cellStyle name="_Книга2_Shar-Ust Kamenogorsk для КТЖ_2 23" xfId="625"/>
    <cellStyle name="_Книга2_Shar-Ust Kamenogorsk для КТЖ_2 24" xfId="626"/>
    <cellStyle name="_Книга2_Shar-Ust Kamenogorsk для КТЖ_2 25" xfId="627"/>
    <cellStyle name="_Книга2_Shar-Ust Kamenogorsk для КТЖ_2 26" xfId="628"/>
    <cellStyle name="_Книга2_Shar-Ust Kamenogorsk для КТЖ_2 27" xfId="629"/>
    <cellStyle name="_Книга2_Shar-Ust Kamenogorsk для КТЖ_2 28" xfId="630"/>
    <cellStyle name="_Книга2_Shar-Ust Kamenogorsk для КТЖ_2 29" xfId="631"/>
    <cellStyle name="_Книга2_Shar-Ust Kamenogorsk для КТЖ_2 3" xfId="632"/>
    <cellStyle name="_Книга2_Shar-Ust Kamenogorsk для КТЖ_2 30" xfId="633"/>
    <cellStyle name="_Книга2_Shar-Ust Kamenogorsk для КТЖ_2 31" xfId="634"/>
    <cellStyle name="_Книга2_Shar-Ust Kamenogorsk для КТЖ_2 32" xfId="635"/>
    <cellStyle name="_Книга2_Shar-Ust Kamenogorsk для КТЖ_2 33" xfId="636"/>
    <cellStyle name="_Книга2_Shar-Ust Kamenogorsk для КТЖ_2 34" xfId="637"/>
    <cellStyle name="_Книга2_Shar-Ust Kamenogorsk для КТЖ_2 35" xfId="638"/>
    <cellStyle name="_Книга2_Shar-Ust Kamenogorsk для КТЖ_2 36" xfId="639"/>
    <cellStyle name="_Книга2_Shar-Ust Kamenogorsk для КТЖ_2 37" xfId="640"/>
    <cellStyle name="_Книга2_Shar-Ust Kamenogorsk для КТЖ_2 38" xfId="641"/>
    <cellStyle name="_Книга2_Shar-Ust Kamenogorsk для КТЖ_2 39" xfId="642"/>
    <cellStyle name="_Книга2_Shar-Ust Kamenogorsk для КТЖ_2 4" xfId="643"/>
    <cellStyle name="_Книга2_Shar-Ust Kamenogorsk для КТЖ_2 40" xfId="644"/>
    <cellStyle name="_Книга2_Shar-Ust Kamenogorsk для КТЖ_2 41" xfId="645"/>
    <cellStyle name="_Книга2_Shar-Ust Kamenogorsk для КТЖ_2 42" xfId="646"/>
    <cellStyle name="_Книга2_Shar-Ust Kamenogorsk для КТЖ_2 43" xfId="647"/>
    <cellStyle name="_Книга2_Shar-Ust Kamenogorsk для КТЖ_2 44" xfId="648"/>
    <cellStyle name="_Книга2_Shar-Ust Kamenogorsk для КТЖ_2 45" xfId="649"/>
    <cellStyle name="_Книга2_Shar-Ust Kamenogorsk для КТЖ_2 46" xfId="650"/>
    <cellStyle name="_Книга2_Shar-Ust Kamenogorsk для КТЖ_2 47" xfId="651"/>
    <cellStyle name="_Книга2_Shar-Ust Kamenogorsk для КТЖ_2 48" xfId="652"/>
    <cellStyle name="_Книга2_Shar-Ust Kamenogorsk для КТЖ_2 49" xfId="653"/>
    <cellStyle name="_Книга2_Shar-Ust Kamenogorsk для КТЖ_2 5" xfId="654"/>
    <cellStyle name="_Книга2_Shar-Ust Kamenogorsk для КТЖ_2 50" xfId="655"/>
    <cellStyle name="_Книга2_Shar-Ust Kamenogorsk для КТЖ_2 51" xfId="656"/>
    <cellStyle name="_Книга2_Shar-Ust Kamenogorsk для КТЖ_2 52" xfId="657"/>
    <cellStyle name="_Книга2_Shar-Ust Kamenogorsk для КТЖ_2 53" xfId="658"/>
    <cellStyle name="_Книга2_Shar-Ust Kamenogorsk для КТЖ_2 54" xfId="659"/>
    <cellStyle name="_Книга2_Shar-Ust Kamenogorsk для КТЖ_2 55" xfId="660"/>
    <cellStyle name="_Книга2_Shar-Ust Kamenogorsk для КТЖ_2 56" xfId="661"/>
    <cellStyle name="_Книга2_Shar-Ust Kamenogorsk для КТЖ_2 57" xfId="662"/>
    <cellStyle name="_Книга2_Shar-Ust Kamenogorsk для КТЖ_2 58" xfId="663"/>
    <cellStyle name="_Книга2_Shar-Ust Kamenogorsk для КТЖ_2 59" xfId="664"/>
    <cellStyle name="_Книга2_Shar-Ust Kamenogorsk для КТЖ_2 6" xfId="665"/>
    <cellStyle name="_Книга2_Shar-Ust Kamenogorsk для КТЖ_2 60" xfId="666"/>
    <cellStyle name="_Книга2_Shar-Ust Kamenogorsk для КТЖ_2 61" xfId="667"/>
    <cellStyle name="_Книга2_Shar-Ust Kamenogorsk для КТЖ_2 62" xfId="668"/>
    <cellStyle name="_Книга2_Shar-Ust Kamenogorsk для КТЖ_2 63" xfId="669"/>
    <cellStyle name="_Книга2_Shar-Ust Kamenogorsk для КТЖ_2 64" xfId="670"/>
    <cellStyle name="_Книга2_Shar-Ust Kamenogorsk для КТЖ_2 65" xfId="671"/>
    <cellStyle name="_Книга2_Shar-Ust Kamenogorsk для КТЖ_2 66" xfId="672"/>
    <cellStyle name="_Книга2_Shar-Ust Kamenogorsk для КТЖ_2 67" xfId="673"/>
    <cellStyle name="_Книга2_Shar-Ust Kamenogorsk для КТЖ_2 68" xfId="674"/>
    <cellStyle name="_Книга2_Shar-Ust Kamenogorsk для КТЖ_2 69" xfId="675"/>
    <cellStyle name="_Книга2_Shar-Ust Kamenogorsk для КТЖ_2 7" xfId="676"/>
    <cellStyle name="_Книга2_Shar-Ust Kamenogorsk для КТЖ_2 70" xfId="677"/>
    <cellStyle name="_Книга2_Shar-Ust Kamenogorsk для КТЖ_2 71" xfId="678"/>
    <cellStyle name="_Книга2_Shar-Ust Kamenogorsk для КТЖ_2 72" xfId="679"/>
    <cellStyle name="_Книга2_Shar-Ust Kamenogorsk для КТЖ_2 73" xfId="680"/>
    <cellStyle name="_Книга2_Shar-Ust Kamenogorsk для КТЖ_2 74" xfId="681"/>
    <cellStyle name="_Книга2_Shar-Ust Kamenogorsk для КТЖ_2 75" xfId="682"/>
    <cellStyle name="_Книга2_Shar-Ust Kamenogorsk для КТЖ_2 76" xfId="683"/>
    <cellStyle name="_Книга2_Shar-Ust Kamenogorsk для КТЖ_2 77" xfId="684"/>
    <cellStyle name="_Книга2_Shar-Ust Kamenogorsk для КТЖ_2 78" xfId="685"/>
    <cellStyle name="_Книга2_Shar-Ust Kamenogorsk для КТЖ_2 79" xfId="686"/>
    <cellStyle name="_Книга2_Shar-Ust Kamenogorsk для КТЖ_2 8" xfId="687"/>
    <cellStyle name="_Книга2_Shar-Ust Kamenogorsk для КТЖ_2 80" xfId="688"/>
    <cellStyle name="_Книга2_Shar-Ust Kamenogorsk для КТЖ_2 81" xfId="689"/>
    <cellStyle name="_Книга2_Shar-Ust Kamenogorsk для КТЖ_2 82" xfId="690"/>
    <cellStyle name="_Книга2_Shar-Ust Kamenogorsk для КТЖ_2 83" xfId="691"/>
    <cellStyle name="_Книга2_Shar-Ust Kamenogorsk для КТЖ_2 84" xfId="692"/>
    <cellStyle name="_Книга2_Shar-Ust Kamenogorsk для КТЖ_2 85" xfId="693"/>
    <cellStyle name="_Книга2_Shar-Ust Kamenogorsk для КТЖ_2 86" xfId="694"/>
    <cellStyle name="_Книга2_Shar-Ust Kamenogorsk для КТЖ_2 9" xfId="695"/>
    <cellStyle name="_Книга2_Shar-Ust Kamenogorsk для КТЖ_2_Свод1 110108" xfId="696"/>
    <cellStyle name="_Книга2_Shar-Ust Kamenogorsk для КТЖ_2_Свод1 проба11" xfId="697"/>
    <cellStyle name="_Книга2_от ЦЖС Shar-Ust Kamenogorsk для КТЖ_2" xfId="698"/>
    <cellStyle name="_Книга2_от ЦЖС Shar-Ust Kamenogorsk для КТЖ_2 10" xfId="699"/>
    <cellStyle name="_Книга2_от ЦЖС Shar-Ust Kamenogorsk для КТЖ_2 11" xfId="700"/>
    <cellStyle name="_Книга2_от ЦЖС Shar-Ust Kamenogorsk для КТЖ_2 12" xfId="701"/>
    <cellStyle name="_Книга2_от ЦЖС Shar-Ust Kamenogorsk для КТЖ_2 13" xfId="702"/>
    <cellStyle name="_Книга2_от ЦЖС Shar-Ust Kamenogorsk для КТЖ_2 14" xfId="703"/>
    <cellStyle name="_Книга2_от ЦЖС Shar-Ust Kamenogorsk для КТЖ_2 15" xfId="704"/>
    <cellStyle name="_Книга2_от ЦЖС Shar-Ust Kamenogorsk для КТЖ_2 16" xfId="705"/>
    <cellStyle name="_Книга2_от ЦЖС Shar-Ust Kamenogorsk для КТЖ_2 17" xfId="706"/>
    <cellStyle name="_Книга2_от ЦЖС Shar-Ust Kamenogorsk для КТЖ_2 18" xfId="707"/>
    <cellStyle name="_Книга2_от ЦЖС Shar-Ust Kamenogorsk для КТЖ_2 19" xfId="708"/>
    <cellStyle name="_Книга2_от ЦЖС Shar-Ust Kamenogorsk для КТЖ_2 2" xfId="709"/>
    <cellStyle name="_Книга2_от ЦЖС Shar-Ust Kamenogorsk для КТЖ_2 20" xfId="710"/>
    <cellStyle name="_Книга2_от ЦЖС Shar-Ust Kamenogorsk для КТЖ_2 21" xfId="711"/>
    <cellStyle name="_Книга2_от ЦЖС Shar-Ust Kamenogorsk для КТЖ_2 22" xfId="712"/>
    <cellStyle name="_Книга2_от ЦЖС Shar-Ust Kamenogorsk для КТЖ_2 23" xfId="713"/>
    <cellStyle name="_Книга2_от ЦЖС Shar-Ust Kamenogorsk для КТЖ_2 24" xfId="714"/>
    <cellStyle name="_Книга2_от ЦЖС Shar-Ust Kamenogorsk для КТЖ_2 25" xfId="715"/>
    <cellStyle name="_Книга2_от ЦЖС Shar-Ust Kamenogorsk для КТЖ_2 26" xfId="716"/>
    <cellStyle name="_Книга2_от ЦЖС Shar-Ust Kamenogorsk для КТЖ_2 27" xfId="717"/>
    <cellStyle name="_Книга2_от ЦЖС Shar-Ust Kamenogorsk для КТЖ_2 28" xfId="718"/>
    <cellStyle name="_Книга2_от ЦЖС Shar-Ust Kamenogorsk для КТЖ_2 29" xfId="719"/>
    <cellStyle name="_Книга2_от ЦЖС Shar-Ust Kamenogorsk для КТЖ_2 3" xfId="720"/>
    <cellStyle name="_Книга2_от ЦЖС Shar-Ust Kamenogorsk для КТЖ_2 30" xfId="721"/>
    <cellStyle name="_Книга2_от ЦЖС Shar-Ust Kamenogorsk для КТЖ_2 31" xfId="722"/>
    <cellStyle name="_Книга2_от ЦЖС Shar-Ust Kamenogorsk для КТЖ_2 32" xfId="723"/>
    <cellStyle name="_Книга2_от ЦЖС Shar-Ust Kamenogorsk для КТЖ_2 33" xfId="724"/>
    <cellStyle name="_Книга2_от ЦЖС Shar-Ust Kamenogorsk для КТЖ_2 34" xfId="725"/>
    <cellStyle name="_Книга2_от ЦЖС Shar-Ust Kamenogorsk для КТЖ_2 35" xfId="726"/>
    <cellStyle name="_Книга2_от ЦЖС Shar-Ust Kamenogorsk для КТЖ_2 36" xfId="727"/>
    <cellStyle name="_Книга2_от ЦЖС Shar-Ust Kamenogorsk для КТЖ_2 37" xfId="728"/>
    <cellStyle name="_Книга2_от ЦЖС Shar-Ust Kamenogorsk для КТЖ_2 38" xfId="729"/>
    <cellStyle name="_Книга2_от ЦЖС Shar-Ust Kamenogorsk для КТЖ_2 39" xfId="730"/>
    <cellStyle name="_Книга2_от ЦЖС Shar-Ust Kamenogorsk для КТЖ_2 4" xfId="731"/>
    <cellStyle name="_Книга2_от ЦЖС Shar-Ust Kamenogorsk для КТЖ_2 40" xfId="732"/>
    <cellStyle name="_Книга2_от ЦЖС Shar-Ust Kamenogorsk для КТЖ_2 41" xfId="733"/>
    <cellStyle name="_Книга2_от ЦЖС Shar-Ust Kamenogorsk для КТЖ_2 42" xfId="734"/>
    <cellStyle name="_Книга2_от ЦЖС Shar-Ust Kamenogorsk для КТЖ_2 43" xfId="735"/>
    <cellStyle name="_Книга2_от ЦЖС Shar-Ust Kamenogorsk для КТЖ_2 44" xfId="736"/>
    <cellStyle name="_Книга2_от ЦЖС Shar-Ust Kamenogorsk для КТЖ_2 45" xfId="737"/>
    <cellStyle name="_Книга2_от ЦЖС Shar-Ust Kamenogorsk для КТЖ_2 46" xfId="738"/>
    <cellStyle name="_Книга2_от ЦЖС Shar-Ust Kamenogorsk для КТЖ_2 47" xfId="739"/>
    <cellStyle name="_Книга2_от ЦЖС Shar-Ust Kamenogorsk для КТЖ_2 48" xfId="740"/>
    <cellStyle name="_Книга2_от ЦЖС Shar-Ust Kamenogorsk для КТЖ_2 49" xfId="741"/>
    <cellStyle name="_Книга2_от ЦЖС Shar-Ust Kamenogorsk для КТЖ_2 5" xfId="742"/>
    <cellStyle name="_Книга2_от ЦЖС Shar-Ust Kamenogorsk для КТЖ_2 50" xfId="743"/>
    <cellStyle name="_Книга2_от ЦЖС Shar-Ust Kamenogorsk для КТЖ_2 51" xfId="744"/>
    <cellStyle name="_Книга2_от ЦЖС Shar-Ust Kamenogorsk для КТЖ_2 52" xfId="745"/>
    <cellStyle name="_Книга2_от ЦЖС Shar-Ust Kamenogorsk для КТЖ_2 53" xfId="746"/>
    <cellStyle name="_Книга2_от ЦЖС Shar-Ust Kamenogorsk для КТЖ_2 54" xfId="747"/>
    <cellStyle name="_Книга2_от ЦЖС Shar-Ust Kamenogorsk для КТЖ_2 55" xfId="748"/>
    <cellStyle name="_Книга2_от ЦЖС Shar-Ust Kamenogorsk для КТЖ_2 56" xfId="749"/>
    <cellStyle name="_Книга2_от ЦЖС Shar-Ust Kamenogorsk для КТЖ_2 57" xfId="750"/>
    <cellStyle name="_Книга2_от ЦЖС Shar-Ust Kamenogorsk для КТЖ_2 58" xfId="751"/>
    <cellStyle name="_Книга2_от ЦЖС Shar-Ust Kamenogorsk для КТЖ_2 59" xfId="752"/>
    <cellStyle name="_Книга2_от ЦЖС Shar-Ust Kamenogorsk для КТЖ_2 6" xfId="753"/>
    <cellStyle name="_Книга2_от ЦЖС Shar-Ust Kamenogorsk для КТЖ_2 60" xfId="754"/>
    <cellStyle name="_Книга2_от ЦЖС Shar-Ust Kamenogorsk для КТЖ_2 61" xfId="755"/>
    <cellStyle name="_Книга2_от ЦЖС Shar-Ust Kamenogorsk для КТЖ_2 62" xfId="756"/>
    <cellStyle name="_Книга2_от ЦЖС Shar-Ust Kamenogorsk для КТЖ_2 63" xfId="757"/>
    <cellStyle name="_Книга2_от ЦЖС Shar-Ust Kamenogorsk для КТЖ_2 64" xfId="758"/>
    <cellStyle name="_Книга2_от ЦЖС Shar-Ust Kamenogorsk для КТЖ_2 65" xfId="759"/>
    <cellStyle name="_Книга2_от ЦЖС Shar-Ust Kamenogorsk для КТЖ_2 66" xfId="760"/>
    <cellStyle name="_Книга2_от ЦЖС Shar-Ust Kamenogorsk для КТЖ_2 67" xfId="761"/>
    <cellStyle name="_Книга2_от ЦЖС Shar-Ust Kamenogorsk для КТЖ_2 68" xfId="762"/>
    <cellStyle name="_Книга2_от ЦЖС Shar-Ust Kamenogorsk для КТЖ_2 69" xfId="763"/>
    <cellStyle name="_Книга2_от ЦЖС Shar-Ust Kamenogorsk для КТЖ_2 7" xfId="764"/>
    <cellStyle name="_Книга2_от ЦЖС Shar-Ust Kamenogorsk для КТЖ_2 70" xfId="765"/>
    <cellStyle name="_Книга2_от ЦЖС Shar-Ust Kamenogorsk для КТЖ_2 71" xfId="766"/>
    <cellStyle name="_Книга2_от ЦЖС Shar-Ust Kamenogorsk для КТЖ_2 72" xfId="767"/>
    <cellStyle name="_Книга2_от ЦЖС Shar-Ust Kamenogorsk для КТЖ_2 73" xfId="768"/>
    <cellStyle name="_Книга2_от ЦЖС Shar-Ust Kamenogorsk для КТЖ_2 74" xfId="769"/>
    <cellStyle name="_Книга2_от ЦЖС Shar-Ust Kamenogorsk для КТЖ_2 75" xfId="770"/>
    <cellStyle name="_Книга2_от ЦЖС Shar-Ust Kamenogorsk для КТЖ_2 76" xfId="771"/>
    <cellStyle name="_Книга2_от ЦЖС Shar-Ust Kamenogorsk для КТЖ_2 77" xfId="772"/>
    <cellStyle name="_Книга2_от ЦЖС Shar-Ust Kamenogorsk для КТЖ_2 78" xfId="773"/>
    <cellStyle name="_Книга2_от ЦЖС Shar-Ust Kamenogorsk для КТЖ_2 79" xfId="774"/>
    <cellStyle name="_Книга2_от ЦЖС Shar-Ust Kamenogorsk для КТЖ_2 8" xfId="775"/>
    <cellStyle name="_Книга2_от ЦЖС Shar-Ust Kamenogorsk для КТЖ_2 80" xfId="776"/>
    <cellStyle name="_Книга2_от ЦЖС Shar-Ust Kamenogorsk для КТЖ_2 81" xfId="777"/>
    <cellStyle name="_Книга2_от ЦЖС Shar-Ust Kamenogorsk для КТЖ_2 82" xfId="778"/>
    <cellStyle name="_Книга2_от ЦЖС Shar-Ust Kamenogorsk для КТЖ_2 83" xfId="779"/>
    <cellStyle name="_Книга2_от ЦЖС Shar-Ust Kamenogorsk для КТЖ_2 84" xfId="780"/>
    <cellStyle name="_Книга2_от ЦЖС Shar-Ust Kamenogorsk для КТЖ_2 85" xfId="781"/>
    <cellStyle name="_Книга2_от ЦЖС Shar-Ust Kamenogorsk для КТЖ_2 86" xfId="782"/>
    <cellStyle name="_Книга2_от ЦЖС Shar-Ust Kamenogorsk для КТЖ_2 9" xfId="783"/>
    <cellStyle name="_Книга2_от ЦЖС Shar-Ust Kamenogorsk для КТЖ_2_Свод1 110108" xfId="784"/>
    <cellStyle name="_Книга2_от ЦЖС Shar-Ust Kamenogorsk для КТЖ_2_Свод1 проба11" xfId="785"/>
    <cellStyle name="_Книга2_Свод1 110108" xfId="786"/>
    <cellStyle name="_Книга2_Свод1 проба11" xfId="787"/>
    <cellStyle name="_Программа ТП" xfId="788"/>
    <cellStyle name="_фин_мод_М-К_НДС-1" xfId="789"/>
    <cellStyle name="=C:\WINNT35\SYSTEM32\COMMAND.COM" xfId="790"/>
    <cellStyle name="=C:\WINNT35\SYSTEM32\COMMAND.COM 10" xfId="791"/>
    <cellStyle name="=C:\WINNT35\SYSTEM32\COMMAND.COM 11" xfId="792"/>
    <cellStyle name="=C:\WINNT35\SYSTEM32\COMMAND.COM 12" xfId="793"/>
    <cellStyle name="=C:\WINNT35\SYSTEM32\COMMAND.COM 13" xfId="794"/>
    <cellStyle name="=C:\WINNT35\SYSTEM32\COMMAND.COM 14" xfId="795"/>
    <cellStyle name="=C:\WINNT35\SYSTEM32\COMMAND.COM 15" xfId="796"/>
    <cellStyle name="=C:\WINNT35\SYSTEM32\COMMAND.COM 16" xfId="797"/>
    <cellStyle name="=C:\WINNT35\SYSTEM32\COMMAND.COM 17" xfId="798"/>
    <cellStyle name="=C:\WINNT35\SYSTEM32\COMMAND.COM 18" xfId="799"/>
    <cellStyle name="=C:\WINNT35\SYSTEM32\COMMAND.COM 19" xfId="800"/>
    <cellStyle name="=C:\WINNT35\SYSTEM32\COMMAND.COM 2" xfId="801"/>
    <cellStyle name="=C:\WINNT35\SYSTEM32\COMMAND.COM 20" xfId="802"/>
    <cellStyle name="=C:\WINNT35\SYSTEM32\COMMAND.COM 21" xfId="803"/>
    <cellStyle name="=C:\WINNT35\SYSTEM32\COMMAND.COM 22" xfId="804"/>
    <cellStyle name="=C:\WINNT35\SYSTEM32\COMMAND.COM 23" xfId="805"/>
    <cellStyle name="=C:\WINNT35\SYSTEM32\COMMAND.COM 24" xfId="806"/>
    <cellStyle name="=C:\WINNT35\SYSTEM32\COMMAND.COM 25" xfId="807"/>
    <cellStyle name="=C:\WINNT35\SYSTEM32\COMMAND.COM 26" xfId="808"/>
    <cellStyle name="=C:\WINNT35\SYSTEM32\COMMAND.COM 27" xfId="809"/>
    <cellStyle name="=C:\WINNT35\SYSTEM32\COMMAND.COM 28" xfId="810"/>
    <cellStyle name="=C:\WINNT35\SYSTEM32\COMMAND.COM 29" xfId="811"/>
    <cellStyle name="=C:\WINNT35\SYSTEM32\COMMAND.COM 3" xfId="812"/>
    <cellStyle name="=C:\WINNT35\SYSTEM32\COMMAND.COM 30" xfId="813"/>
    <cellStyle name="=C:\WINNT35\SYSTEM32\COMMAND.COM 31" xfId="814"/>
    <cellStyle name="=C:\WINNT35\SYSTEM32\COMMAND.COM 32" xfId="815"/>
    <cellStyle name="=C:\WINNT35\SYSTEM32\COMMAND.COM 33" xfId="816"/>
    <cellStyle name="=C:\WINNT35\SYSTEM32\COMMAND.COM 34" xfId="817"/>
    <cellStyle name="=C:\WINNT35\SYSTEM32\COMMAND.COM 35" xfId="818"/>
    <cellStyle name="=C:\WINNT35\SYSTEM32\COMMAND.COM 36" xfId="819"/>
    <cellStyle name="=C:\WINNT35\SYSTEM32\COMMAND.COM 37" xfId="820"/>
    <cellStyle name="=C:\WINNT35\SYSTEM32\COMMAND.COM 38" xfId="821"/>
    <cellStyle name="=C:\WINNT35\SYSTEM32\COMMAND.COM 39" xfId="822"/>
    <cellStyle name="=C:\WINNT35\SYSTEM32\COMMAND.COM 4" xfId="823"/>
    <cellStyle name="=C:\WINNT35\SYSTEM32\COMMAND.COM 40" xfId="824"/>
    <cellStyle name="=C:\WINNT35\SYSTEM32\COMMAND.COM 41" xfId="825"/>
    <cellStyle name="=C:\WINNT35\SYSTEM32\COMMAND.COM 42" xfId="826"/>
    <cellStyle name="=C:\WINNT35\SYSTEM32\COMMAND.COM 43" xfId="827"/>
    <cellStyle name="=C:\WINNT35\SYSTEM32\COMMAND.COM 44" xfId="828"/>
    <cellStyle name="=C:\WINNT35\SYSTEM32\COMMAND.COM 45" xfId="829"/>
    <cellStyle name="=C:\WINNT35\SYSTEM32\COMMAND.COM 46" xfId="830"/>
    <cellStyle name="=C:\WINNT35\SYSTEM32\COMMAND.COM 47" xfId="831"/>
    <cellStyle name="=C:\WINNT35\SYSTEM32\COMMAND.COM 48" xfId="832"/>
    <cellStyle name="=C:\WINNT35\SYSTEM32\COMMAND.COM 49" xfId="833"/>
    <cellStyle name="=C:\WINNT35\SYSTEM32\COMMAND.COM 5" xfId="834"/>
    <cellStyle name="=C:\WINNT35\SYSTEM32\COMMAND.COM 50" xfId="835"/>
    <cellStyle name="=C:\WINNT35\SYSTEM32\COMMAND.COM 51" xfId="836"/>
    <cellStyle name="=C:\WINNT35\SYSTEM32\COMMAND.COM 52" xfId="837"/>
    <cellStyle name="=C:\WINNT35\SYSTEM32\COMMAND.COM 53" xfId="838"/>
    <cellStyle name="=C:\WINNT35\SYSTEM32\COMMAND.COM 54" xfId="839"/>
    <cellStyle name="=C:\WINNT35\SYSTEM32\COMMAND.COM 55" xfId="840"/>
    <cellStyle name="=C:\WINNT35\SYSTEM32\COMMAND.COM 56" xfId="841"/>
    <cellStyle name="=C:\WINNT35\SYSTEM32\COMMAND.COM 57" xfId="842"/>
    <cellStyle name="=C:\WINNT35\SYSTEM32\COMMAND.COM 58" xfId="843"/>
    <cellStyle name="=C:\WINNT35\SYSTEM32\COMMAND.COM 59" xfId="844"/>
    <cellStyle name="=C:\WINNT35\SYSTEM32\COMMAND.COM 6" xfId="845"/>
    <cellStyle name="=C:\WINNT35\SYSTEM32\COMMAND.COM 60" xfId="846"/>
    <cellStyle name="=C:\WINNT35\SYSTEM32\COMMAND.COM 61" xfId="847"/>
    <cellStyle name="=C:\WINNT35\SYSTEM32\COMMAND.COM 62" xfId="848"/>
    <cellStyle name="=C:\WINNT35\SYSTEM32\COMMAND.COM 63" xfId="849"/>
    <cellStyle name="=C:\WINNT35\SYSTEM32\COMMAND.COM 64" xfId="850"/>
    <cellStyle name="=C:\WINNT35\SYSTEM32\COMMAND.COM 65" xfId="851"/>
    <cellStyle name="=C:\WINNT35\SYSTEM32\COMMAND.COM 66" xfId="852"/>
    <cellStyle name="=C:\WINNT35\SYSTEM32\COMMAND.COM 67" xfId="853"/>
    <cellStyle name="=C:\WINNT35\SYSTEM32\COMMAND.COM 68" xfId="854"/>
    <cellStyle name="=C:\WINNT35\SYSTEM32\COMMAND.COM 69" xfId="855"/>
    <cellStyle name="=C:\WINNT35\SYSTEM32\COMMAND.COM 7" xfId="856"/>
    <cellStyle name="=C:\WINNT35\SYSTEM32\COMMAND.COM 70" xfId="857"/>
    <cellStyle name="=C:\WINNT35\SYSTEM32\COMMAND.COM 71" xfId="858"/>
    <cellStyle name="=C:\WINNT35\SYSTEM32\COMMAND.COM 72" xfId="859"/>
    <cellStyle name="=C:\WINNT35\SYSTEM32\COMMAND.COM 73" xfId="860"/>
    <cellStyle name="=C:\WINNT35\SYSTEM32\COMMAND.COM 74" xfId="861"/>
    <cellStyle name="=C:\WINNT35\SYSTEM32\COMMAND.COM 75" xfId="862"/>
    <cellStyle name="=C:\WINNT35\SYSTEM32\COMMAND.COM 76" xfId="863"/>
    <cellStyle name="=C:\WINNT35\SYSTEM32\COMMAND.COM 77" xfId="864"/>
    <cellStyle name="=C:\WINNT35\SYSTEM32\COMMAND.COM 78" xfId="865"/>
    <cellStyle name="=C:\WINNT35\SYSTEM32\COMMAND.COM 79" xfId="866"/>
    <cellStyle name="=C:\WINNT35\SYSTEM32\COMMAND.COM 8" xfId="867"/>
    <cellStyle name="=C:\WINNT35\SYSTEM32\COMMAND.COM 80" xfId="868"/>
    <cellStyle name="=C:\WINNT35\SYSTEM32\COMMAND.COM 81" xfId="869"/>
    <cellStyle name="=C:\WINNT35\SYSTEM32\COMMAND.COM 82" xfId="870"/>
    <cellStyle name="=C:\WINNT35\SYSTEM32\COMMAND.COM 83" xfId="871"/>
    <cellStyle name="=C:\WINNT35\SYSTEM32\COMMAND.COM 84" xfId="872"/>
    <cellStyle name="=C:\WINNT35\SYSTEM32\COMMAND.COM 85" xfId="873"/>
    <cellStyle name="=C:\WINNT35\SYSTEM32\COMMAND.COM 86" xfId="874"/>
    <cellStyle name="=C:\WINNT35\SYSTEM32\COMMAND.COM 9" xfId="875"/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20% - Акцент1 10" xfId="876"/>
    <cellStyle name="20% - Акцент1 11" xfId="877"/>
    <cellStyle name="20% - Акцент1 12" xfId="878"/>
    <cellStyle name="20% - Акцент1 13" xfId="879"/>
    <cellStyle name="20% - Акцент1 14" xfId="880"/>
    <cellStyle name="20% - Акцент1 15" xfId="881"/>
    <cellStyle name="20% - Акцент1 15 2" xfId="882"/>
    <cellStyle name="20% - Акцент1 16" xfId="883"/>
    <cellStyle name="20% - Акцент1 16 2" xfId="884"/>
    <cellStyle name="20% - Акцент1 17" xfId="885"/>
    <cellStyle name="20% - Акцент1 17 2" xfId="886"/>
    <cellStyle name="20% - Акцент1 18" xfId="887"/>
    <cellStyle name="20% - Акцент1 18 2" xfId="888"/>
    <cellStyle name="20% - Акцент1 19" xfId="889"/>
    <cellStyle name="20% - Акцент1 2" xfId="890"/>
    <cellStyle name="20% - Акцент1 2 10" xfId="891"/>
    <cellStyle name="20% - Акцент1 2 11" xfId="892"/>
    <cellStyle name="20% - Акцент1 2 12" xfId="893"/>
    <cellStyle name="20% - Акцент1 2 13" xfId="894"/>
    <cellStyle name="20% - Акцент1 2 14" xfId="895"/>
    <cellStyle name="20% - Акцент1 2 15" xfId="896"/>
    <cellStyle name="20% - Акцент1 2 16" xfId="897"/>
    <cellStyle name="20% - Акцент1 2 17" xfId="898"/>
    <cellStyle name="20% - Акцент1 2 18" xfId="899"/>
    <cellStyle name="20% - Акцент1 2 19" xfId="900"/>
    <cellStyle name="20% - Акцент1 2 2" xfId="901"/>
    <cellStyle name="20% - Акцент1 2 20" xfId="902"/>
    <cellStyle name="20% - Акцент1 2 21" xfId="903"/>
    <cellStyle name="20% - Акцент1 2 22" xfId="904"/>
    <cellStyle name="20% - Акцент1 2 23" xfId="905"/>
    <cellStyle name="20% - Акцент1 2 24" xfId="906"/>
    <cellStyle name="20% - Акцент1 2 25" xfId="907"/>
    <cellStyle name="20% - Акцент1 2 26" xfId="908"/>
    <cellStyle name="20% - Акцент1 2 27" xfId="909"/>
    <cellStyle name="20% - Акцент1 2 28" xfId="910"/>
    <cellStyle name="20% - Акцент1 2 29" xfId="911"/>
    <cellStyle name="20% - Акцент1 2 3" xfId="912"/>
    <cellStyle name="20% - Акцент1 2 30" xfId="913"/>
    <cellStyle name="20% - Акцент1 2 31" xfId="914"/>
    <cellStyle name="20% - Акцент1 2 32" xfId="915"/>
    <cellStyle name="20% - Акцент1 2 33" xfId="916"/>
    <cellStyle name="20% - Акцент1 2 34" xfId="917"/>
    <cellStyle name="20% - Акцент1 2 35" xfId="918"/>
    <cellStyle name="20% - Акцент1 2 36" xfId="919"/>
    <cellStyle name="20% - Акцент1 2 4" xfId="920"/>
    <cellStyle name="20% - Акцент1 2 5" xfId="921"/>
    <cellStyle name="20% - Акцент1 2 6" xfId="922"/>
    <cellStyle name="20% - Акцент1 2 7" xfId="923"/>
    <cellStyle name="20% - Акцент1 2 8" xfId="924"/>
    <cellStyle name="20% - Акцент1 2 9" xfId="925"/>
    <cellStyle name="20% - Акцент1 20" xfId="926"/>
    <cellStyle name="20% - Акцент1 20 2" xfId="927"/>
    <cellStyle name="20% - Акцент1 20 3" xfId="928"/>
    <cellStyle name="20% - Акцент1 20 4" xfId="929"/>
    <cellStyle name="20% - Акцент1 21" xfId="930"/>
    <cellStyle name="20% - Акцент1 21 2" xfId="931"/>
    <cellStyle name="20% - Акцент1 21 3" xfId="932"/>
    <cellStyle name="20% - Акцент1 21 4" xfId="933"/>
    <cellStyle name="20% - Акцент1 22" xfId="934"/>
    <cellStyle name="20% - Акцент1 22 2" xfId="935"/>
    <cellStyle name="20% - Акцент1 22 3" xfId="936"/>
    <cellStyle name="20% - Акцент1 22 4" xfId="937"/>
    <cellStyle name="20% - Акцент1 23" xfId="938"/>
    <cellStyle name="20% - Акцент1 23 10" xfId="939"/>
    <cellStyle name="20% - Акцент1 23 11" xfId="940"/>
    <cellStyle name="20% - Акцент1 23 12" xfId="941"/>
    <cellStyle name="20% - Акцент1 23 13" xfId="942"/>
    <cellStyle name="20% - Акцент1 23 14" xfId="943"/>
    <cellStyle name="20% - Акцент1 23 15" xfId="944"/>
    <cellStyle name="20% - Акцент1 23 16" xfId="945"/>
    <cellStyle name="20% - Акцент1 23 17" xfId="946"/>
    <cellStyle name="20% - Акцент1 23 18" xfId="947"/>
    <cellStyle name="20% - Акцент1 23 19" xfId="948"/>
    <cellStyle name="20% - Акцент1 23 2" xfId="949"/>
    <cellStyle name="20% - Акцент1 23 20" xfId="950"/>
    <cellStyle name="20% - Акцент1 23 21" xfId="951"/>
    <cellStyle name="20% - Акцент1 23 22" xfId="952"/>
    <cellStyle name="20% - Акцент1 23 23" xfId="953"/>
    <cellStyle name="20% - Акцент1 23 24" xfId="954"/>
    <cellStyle name="20% - Акцент1 23 25" xfId="955"/>
    <cellStyle name="20% - Акцент1 23 26" xfId="956"/>
    <cellStyle name="20% - Акцент1 23 27" xfId="957"/>
    <cellStyle name="20% - Акцент1 23 28" xfId="958"/>
    <cellStyle name="20% - Акцент1 23 29" xfId="959"/>
    <cellStyle name="20% - Акцент1 23 3" xfId="960"/>
    <cellStyle name="20% - Акцент1 23 30" xfId="961"/>
    <cellStyle name="20% - Акцент1 23 31" xfId="962"/>
    <cellStyle name="20% - Акцент1 23 32" xfId="963"/>
    <cellStyle name="20% - Акцент1 23 33" xfId="964"/>
    <cellStyle name="20% - Акцент1 23 34" xfId="965"/>
    <cellStyle name="20% - Акцент1 23 35" xfId="966"/>
    <cellStyle name="20% - Акцент1 23 36" xfId="967"/>
    <cellStyle name="20% - Акцент1 23 37" xfId="968"/>
    <cellStyle name="20% - Акцент1 23 38" xfId="969"/>
    <cellStyle name="20% - Акцент1 23 39" xfId="970"/>
    <cellStyle name="20% - Акцент1 23 4" xfId="971"/>
    <cellStyle name="20% - Акцент1 23 40" xfId="972"/>
    <cellStyle name="20% - Акцент1 23 41" xfId="973"/>
    <cellStyle name="20% - Акцент1 23 42" xfId="974"/>
    <cellStyle name="20% - Акцент1 23 43" xfId="975"/>
    <cellStyle name="20% - Акцент1 23 44" xfId="976"/>
    <cellStyle name="20% - Акцент1 23 45" xfId="977"/>
    <cellStyle name="20% - Акцент1 23 46" xfId="978"/>
    <cellStyle name="20% - Акцент1 23 47" xfId="979"/>
    <cellStyle name="20% - Акцент1 23 48" xfId="980"/>
    <cellStyle name="20% - Акцент1 23 49" xfId="981"/>
    <cellStyle name="20% - Акцент1 23 5" xfId="982"/>
    <cellStyle name="20% - Акцент1 23 50" xfId="983"/>
    <cellStyle name="20% - Акцент1 23 51" xfId="984"/>
    <cellStyle name="20% - Акцент1 23 52" xfId="985"/>
    <cellStyle name="20% - Акцент1 23 53" xfId="986"/>
    <cellStyle name="20% - Акцент1 23 54" xfId="987"/>
    <cellStyle name="20% - Акцент1 23 55" xfId="988"/>
    <cellStyle name="20% - Акцент1 23 56" xfId="989"/>
    <cellStyle name="20% - Акцент1 23 57" xfId="990"/>
    <cellStyle name="20% - Акцент1 23 58" xfId="991"/>
    <cellStyle name="20% - Акцент1 23 59" xfId="992"/>
    <cellStyle name="20% - Акцент1 23 6" xfId="993"/>
    <cellStyle name="20% - Акцент1 23 7" xfId="994"/>
    <cellStyle name="20% - Акцент1 23 8" xfId="995"/>
    <cellStyle name="20% - Акцент1 23 9" xfId="996"/>
    <cellStyle name="20% - Акцент1 24" xfId="997"/>
    <cellStyle name="20% - Акцент1 25" xfId="998"/>
    <cellStyle name="20% - Акцент1 26" xfId="999"/>
    <cellStyle name="20% - Акцент1 27" xfId="1000"/>
    <cellStyle name="20% - Акцент1 28" xfId="1001"/>
    <cellStyle name="20% - Акцент1 29" xfId="1002"/>
    <cellStyle name="20% - Акцент1 3" xfId="1003"/>
    <cellStyle name="20% - Акцент1 4" xfId="1004"/>
    <cellStyle name="20% - Акцент1 5" xfId="1005"/>
    <cellStyle name="20% - Акцент1 6" xfId="1006"/>
    <cellStyle name="20% - Акцент1 7" xfId="1007"/>
    <cellStyle name="20% - Акцент1 8" xfId="1008"/>
    <cellStyle name="20% - Акцент1 9" xfId="1009"/>
    <cellStyle name="20% - Акцент2 10" xfId="1010"/>
    <cellStyle name="20% - Акцент2 11" xfId="1011"/>
    <cellStyle name="20% - Акцент2 12" xfId="1012"/>
    <cellStyle name="20% - Акцент2 13" xfId="1013"/>
    <cellStyle name="20% - Акцент2 14" xfId="1014"/>
    <cellStyle name="20% - Акцент2 15" xfId="1015"/>
    <cellStyle name="20% - Акцент2 15 2" xfId="1016"/>
    <cellStyle name="20% - Акцент2 16" xfId="1017"/>
    <cellStyle name="20% - Акцент2 16 2" xfId="1018"/>
    <cellStyle name="20% - Акцент2 17" xfId="1019"/>
    <cellStyle name="20% - Акцент2 17 2" xfId="1020"/>
    <cellStyle name="20% - Акцент2 18" xfId="1021"/>
    <cellStyle name="20% - Акцент2 18 2" xfId="1022"/>
    <cellStyle name="20% - Акцент2 19" xfId="1023"/>
    <cellStyle name="20% - Акцент2 2" xfId="1024"/>
    <cellStyle name="20% - Акцент2 2 10" xfId="1025"/>
    <cellStyle name="20% - Акцент2 2 11" xfId="1026"/>
    <cellStyle name="20% - Акцент2 2 12" xfId="1027"/>
    <cellStyle name="20% - Акцент2 2 13" xfId="1028"/>
    <cellStyle name="20% - Акцент2 2 14" xfId="1029"/>
    <cellStyle name="20% - Акцент2 2 15" xfId="1030"/>
    <cellStyle name="20% - Акцент2 2 16" xfId="1031"/>
    <cellStyle name="20% - Акцент2 2 17" xfId="1032"/>
    <cellStyle name="20% - Акцент2 2 18" xfId="1033"/>
    <cellStyle name="20% - Акцент2 2 19" xfId="1034"/>
    <cellStyle name="20% - Акцент2 2 2" xfId="1035"/>
    <cellStyle name="20% - Акцент2 2 20" xfId="1036"/>
    <cellStyle name="20% - Акцент2 2 21" xfId="1037"/>
    <cellStyle name="20% - Акцент2 2 22" xfId="1038"/>
    <cellStyle name="20% - Акцент2 2 23" xfId="1039"/>
    <cellStyle name="20% - Акцент2 2 24" xfId="1040"/>
    <cellStyle name="20% - Акцент2 2 25" xfId="1041"/>
    <cellStyle name="20% - Акцент2 2 26" xfId="1042"/>
    <cellStyle name="20% - Акцент2 2 27" xfId="1043"/>
    <cellStyle name="20% - Акцент2 2 28" xfId="1044"/>
    <cellStyle name="20% - Акцент2 2 29" xfId="1045"/>
    <cellStyle name="20% - Акцент2 2 3" xfId="1046"/>
    <cellStyle name="20% - Акцент2 2 30" xfId="1047"/>
    <cellStyle name="20% - Акцент2 2 31" xfId="1048"/>
    <cellStyle name="20% - Акцент2 2 32" xfId="1049"/>
    <cellStyle name="20% - Акцент2 2 33" xfId="1050"/>
    <cellStyle name="20% - Акцент2 2 34" xfId="1051"/>
    <cellStyle name="20% - Акцент2 2 35" xfId="1052"/>
    <cellStyle name="20% - Акцент2 2 36" xfId="1053"/>
    <cellStyle name="20% - Акцент2 2 4" xfId="1054"/>
    <cellStyle name="20% - Акцент2 2 5" xfId="1055"/>
    <cellStyle name="20% - Акцент2 2 6" xfId="1056"/>
    <cellStyle name="20% - Акцент2 2 7" xfId="1057"/>
    <cellStyle name="20% - Акцент2 2 8" xfId="1058"/>
    <cellStyle name="20% - Акцент2 2 9" xfId="1059"/>
    <cellStyle name="20% - Акцент2 20" xfId="1060"/>
    <cellStyle name="20% - Акцент2 20 2" xfId="1061"/>
    <cellStyle name="20% - Акцент2 20 3" xfId="1062"/>
    <cellStyle name="20% - Акцент2 20 4" xfId="1063"/>
    <cellStyle name="20% - Акцент2 21" xfId="1064"/>
    <cellStyle name="20% - Акцент2 21 2" xfId="1065"/>
    <cellStyle name="20% - Акцент2 21 3" xfId="1066"/>
    <cellStyle name="20% - Акцент2 21 4" xfId="1067"/>
    <cellStyle name="20% - Акцент2 22" xfId="1068"/>
    <cellStyle name="20% - Акцент2 22 2" xfId="1069"/>
    <cellStyle name="20% - Акцент2 22 3" xfId="1070"/>
    <cellStyle name="20% - Акцент2 22 4" xfId="1071"/>
    <cellStyle name="20% - Акцент2 23" xfId="1072"/>
    <cellStyle name="20% - Акцент2 23 10" xfId="1073"/>
    <cellStyle name="20% - Акцент2 23 11" xfId="1074"/>
    <cellStyle name="20% - Акцент2 23 12" xfId="1075"/>
    <cellStyle name="20% - Акцент2 23 13" xfId="1076"/>
    <cellStyle name="20% - Акцент2 23 14" xfId="1077"/>
    <cellStyle name="20% - Акцент2 23 15" xfId="1078"/>
    <cellStyle name="20% - Акцент2 23 16" xfId="1079"/>
    <cellStyle name="20% - Акцент2 23 17" xfId="1080"/>
    <cellStyle name="20% - Акцент2 23 18" xfId="1081"/>
    <cellStyle name="20% - Акцент2 23 19" xfId="1082"/>
    <cellStyle name="20% - Акцент2 23 2" xfId="1083"/>
    <cellStyle name="20% - Акцент2 23 20" xfId="1084"/>
    <cellStyle name="20% - Акцент2 23 21" xfId="1085"/>
    <cellStyle name="20% - Акцент2 23 22" xfId="1086"/>
    <cellStyle name="20% - Акцент2 23 23" xfId="1087"/>
    <cellStyle name="20% - Акцент2 23 24" xfId="1088"/>
    <cellStyle name="20% - Акцент2 23 25" xfId="1089"/>
    <cellStyle name="20% - Акцент2 23 26" xfId="1090"/>
    <cellStyle name="20% - Акцент2 23 27" xfId="1091"/>
    <cellStyle name="20% - Акцент2 23 28" xfId="1092"/>
    <cellStyle name="20% - Акцент2 23 29" xfId="1093"/>
    <cellStyle name="20% - Акцент2 23 3" xfId="1094"/>
    <cellStyle name="20% - Акцент2 23 30" xfId="1095"/>
    <cellStyle name="20% - Акцент2 23 31" xfId="1096"/>
    <cellStyle name="20% - Акцент2 23 32" xfId="1097"/>
    <cellStyle name="20% - Акцент2 23 33" xfId="1098"/>
    <cellStyle name="20% - Акцент2 23 34" xfId="1099"/>
    <cellStyle name="20% - Акцент2 23 35" xfId="1100"/>
    <cellStyle name="20% - Акцент2 23 36" xfId="1101"/>
    <cellStyle name="20% - Акцент2 23 37" xfId="1102"/>
    <cellStyle name="20% - Акцент2 23 38" xfId="1103"/>
    <cellStyle name="20% - Акцент2 23 39" xfId="1104"/>
    <cellStyle name="20% - Акцент2 23 4" xfId="1105"/>
    <cellStyle name="20% - Акцент2 23 40" xfId="1106"/>
    <cellStyle name="20% - Акцент2 23 41" xfId="1107"/>
    <cellStyle name="20% - Акцент2 23 42" xfId="1108"/>
    <cellStyle name="20% - Акцент2 23 43" xfId="1109"/>
    <cellStyle name="20% - Акцент2 23 44" xfId="1110"/>
    <cellStyle name="20% - Акцент2 23 45" xfId="1111"/>
    <cellStyle name="20% - Акцент2 23 46" xfId="1112"/>
    <cellStyle name="20% - Акцент2 23 47" xfId="1113"/>
    <cellStyle name="20% - Акцент2 23 48" xfId="1114"/>
    <cellStyle name="20% - Акцент2 23 49" xfId="1115"/>
    <cellStyle name="20% - Акцент2 23 5" xfId="1116"/>
    <cellStyle name="20% - Акцент2 23 50" xfId="1117"/>
    <cellStyle name="20% - Акцент2 23 51" xfId="1118"/>
    <cellStyle name="20% - Акцент2 23 52" xfId="1119"/>
    <cellStyle name="20% - Акцент2 23 53" xfId="1120"/>
    <cellStyle name="20% - Акцент2 23 54" xfId="1121"/>
    <cellStyle name="20% - Акцент2 23 55" xfId="1122"/>
    <cellStyle name="20% - Акцент2 23 56" xfId="1123"/>
    <cellStyle name="20% - Акцент2 23 57" xfId="1124"/>
    <cellStyle name="20% - Акцент2 23 58" xfId="1125"/>
    <cellStyle name="20% - Акцент2 23 59" xfId="1126"/>
    <cellStyle name="20% - Акцент2 23 6" xfId="1127"/>
    <cellStyle name="20% - Акцент2 23 7" xfId="1128"/>
    <cellStyle name="20% - Акцент2 23 8" xfId="1129"/>
    <cellStyle name="20% - Акцент2 23 9" xfId="1130"/>
    <cellStyle name="20% - Акцент2 24" xfId="1131"/>
    <cellStyle name="20% - Акцент2 25" xfId="1132"/>
    <cellStyle name="20% - Акцент2 26" xfId="1133"/>
    <cellStyle name="20% - Акцент2 27" xfId="1134"/>
    <cellStyle name="20% - Акцент2 28" xfId="1135"/>
    <cellStyle name="20% - Акцент2 29" xfId="1136"/>
    <cellStyle name="20% - Акцент2 3" xfId="1137"/>
    <cellStyle name="20% - Акцент2 4" xfId="1138"/>
    <cellStyle name="20% - Акцент2 5" xfId="1139"/>
    <cellStyle name="20% - Акцент2 6" xfId="1140"/>
    <cellStyle name="20% - Акцент2 7" xfId="1141"/>
    <cellStyle name="20% - Акцент2 8" xfId="1142"/>
    <cellStyle name="20% - Акцент2 9" xfId="1143"/>
    <cellStyle name="20% - Акцент3 10" xfId="1144"/>
    <cellStyle name="20% - Акцент3 11" xfId="1145"/>
    <cellStyle name="20% - Акцент3 12" xfId="1146"/>
    <cellStyle name="20% - Акцент3 13" xfId="1147"/>
    <cellStyle name="20% - Акцент3 14" xfId="1148"/>
    <cellStyle name="20% - Акцент3 15" xfId="1149"/>
    <cellStyle name="20% - Акцент3 15 2" xfId="1150"/>
    <cellStyle name="20% - Акцент3 16" xfId="1151"/>
    <cellStyle name="20% - Акцент3 16 2" xfId="1152"/>
    <cellStyle name="20% - Акцент3 17" xfId="1153"/>
    <cellStyle name="20% - Акцент3 17 2" xfId="1154"/>
    <cellStyle name="20% - Акцент3 18" xfId="1155"/>
    <cellStyle name="20% - Акцент3 18 2" xfId="1156"/>
    <cellStyle name="20% - Акцент3 19" xfId="1157"/>
    <cellStyle name="20% - Акцент3 2" xfId="1158"/>
    <cellStyle name="20% - Акцент3 2 10" xfId="1159"/>
    <cellStyle name="20% - Акцент3 2 11" xfId="1160"/>
    <cellStyle name="20% - Акцент3 2 12" xfId="1161"/>
    <cellStyle name="20% - Акцент3 2 13" xfId="1162"/>
    <cellStyle name="20% - Акцент3 2 14" xfId="1163"/>
    <cellStyle name="20% - Акцент3 2 15" xfId="1164"/>
    <cellStyle name="20% - Акцент3 2 16" xfId="1165"/>
    <cellStyle name="20% - Акцент3 2 17" xfId="1166"/>
    <cellStyle name="20% - Акцент3 2 18" xfId="1167"/>
    <cellStyle name="20% - Акцент3 2 19" xfId="1168"/>
    <cellStyle name="20% - Акцент3 2 2" xfId="1169"/>
    <cellStyle name="20% - Акцент3 2 20" xfId="1170"/>
    <cellStyle name="20% - Акцент3 2 21" xfId="1171"/>
    <cellStyle name="20% - Акцент3 2 22" xfId="1172"/>
    <cellStyle name="20% - Акцент3 2 23" xfId="1173"/>
    <cellStyle name="20% - Акцент3 2 24" xfId="1174"/>
    <cellStyle name="20% - Акцент3 2 25" xfId="1175"/>
    <cellStyle name="20% - Акцент3 2 26" xfId="1176"/>
    <cellStyle name="20% - Акцент3 2 27" xfId="1177"/>
    <cellStyle name="20% - Акцент3 2 28" xfId="1178"/>
    <cellStyle name="20% - Акцент3 2 29" xfId="1179"/>
    <cellStyle name="20% - Акцент3 2 3" xfId="1180"/>
    <cellStyle name="20% - Акцент3 2 30" xfId="1181"/>
    <cellStyle name="20% - Акцент3 2 31" xfId="1182"/>
    <cellStyle name="20% - Акцент3 2 32" xfId="1183"/>
    <cellStyle name="20% - Акцент3 2 33" xfId="1184"/>
    <cellStyle name="20% - Акцент3 2 34" xfId="1185"/>
    <cellStyle name="20% - Акцент3 2 35" xfId="1186"/>
    <cellStyle name="20% - Акцент3 2 36" xfId="1187"/>
    <cellStyle name="20% - Акцент3 2 4" xfId="1188"/>
    <cellStyle name="20% - Акцент3 2 5" xfId="1189"/>
    <cellStyle name="20% - Акцент3 2 6" xfId="1190"/>
    <cellStyle name="20% - Акцент3 2 7" xfId="1191"/>
    <cellStyle name="20% - Акцент3 2 8" xfId="1192"/>
    <cellStyle name="20% - Акцент3 2 9" xfId="1193"/>
    <cellStyle name="20% - Акцент3 20" xfId="1194"/>
    <cellStyle name="20% - Акцент3 20 2" xfId="1195"/>
    <cellStyle name="20% - Акцент3 20 3" xfId="1196"/>
    <cellStyle name="20% - Акцент3 20 4" xfId="1197"/>
    <cellStyle name="20% - Акцент3 21" xfId="1198"/>
    <cellStyle name="20% - Акцент3 21 2" xfId="1199"/>
    <cellStyle name="20% - Акцент3 21 3" xfId="1200"/>
    <cellStyle name="20% - Акцент3 21 4" xfId="1201"/>
    <cellStyle name="20% - Акцент3 22" xfId="1202"/>
    <cellStyle name="20% - Акцент3 22 2" xfId="1203"/>
    <cellStyle name="20% - Акцент3 22 3" xfId="1204"/>
    <cellStyle name="20% - Акцент3 22 4" xfId="1205"/>
    <cellStyle name="20% - Акцент3 23" xfId="1206"/>
    <cellStyle name="20% - Акцент3 23 10" xfId="1207"/>
    <cellStyle name="20% - Акцент3 23 11" xfId="1208"/>
    <cellStyle name="20% - Акцент3 23 12" xfId="1209"/>
    <cellStyle name="20% - Акцент3 23 13" xfId="1210"/>
    <cellStyle name="20% - Акцент3 23 14" xfId="1211"/>
    <cellStyle name="20% - Акцент3 23 15" xfId="1212"/>
    <cellStyle name="20% - Акцент3 23 16" xfId="1213"/>
    <cellStyle name="20% - Акцент3 23 17" xfId="1214"/>
    <cellStyle name="20% - Акцент3 23 18" xfId="1215"/>
    <cellStyle name="20% - Акцент3 23 19" xfId="1216"/>
    <cellStyle name="20% - Акцент3 23 2" xfId="1217"/>
    <cellStyle name="20% - Акцент3 23 20" xfId="1218"/>
    <cellStyle name="20% - Акцент3 23 21" xfId="1219"/>
    <cellStyle name="20% - Акцент3 23 22" xfId="1220"/>
    <cellStyle name="20% - Акцент3 23 23" xfId="1221"/>
    <cellStyle name="20% - Акцент3 23 24" xfId="1222"/>
    <cellStyle name="20% - Акцент3 23 25" xfId="1223"/>
    <cellStyle name="20% - Акцент3 23 26" xfId="1224"/>
    <cellStyle name="20% - Акцент3 23 27" xfId="1225"/>
    <cellStyle name="20% - Акцент3 23 28" xfId="1226"/>
    <cellStyle name="20% - Акцент3 23 29" xfId="1227"/>
    <cellStyle name="20% - Акцент3 23 3" xfId="1228"/>
    <cellStyle name="20% - Акцент3 23 30" xfId="1229"/>
    <cellStyle name="20% - Акцент3 23 31" xfId="1230"/>
    <cellStyle name="20% - Акцент3 23 32" xfId="1231"/>
    <cellStyle name="20% - Акцент3 23 33" xfId="1232"/>
    <cellStyle name="20% - Акцент3 23 34" xfId="1233"/>
    <cellStyle name="20% - Акцент3 23 35" xfId="1234"/>
    <cellStyle name="20% - Акцент3 23 36" xfId="1235"/>
    <cellStyle name="20% - Акцент3 23 37" xfId="1236"/>
    <cellStyle name="20% - Акцент3 23 38" xfId="1237"/>
    <cellStyle name="20% - Акцент3 23 39" xfId="1238"/>
    <cellStyle name="20% - Акцент3 23 4" xfId="1239"/>
    <cellStyle name="20% - Акцент3 23 40" xfId="1240"/>
    <cellStyle name="20% - Акцент3 23 41" xfId="1241"/>
    <cellStyle name="20% - Акцент3 23 42" xfId="1242"/>
    <cellStyle name="20% - Акцент3 23 43" xfId="1243"/>
    <cellStyle name="20% - Акцент3 23 44" xfId="1244"/>
    <cellStyle name="20% - Акцент3 23 45" xfId="1245"/>
    <cellStyle name="20% - Акцент3 23 46" xfId="1246"/>
    <cellStyle name="20% - Акцент3 23 47" xfId="1247"/>
    <cellStyle name="20% - Акцент3 23 48" xfId="1248"/>
    <cellStyle name="20% - Акцент3 23 49" xfId="1249"/>
    <cellStyle name="20% - Акцент3 23 5" xfId="1250"/>
    <cellStyle name="20% - Акцент3 23 50" xfId="1251"/>
    <cellStyle name="20% - Акцент3 23 51" xfId="1252"/>
    <cellStyle name="20% - Акцент3 23 52" xfId="1253"/>
    <cellStyle name="20% - Акцент3 23 53" xfId="1254"/>
    <cellStyle name="20% - Акцент3 23 54" xfId="1255"/>
    <cellStyle name="20% - Акцент3 23 55" xfId="1256"/>
    <cellStyle name="20% - Акцент3 23 56" xfId="1257"/>
    <cellStyle name="20% - Акцент3 23 57" xfId="1258"/>
    <cellStyle name="20% - Акцент3 23 58" xfId="1259"/>
    <cellStyle name="20% - Акцент3 23 59" xfId="1260"/>
    <cellStyle name="20% - Акцент3 23 6" xfId="1261"/>
    <cellStyle name="20% - Акцент3 23 7" xfId="1262"/>
    <cellStyle name="20% - Акцент3 23 8" xfId="1263"/>
    <cellStyle name="20% - Акцент3 23 9" xfId="1264"/>
    <cellStyle name="20% - Акцент3 24" xfId="1265"/>
    <cellStyle name="20% - Акцент3 25" xfId="1266"/>
    <cellStyle name="20% - Акцент3 26" xfId="1267"/>
    <cellStyle name="20% - Акцент3 27" xfId="1268"/>
    <cellStyle name="20% - Акцент3 28" xfId="1269"/>
    <cellStyle name="20% - Акцент3 29" xfId="1270"/>
    <cellStyle name="20% - Акцент3 3" xfId="1271"/>
    <cellStyle name="20% - Акцент3 4" xfId="1272"/>
    <cellStyle name="20% - Акцент3 5" xfId="1273"/>
    <cellStyle name="20% - Акцент3 6" xfId="1274"/>
    <cellStyle name="20% - Акцент3 7" xfId="1275"/>
    <cellStyle name="20% - Акцент3 8" xfId="1276"/>
    <cellStyle name="20% - Акцент3 9" xfId="1277"/>
    <cellStyle name="20% - Акцент4 10" xfId="1278"/>
    <cellStyle name="20% - Акцент4 11" xfId="1279"/>
    <cellStyle name="20% - Акцент4 12" xfId="1280"/>
    <cellStyle name="20% - Акцент4 13" xfId="1281"/>
    <cellStyle name="20% - Акцент4 14" xfId="1282"/>
    <cellStyle name="20% - Акцент4 15" xfId="1283"/>
    <cellStyle name="20% - Акцент4 15 2" xfId="1284"/>
    <cellStyle name="20% - Акцент4 16" xfId="1285"/>
    <cellStyle name="20% - Акцент4 16 2" xfId="1286"/>
    <cellStyle name="20% - Акцент4 17" xfId="1287"/>
    <cellStyle name="20% - Акцент4 17 2" xfId="1288"/>
    <cellStyle name="20% - Акцент4 18" xfId="1289"/>
    <cellStyle name="20% - Акцент4 18 2" xfId="1290"/>
    <cellStyle name="20% - Акцент4 19" xfId="1291"/>
    <cellStyle name="20% - Акцент4 2" xfId="1292"/>
    <cellStyle name="20% - Акцент4 2 10" xfId="1293"/>
    <cellStyle name="20% - Акцент4 2 11" xfId="1294"/>
    <cellStyle name="20% - Акцент4 2 12" xfId="1295"/>
    <cellStyle name="20% - Акцент4 2 13" xfId="1296"/>
    <cellStyle name="20% - Акцент4 2 14" xfId="1297"/>
    <cellStyle name="20% - Акцент4 2 15" xfId="1298"/>
    <cellStyle name="20% - Акцент4 2 16" xfId="1299"/>
    <cellStyle name="20% - Акцент4 2 17" xfId="1300"/>
    <cellStyle name="20% - Акцент4 2 18" xfId="1301"/>
    <cellStyle name="20% - Акцент4 2 19" xfId="1302"/>
    <cellStyle name="20% - Акцент4 2 2" xfId="1303"/>
    <cellStyle name="20% - Акцент4 2 20" xfId="1304"/>
    <cellStyle name="20% - Акцент4 2 21" xfId="1305"/>
    <cellStyle name="20% - Акцент4 2 22" xfId="1306"/>
    <cellStyle name="20% - Акцент4 2 23" xfId="1307"/>
    <cellStyle name="20% - Акцент4 2 24" xfId="1308"/>
    <cellStyle name="20% - Акцент4 2 25" xfId="1309"/>
    <cellStyle name="20% - Акцент4 2 26" xfId="1310"/>
    <cellStyle name="20% - Акцент4 2 27" xfId="1311"/>
    <cellStyle name="20% - Акцент4 2 28" xfId="1312"/>
    <cellStyle name="20% - Акцент4 2 29" xfId="1313"/>
    <cellStyle name="20% - Акцент4 2 3" xfId="1314"/>
    <cellStyle name="20% - Акцент4 2 30" xfId="1315"/>
    <cellStyle name="20% - Акцент4 2 31" xfId="1316"/>
    <cellStyle name="20% - Акцент4 2 32" xfId="1317"/>
    <cellStyle name="20% - Акцент4 2 33" xfId="1318"/>
    <cellStyle name="20% - Акцент4 2 34" xfId="1319"/>
    <cellStyle name="20% - Акцент4 2 35" xfId="1320"/>
    <cellStyle name="20% - Акцент4 2 36" xfId="1321"/>
    <cellStyle name="20% - Акцент4 2 4" xfId="1322"/>
    <cellStyle name="20% - Акцент4 2 5" xfId="1323"/>
    <cellStyle name="20% - Акцент4 2 6" xfId="1324"/>
    <cellStyle name="20% - Акцент4 2 7" xfId="1325"/>
    <cellStyle name="20% - Акцент4 2 8" xfId="1326"/>
    <cellStyle name="20% - Акцент4 2 9" xfId="1327"/>
    <cellStyle name="20% - Акцент4 20" xfId="1328"/>
    <cellStyle name="20% - Акцент4 20 2" xfId="1329"/>
    <cellStyle name="20% - Акцент4 20 3" xfId="1330"/>
    <cellStyle name="20% - Акцент4 20 4" xfId="1331"/>
    <cellStyle name="20% - Акцент4 21" xfId="1332"/>
    <cellStyle name="20% - Акцент4 21 2" xfId="1333"/>
    <cellStyle name="20% - Акцент4 21 3" xfId="1334"/>
    <cellStyle name="20% - Акцент4 21 4" xfId="1335"/>
    <cellStyle name="20% - Акцент4 22" xfId="1336"/>
    <cellStyle name="20% - Акцент4 22 2" xfId="1337"/>
    <cellStyle name="20% - Акцент4 22 3" xfId="1338"/>
    <cellStyle name="20% - Акцент4 22 4" xfId="1339"/>
    <cellStyle name="20% - Акцент4 23" xfId="1340"/>
    <cellStyle name="20% - Акцент4 23 10" xfId="1341"/>
    <cellStyle name="20% - Акцент4 23 11" xfId="1342"/>
    <cellStyle name="20% - Акцент4 23 12" xfId="1343"/>
    <cellStyle name="20% - Акцент4 23 13" xfId="1344"/>
    <cellStyle name="20% - Акцент4 23 14" xfId="1345"/>
    <cellStyle name="20% - Акцент4 23 15" xfId="1346"/>
    <cellStyle name="20% - Акцент4 23 16" xfId="1347"/>
    <cellStyle name="20% - Акцент4 23 17" xfId="1348"/>
    <cellStyle name="20% - Акцент4 23 18" xfId="1349"/>
    <cellStyle name="20% - Акцент4 23 19" xfId="1350"/>
    <cellStyle name="20% - Акцент4 23 2" xfId="1351"/>
    <cellStyle name="20% - Акцент4 23 20" xfId="1352"/>
    <cellStyle name="20% - Акцент4 23 21" xfId="1353"/>
    <cellStyle name="20% - Акцент4 23 22" xfId="1354"/>
    <cellStyle name="20% - Акцент4 23 23" xfId="1355"/>
    <cellStyle name="20% - Акцент4 23 24" xfId="1356"/>
    <cellStyle name="20% - Акцент4 23 25" xfId="1357"/>
    <cellStyle name="20% - Акцент4 23 26" xfId="1358"/>
    <cellStyle name="20% - Акцент4 23 27" xfId="1359"/>
    <cellStyle name="20% - Акцент4 23 28" xfId="1360"/>
    <cellStyle name="20% - Акцент4 23 29" xfId="1361"/>
    <cellStyle name="20% - Акцент4 23 3" xfId="1362"/>
    <cellStyle name="20% - Акцент4 23 30" xfId="1363"/>
    <cellStyle name="20% - Акцент4 23 31" xfId="1364"/>
    <cellStyle name="20% - Акцент4 23 32" xfId="1365"/>
    <cellStyle name="20% - Акцент4 23 33" xfId="1366"/>
    <cellStyle name="20% - Акцент4 23 34" xfId="1367"/>
    <cellStyle name="20% - Акцент4 23 35" xfId="1368"/>
    <cellStyle name="20% - Акцент4 23 36" xfId="1369"/>
    <cellStyle name="20% - Акцент4 23 37" xfId="1370"/>
    <cellStyle name="20% - Акцент4 23 38" xfId="1371"/>
    <cellStyle name="20% - Акцент4 23 39" xfId="1372"/>
    <cellStyle name="20% - Акцент4 23 4" xfId="1373"/>
    <cellStyle name="20% - Акцент4 23 40" xfId="1374"/>
    <cellStyle name="20% - Акцент4 23 41" xfId="1375"/>
    <cellStyle name="20% - Акцент4 23 42" xfId="1376"/>
    <cellStyle name="20% - Акцент4 23 43" xfId="1377"/>
    <cellStyle name="20% - Акцент4 23 44" xfId="1378"/>
    <cellStyle name="20% - Акцент4 23 45" xfId="1379"/>
    <cellStyle name="20% - Акцент4 23 46" xfId="1380"/>
    <cellStyle name="20% - Акцент4 23 47" xfId="1381"/>
    <cellStyle name="20% - Акцент4 23 48" xfId="1382"/>
    <cellStyle name="20% - Акцент4 23 49" xfId="1383"/>
    <cellStyle name="20% - Акцент4 23 5" xfId="1384"/>
    <cellStyle name="20% - Акцент4 23 50" xfId="1385"/>
    <cellStyle name="20% - Акцент4 23 51" xfId="1386"/>
    <cellStyle name="20% - Акцент4 23 52" xfId="1387"/>
    <cellStyle name="20% - Акцент4 23 53" xfId="1388"/>
    <cellStyle name="20% - Акцент4 23 54" xfId="1389"/>
    <cellStyle name="20% - Акцент4 23 55" xfId="1390"/>
    <cellStyle name="20% - Акцент4 23 56" xfId="1391"/>
    <cellStyle name="20% - Акцент4 23 57" xfId="1392"/>
    <cellStyle name="20% - Акцент4 23 58" xfId="1393"/>
    <cellStyle name="20% - Акцент4 23 59" xfId="1394"/>
    <cellStyle name="20% - Акцент4 23 6" xfId="1395"/>
    <cellStyle name="20% - Акцент4 23 7" xfId="1396"/>
    <cellStyle name="20% - Акцент4 23 8" xfId="1397"/>
    <cellStyle name="20% - Акцент4 23 9" xfId="1398"/>
    <cellStyle name="20% - Акцент4 24" xfId="1399"/>
    <cellStyle name="20% - Акцент4 25" xfId="1400"/>
    <cellStyle name="20% - Акцент4 26" xfId="1401"/>
    <cellStyle name="20% - Акцент4 27" xfId="1402"/>
    <cellStyle name="20% - Акцент4 28" xfId="1403"/>
    <cellStyle name="20% - Акцент4 29" xfId="1404"/>
    <cellStyle name="20% - Акцент4 3" xfId="1405"/>
    <cellStyle name="20% - Акцент4 4" xfId="1406"/>
    <cellStyle name="20% - Акцент4 5" xfId="1407"/>
    <cellStyle name="20% - Акцент4 6" xfId="1408"/>
    <cellStyle name="20% - Акцент4 7" xfId="1409"/>
    <cellStyle name="20% - Акцент4 8" xfId="1410"/>
    <cellStyle name="20% - Акцент4 9" xfId="1411"/>
    <cellStyle name="20% - Акцент5 10" xfId="1412"/>
    <cellStyle name="20% - Акцент5 11" xfId="1413"/>
    <cellStyle name="20% - Акцент5 12" xfId="1414"/>
    <cellStyle name="20% - Акцент5 13" xfId="1415"/>
    <cellStyle name="20% - Акцент5 14" xfId="1416"/>
    <cellStyle name="20% - Акцент5 15" xfId="1417"/>
    <cellStyle name="20% - Акцент5 15 2" xfId="1418"/>
    <cellStyle name="20% - Акцент5 16" xfId="1419"/>
    <cellStyle name="20% - Акцент5 16 2" xfId="1420"/>
    <cellStyle name="20% - Акцент5 17" xfId="1421"/>
    <cellStyle name="20% - Акцент5 17 2" xfId="1422"/>
    <cellStyle name="20% - Акцент5 18" xfId="1423"/>
    <cellStyle name="20% - Акцент5 18 2" xfId="1424"/>
    <cellStyle name="20% - Акцент5 19" xfId="1425"/>
    <cellStyle name="20% - Акцент5 2" xfId="1426"/>
    <cellStyle name="20% - Акцент5 2 10" xfId="1427"/>
    <cellStyle name="20% - Акцент5 2 11" xfId="1428"/>
    <cellStyle name="20% - Акцент5 2 12" xfId="1429"/>
    <cellStyle name="20% - Акцент5 2 13" xfId="1430"/>
    <cellStyle name="20% - Акцент5 2 14" xfId="1431"/>
    <cellStyle name="20% - Акцент5 2 15" xfId="1432"/>
    <cellStyle name="20% - Акцент5 2 16" xfId="1433"/>
    <cellStyle name="20% - Акцент5 2 17" xfId="1434"/>
    <cellStyle name="20% - Акцент5 2 18" xfId="1435"/>
    <cellStyle name="20% - Акцент5 2 19" xfId="1436"/>
    <cellStyle name="20% - Акцент5 2 2" xfId="1437"/>
    <cellStyle name="20% - Акцент5 2 20" xfId="1438"/>
    <cellStyle name="20% - Акцент5 2 21" xfId="1439"/>
    <cellStyle name="20% - Акцент5 2 22" xfId="1440"/>
    <cellStyle name="20% - Акцент5 2 23" xfId="1441"/>
    <cellStyle name="20% - Акцент5 2 24" xfId="1442"/>
    <cellStyle name="20% - Акцент5 2 25" xfId="1443"/>
    <cellStyle name="20% - Акцент5 2 26" xfId="1444"/>
    <cellStyle name="20% - Акцент5 2 27" xfId="1445"/>
    <cellStyle name="20% - Акцент5 2 28" xfId="1446"/>
    <cellStyle name="20% - Акцент5 2 29" xfId="1447"/>
    <cellStyle name="20% - Акцент5 2 3" xfId="1448"/>
    <cellStyle name="20% - Акцент5 2 30" xfId="1449"/>
    <cellStyle name="20% - Акцент5 2 31" xfId="1450"/>
    <cellStyle name="20% - Акцент5 2 32" xfId="1451"/>
    <cellStyle name="20% - Акцент5 2 33" xfId="1452"/>
    <cellStyle name="20% - Акцент5 2 34" xfId="1453"/>
    <cellStyle name="20% - Акцент5 2 35" xfId="1454"/>
    <cellStyle name="20% - Акцент5 2 36" xfId="1455"/>
    <cellStyle name="20% - Акцент5 2 4" xfId="1456"/>
    <cellStyle name="20% - Акцент5 2 5" xfId="1457"/>
    <cellStyle name="20% - Акцент5 2 6" xfId="1458"/>
    <cellStyle name="20% - Акцент5 2 7" xfId="1459"/>
    <cellStyle name="20% - Акцент5 2 8" xfId="1460"/>
    <cellStyle name="20% - Акцент5 2 9" xfId="1461"/>
    <cellStyle name="20% - Акцент5 20" xfId="1462"/>
    <cellStyle name="20% - Акцент5 20 2" xfId="1463"/>
    <cellStyle name="20% - Акцент5 20 3" xfId="1464"/>
    <cellStyle name="20% - Акцент5 20 4" xfId="1465"/>
    <cellStyle name="20% - Акцент5 21" xfId="1466"/>
    <cellStyle name="20% - Акцент5 21 2" xfId="1467"/>
    <cellStyle name="20% - Акцент5 21 3" xfId="1468"/>
    <cellStyle name="20% - Акцент5 21 4" xfId="1469"/>
    <cellStyle name="20% - Акцент5 22" xfId="1470"/>
    <cellStyle name="20% - Акцент5 22 2" xfId="1471"/>
    <cellStyle name="20% - Акцент5 22 3" xfId="1472"/>
    <cellStyle name="20% - Акцент5 22 4" xfId="1473"/>
    <cellStyle name="20% - Акцент5 23" xfId="1474"/>
    <cellStyle name="20% - Акцент5 23 10" xfId="1475"/>
    <cellStyle name="20% - Акцент5 23 11" xfId="1476"/>
    <cellStyle name="20% - Акцент5 23 12" xfId="1477"/>
    <cellStyle name="20% - Акцент5 23 13" xfId="1478"/>
    <cellStyle name="20% - Акцент5 23 14" xfId="1479"/>
    <cellStyle name="20% - Акцент5 23 15" xfId="1480"/>
    <cellStyle name="20% - Акцент5 23 16" xfId="1481"/>
    <cellStyle name="20% - Акцент5 23 17" xfId="1482"/>
    <cellStyle name="20% - Акцент5 23 18" xfId="1483"/>
    <cellStyle name="20% - Акцент5 23 19" xfId="1484"/>
    <cellStyle name="20% - Акцент5 23 2" xfId="1485"/>
    <cellStyle name="20% - Акцент5 23 20" xfId="1486"/>
    <cellStyle name="20% - Акцент5 23 21" xfId="1487"/>
    <cellStyle name="20% - Акцент5 23 22" xfId="1488"/>
    <cellStyle name="20% - Акцент5 23 23" xfId="1489"/>
    <cellStyle name="20% - Акцент5 23 24" xfId="1490"/>
    <cellStyle name="20% - Акцент5 23 25" xfId="1491"/>
    <cellStyle name="20% - Акцент5 23 26" xfId="1492"/>
    <cellStyle name="20% - Акцент5 23 27" xfId="1493"/>
    <cellStyle name="20% - Акцент5 23 28" xfId="1494"/>
    <cellStyle name="20% - Акцент5 23 29" xfId="1495"/>
    <cellStyle name="20% - Акцент5 23 3" xfId="1496"/>
    <cellStyle name="20% - Акцент5 23 30" xfId="1497"/>
    <cellStyle name="20% - Акцент5 23 31" xfId="1498"/>
    <cellStyle name="20% - Акцент5 23 32" xfId="1499"/>
    <cellStyle name="20% - Акцент5 23 33" xfId="1500"/>
    <cellStyle name="20% - Акцент5 23 34" xfId="1501"/>
    <cellStyle name="20% - Акцент5 23 35" xfId="1502"/>
    <cellStyle name="20% - Акцент5 23 36" xfId="1503"/>
    <cellStyle name="20% - Акцент5 23 37" xfId="1504"/>
    <cellStyle name="20% - Акцент5 23 38" xfId="1505"/>
    <cellStyle name="20% - Акцент5 23 39" xfId="1506"/>
    <cellStyle name="20% - Акцент5 23 4" xfId="1507"/>
    <cellStyle name="20% - Акцент5 23 40" xfId="1508"/>
    <cellStyle name="20% - Акцент5 23 41" xfId="1509"/>
    <cellStyle name="20% - Акцент5 23 42" xfId="1510"/>
    <cellStyle name="20% - Акцент5 23 43" xfId="1511"/>
    <cellStyle name="20% - Акцент5 23 44" xfId="1512"/>
    <cellStyle name="20% - Акцент5 23 45" xfId="1513"/>
    <cellStyle name="20% - Акцент5 23 46" xfId="1514"/>
    <cellStyle name="20% - Акцент5 23 47" xfId="1515"/>
    <cellStyle name="20% - Акцент5 23 48" xfId="1516"/>
    <cellStyle name="20% - Акцент5 23 49" xfId="1517"/>
    <cellStyle name="20% - Акцент5 23 5" xfId="1518"/>
    <cellStyle name="20% - Акцент5 23 50" xfId="1519"/>
    <cellStyle name="20% - Акцент5 23 51" xfId="1520"/>
    <cellStyle name="20% - Акцент5 23 52" xfId="1521"/>
    <cellStyle name="20% - Акцент5 23 53" xfId="1522"/>
    <cellStyle name="20% - Акцент5 23 54" xfId="1523"/>
    <cellStyle name="20% - Акцент5 23 55" xfId="1524"/>
    <cellStyle name="20% - Акцент5 23 56" xfId="1525"/>
    <cellStyle name="20% - Акцент5 23 57" xfId="1526"/>
    <cellStyle name="20% - Акцент5 23 58" xfId="1527"/>
    <cellStyle name="20% - Акцент5 23 59" xfId="1528"/>
    <cellStyle name="20% - Акцент5 23 6" xfId="1529"/>
    <cellStyle name="20% - Акцент5 23 7" xfId="1530"/>
    <cellStyle name="20% - Акцент5 23 8" xfId="1531"/>
    <cellStyle name="20% - Акцент5 23 9" xfId="1532"/>
    <cellStyle name="20% - Акцент5 24" xfId="1533"/>
    <cellStyle name="20% - Акцент5 25" xfId="1534"/>
    <cellStyle name="20% - Акцент5 26" xfId="1535"/>
    <cellStyle name="20% - Акцент5 27" xfId="1536"/>
    <cellStyle name="20% - Акцент5 28" xfId="1537"/>
    <cellStyle name="20% - Акцент5 29" xfId="1538"/>
    <cellStyle name="20% - Акцент5 3" xfId="1539"/>
    <cellStyle name="20% - Акцент5 4" xfId="1540"/>
    <cellStyle name="20% - Акцент5 5" xfId="1541"/>
    <cellStyle name="20% - Акцент5 6" xfId="1542"/>
    <cellStyle name="20% - Акцент5 7" xfId="1543"/>
    <cellStyle name="20% - Акцент5 8" xfId="1544"/>
    <cellStyle name="20% - Акцент5 9" xfId="1545"/>
    <cellStyle name="20% - Акцент6 10" xfId="1546"/>
    <cellStyle name="20% - Акцент6 11" xfId="1547"/>
    <cellStyle name="20% - Акцент6 12" xfId="1548"/>
    <cellStyle name="20% - Акцент6 13" xfId="1549"/>
    <cellStyle name="20% - Акцент6 14" xfId="1550"/>
    <cellStyle name="20% - Акцент6 15" xfId="1551"/>
    <cellStyle name="20% - Акцент6 15 2" xfId="1552"/>
    <cellStyle name="20% - Акцент6 16" xfId="1553"/>
    <cellStyle name="20% - Акцент6 16 2" xfId="1554"/>
    <cellStyle name="20% - Акцент6 17" xfId="1555"/>
    <cellStyle name="20% - Акцент6 17 2" xfId="1556"/>
    <cellStyle name="20% - Акцент6 18" xfId="1557"/>
    <cellStyle name="20% - Акцент6 18 2" xfId="1558"/>
    <cellStyle name="20% - Акцент6 19" xfId="1559"/>
    <cellStyle name="20% - Акцент6 2" xfId="1560"/>
    <cellStyle name="20% - Акцент6 2 10" xfId="1561"/>
    <cellStyle name="20% - Акцент6 2 11" xfId="1562"/>
    <cellStyle name="20% - Акцент6 2 12" xfId="1563"/>
    <cellStyle name="20% - Акцент6 2 13" xfId="1564"/>
    <cellStyle name="20% - Акцент6 2 14" xfId="1565"/>
    <cellStyle name="20% - Акцент6 2 15" xfId="1566"/>
    <cellStyle name="20% - Акцент6 2 16" xfId="1567"/>
    <cellStyle name="20% - Акцент6 2 17" xfId="1568"/>
    <cellStyle name="20% - Акцент6 2 18" xfId="1569"/>
    <cellStyle name="20% - Акцент6 2 19" xfId="1570"/>
    <cellStyle name="20% - Акцент6 2 2" xfId="1571"/>
    <cellStyle name="20% - Акцент6 2 20" xfId="1572"/>
    <cellStyle name="20% - Акцент6 2 21" xfId="1573"/>
    <cellStyle name="20% - Акцент6 2 22" xfId="1574"/>
    <cellStyle name="20% - Акцент6 2 23" xfId="1575"/>
    <cellStyle name="20% - Акцент6 2 24" xfId="1576"/>
    <cellStyle name="20% - Акцент6 2 25" xfId="1577"/>
    <cellStyle name="20% - Акцент6 2 26" xfId="1578"/>
    <cellStyle name="20% - Акцент6 2 27" xfId="1579"/>
    <cellStyle name="20% - Акцент6 2 28" xfId="1580"/>
    <cellStyle name="20% - Акцент6 2 29" xfId="1581"/>
    <cellStyle name="20% - Акцент6 2 3" xfId="1582"/>
    <cellStyle name="20% - Акцент6 2 30" xfId="1583"/>
    <cellStyle name="20% - Акцент6 2 31" xfId="1584"/>
    <cellStyle name="20% - Акцент6 2 32" xfId="1585"/>
    <cellStyle name="20% - Акцент6 2 33" xfId="1586"/>
    <cellStyle name="20% - Акцент6 2 34" xfId="1587"/>
    <cellStyle name="20% - Акцент6 2 35" xfId="1588"/>
    <cellStyle name="20% - Акцент6 2 36" xfId="1589"/>
    <cellStyle name="20% - Акцент6 2 4" xfId="1590"/>
    <cellStyle name="20% - Акцент6 2 5" xfId="1591"/>
    <cellStyle name="20% - Акцент6 2 6" xfId="1592"/>
    <cellStyle name="20% - Акцент6 2 7" xfId="1593"/>
    <cellStyle name="20% - Акцент6 2 8" xfId="1594"/>
    <cellStyle name="20% - Акцент6 2 9" xfId="1595"/>
    <cellStyle name="20% - Акцент6 20" xfId="1596"/>
    <cellStyle name="20% - Акцент6 20 2" xfId="1597"/>
    <cellStyle name="20% - Акцент6 20 3" xfId="1598"/>
    <cellStyle name="20% - Акцент6 20 4" xfId="1599"/>
    <cellStyle name="20% - Акцент6 21" xfId="1600"/>
    <cellStyle name="20% - Акцент6 21 2" xfId="1601"/>
    <cellStyle name="20% - Акцент6 21 3" xfId="1602"/>
    <cellStyle name="20% - Акцент6 21 4" xfId="1603"/>
    <cellStyle name="20% - Акцент6 22" xfId="1604"/>
    <cellStyle name="20% - Акцент6 22 2" xfId="1605"/>
    <cellStyle name="20% - Акцент6 22 3" xfId="1606"/>
    <cellStyle name="20% - Акцент6 22 4" xfId="1607"/>
    <cellStyle name="20% - Акцент6 23" xfId="1608"/>
    <cellStyle name="20% - Акцент6 23 10" xfId="1609"/>
    <cellStyle name="20% - Акцент6 23 11" xfId="1610"/>
    <cellStyle name="20% - Акцент6 23 12" xfId="1611"/>
    <cellStyle name="20% - Акцент6 23 13" xfId="1612"/>
    <cellStyle name="20% - Акцент6 23 14" xfId="1613"/>
    <cellStyle name="20% - Акцент6 23 15" xfId="1614"/>
    <cellStyle name="20% - Акцент6 23 16" xfId="1615"/>
    <cellStyle name="20% - Акцент6 23 17" xfId="1616"/>
    <cellStyle name="20% - Акцент6 23 18" xfId="1617"/>
    <cellStyle name="20% - Акцент6 23 19" xfId="1618"/>
    <cellStyle name="20% - Акцент6 23 2" xfId="1619"/>
    <cellStyle name="20% - Акцент6 23 20" xfId="1620"/>
    <cellStyle name="20% - Акцент6 23 21" xfId="1621"/>
    <cellStyle name="20% - Акцент6 23 22" xfId="1622"/>
    <cellStyle name="20% - Акцент6 23 23" xfId="1623"/>
    <cellStyle name="20% - Акцент6 23 24" xfId="1624"/>
    <cellStyle name="20% - Акцент6 23 25" xfId="1625"/>
    <cellStyle name="20% - Акцент6 23 26" xfId="1626"/>
    <cellStyle name="20% - Акцент6 23 27" xfId="1627"/>
    <cellStyle name="20% - Акцент6 23 28" xfId="1628"/>
    <cellStyle name="20% - Акцент6 23 29" xfId="1629"/>
    <cellStyle name="20% - Акцент6 23 3" xfId="1630"/>
    <cellStyle name="20% - Акцент6 23 30" xfId="1631"/>
    <cellStyle name="20% - Акцент6 23 31" xfId="1632"/>
    <cellStyle name="20% - Акцент6 23 32" xfId="1633"/>
    <cellStyle name="20% - Акцент6 23 33" xfId="1634"/>
    <cellStyle name="20% - Акцент6 23 34" xfId="1635"/>
    <cellStyle name="20% - Акцент6 23 35" xfId="1636"/>
    <cellStyle name="20% - Акцент6 23 36" xfId="1637"/>
    <cellStyle name="20% - Акцент6 23 37" xfId="1638"/>
    <cellStyle name="20% - Акцент6 23 38" xfId="1639"/>
    <cellStyle name="20% - Акцент6 23 39" xfId="1640"/>
    <cellStyle name="20% - Акцент6 23 4" xfId="1641"/>
    <cellStyle name="20% - Акцент6 23 40" xfId="1642"/>
    <cellStyle name="20% - Акцент6 23 41" xfId="1643"/>
    <cellStyle name="20% - Акцент6 23 42" xfId="1644"/>
    <cellStyle name="20% - Акцент6 23 43" xfId="1645"/>
    <cellStyle name="20% - Акцент6 23 44" xfId="1646"/>
    <cellStyle name="20% - Акцент6 23 45" xfId="1647"/>
    <cellStyle name="20% - Акцент6 23 46" xfId="1648"/>
    <cellStyle name="20% - Акцент6 23 47" xfId="1649"/>
    <cellStyle name="20% - Акцент6 23 48" xfId="1650"/>
    <cellStyle name="20% - Акцент6 23 49" xfId="1651"/>
    <cellStyle name="20% - Акцент6 23 5" xfId="1652"/>
    <cellStyle name="20% - Акцент6 23 50" xfId="1653"/>
    <cellStyle name="20% - Акцент6 23 51" xfId="1654"/>
    <cellStyle name="20% - Акцент6 23 52" xfId="1655"/>
    <cellStyle name="20% - Акцент6 23 53" xfId="1656"/>
    <cellStyle name="20% - Акцент6 23 54" xfId="1657"/>
    <cellStyle name="20% - Акцент6 23 55" xfId="1658"/>
    <cellStyle name="20% - Акцент6 23 56" xfId="1659"/>
    <cellStyle name="20% - Акцент6 23 57" xfId="1660"/>
    <cellStyle name="20% - Акцент6 23 58" xfId="1661"/>
    <cellStyle name="20% - Акцент6 23 59" xfId="1662"/>
    <cellStyle name="20% - Акцент6 23 6" xfId="1663"/>
    <cellStyle name="20% - Акцент6 23 7" xfId="1664"/>
    <cellStyle name="20% - Акцент6 23 8" xfId="1665"/>
    <cellStyle name="20% - Акцент6 23 9" xfId="1666"/>
    <cellStyle name="20% - Акцент6 24" xfId="1667"/>
    <cellStyle name="20% - Акцент6 25" xfId="1668"/>
    <cellStyle name="20% - Акцент6 26" xfId="1669"/>
    <cellStyle name="20% - Акцент6 27" xfId="1670"/>
    <cellStyle name="20% - Акцент6 28" xfId="1671"/>
    <cellStyle name="20% - Акцент6 29" xfId="1672"/>
    <cellStyle name="20% - Акцент6 3" xfId="1673"/>
    <cellStyle name="20% - Акцент6 4" xfId="1674"/>
    <cellStyle name="20% - Акцент6 5" xfId="1675"/>
    <cellStyle name="20% - Акцент6 6" xfId="1676"/>
    <cellStyle name="20% - Акцент6 7" xfId="1677"/>
    <cellStyle name="20% - Акцент6 8" xfId="1678"/>
    <cellStyle name="20% - Акцент6 9" xfId="1679"/>
    <cellStyle name="40% - Accent1" xfId="10"/>
    <cellStyle name="40% - Accent2" xfId="11"/>
    <cellStyle name="40% - Accent3" xfId="12"/>
    <cellStyle name="40% - Accent4" xfId="13"/>
    <cellStyle name="40% - Accent5" xfId="14"/>
    <cellStyle name="40% - Accent6" xfId="15"/>
    <cellStyle name="40% - Акцент1 10" xfId="1680"/>
    <cellStyle name="40% - Акцент1 11" xfId="1681"/>
    <cellStyle name="40% - Акцент1 12" xfId="1682"/>
    <cellStyle name="40% - Акцент1 13" xfId="1683"/>
    <cellStyle name="40% - Акцент1 14" xfId="1684"/>
    <cellStyle name="40% - Акцент1 15" xfId="1685"/>
    <cellStyle name="40% - Акцент1 15 2" xfId="1686"/>
    <cellStyle name="40% - Акцент1 16" xfId="1687"/>
    <cellStyle name="40% - Акцент1 16 2" xfId="1688"/>
    <cellStyle name="40% - Акцент1 17" xfId="1689"/>
    <cellStyle name="40% - Акцент1 17 2" xfId="1690"/>
    <cellStyle name="40% - Акцент1 18" xfId="1691"/>
    <cellStyle name="40% - Акцент1 18 2" xfId="1692"/>
    <cellStyle name="40% - Акцент1 19" xfId="1693"/>
    <cellStyle name="40% - Акцент1 2" xfId="1694"/>
    <cellStyle name="40% - Акцент1 2 10" xfId="1695"/>
    <cellStyle name="40% - Акцент1 2 11" xfId="1696"/>
    <cellStyle name="40% - Акцент1 2 12" xfId="1697"/>
    <cellStyle name="40% - Акцент1 2 13" xfId="1698"/>
    <cellStyle name="40% - Акцент1 2 14" xfId="1699"/>
    <cellStyle name="40% - Акцент1 2 15" xfId="1700"/>
    <cellStyle name="40% - Акцент1 2 16" xfId="1701"/>
    <cellStyle name="40% - Акцент1 2 17" xfId="1702"/>
    <cellStyle name="40% - Акцент1 2 18" xfId="1703"/>
    <cellStyle name="40% - Акцент1 2 19" xfId="1704"/>
    <cellStyle name="40% - Акцент1 2 2" xfId="1705"/>
    <cellStyle name="40% - Акцент1 2 20" xfId="1706"/>
    <cellStyle name="40% - Акцент1 2 21" xfId="1707"/>
    <cellStyle name="40% - Акцент1 2 22" xfId="1708"/>
    <cellStyle name="40% - Акцент1 2 23" xfId="1709"/>
    <cellStyle name="40% - Акцент1 2 24" xfId="1710"/>
    <cellStyle name="40% - Акцент1 2 25" xfId="1711"/>
    <cellStyle name="40% - Акцент1 2 26" xfId="1712"/>
    <cellStyle name="40% - Акцент1 2 27" xfId="1713"/>
    <cellStyle name="40% - Акцент1 2 28" xfId="1714"/>
    <cellStyle name="40% - Акцент1 2 29" xfId="1715"/>
    <cellStyle name="40% - Акцент1 2 3" xfId="1716"/>
    <cellStyle name="40% - Акцент1 2 30" xfId="1717"/>
    <cellStyle name="40% - Акцент1 2 31" xfId="1718"/>
    <cellStyle name="40% - Акцент1 2 32" xfId="1719"/>
    <cellStyle name="40% - Акцент1 2 33" xfId="1720"/>
    <cellStyle name="40% - Акцент1 2 34" xfId="1721"/>
    <cellStyle name="40% - Акцент1 2 35" xfId="1722"/>
    <cellStyle name="40% - Акцент1 2 36" xfId="1723"/>
    <cellStyle name="40% - Акцент1 2 4" xfId="1724"/>
    <cellStyle name="40% - Акцент1 2 5" xfId="1725"/>
    <cellStyle name="40% - Акцент1 2 6" xfId="1726"/>
    <cellStyle name="40% - Акцент1 2 7" xfId="1727"/>
    <cellStyle name="40% - Акцент1 2 8" xfId="1728"/>
    <cellStyle name="40% - Акцент1 2 9" xfId="1729"/>
    <cellStyle name="40% - Акцент1 20" xfId="1730"/>
    <cellStyle name="40% - Акцент1 20 2" xfId="1731"/>
    <cellStyle name="40% - Акцент1 20 3" xfId="1732"/>
    <cellStyle name="40% - Акцент1 20 4" xfId="1733"/>
    <cellStyle name="40% - Акцент1 21" xfId="1734"/>
    <cellStyle name="40% - Акцент1 21 2" xfId="1735"/>
    <cellStyle name="40% - Акцент1 21 3" xfId="1736"/>
    <cellStyle name="40% - Акцент1 21 4" xfId="1737"/>
    <cellStyle name="40% - Акцент1 22" xfId="1738"/>
    <cellStyle name="40% - Акцент1 22 2" xfId="1739"/>
    <cellStyle name="40% - Акцент1 22 3" xfId="1740"/>
    <cellStyle name="40% - Акцент1 22 4" xfId="1741"/>
    <cellStyle name="40% - Акцент1 23" xfId="1742"/>
    <cellStyle name="40% - Акцент1 23 10" xfId="1743"/>
    <cellStyle name="40% - Акцент1 23 11" xfId="1744"/>
    <cellStyle name="40% - Акцент1 23 12" xfId="1745"/>
    <cellStyle name="40% - Акцент1 23 13" xfId="1746"/>
    <cellStyle name="40% - Акцент1 23 14" xfId="1747"/>
    <cellStyle name="40% - Акцент1 23 15" xfId="1748"/>
    <cellStyle name="40% - Акцент1 23 16" xfId="1749"/>
    <cellStyle name="40% - Акцент1 23 17" xfId="1750"/>
    <cellStyle name="40% - Акцент1 23 18" xfId="1751"/>
    <cellStyle name="40% - Акцент1 23 19" xfId="1752"/>
    <cellStyle name="40% - Акцент1 23 2" xfId="1753"/>
    <cellStyle name="40% - Акцент1 23 20" xfId="1754"/>
    <cellStyle name="40% - Акцент1 23 21" xfId="1755"/>
    <cellStyle name="40% - Акцент1 23 22" xfId="1756"/>
    <cellStyle name="40% - Акцент1 23 23" xfId="1757"/>
    <cellStyle name="40% - Акцент1 23 24" xfId="1758"/>
    <cellStyle name="40% - Акцент1 23 25" xfId="1759"/>
    <cellStyle name="40% - Акцент1 23 26" xfId="1760"/>
    <cellStyle name="40% - Акцент1 23 27" xfId="1761"/>
    <cellStyle name="40% - Акцент1 23 28" xfId="1762"/>
    <cellStyle name="40% - Акцент1 23 29" xfId="1763"/>
    <cellStyle name="40% - Акцент1 23 3" xfId="1764"/>
    <cellStyle name="40% - Акцент1 23 30" xfId="1765"/>
    <cellStyle name="40% - Акцент1 23 31" xfId="1766"/>
    <cellStyle name="40% - Акцент1 23 32" xfId="1767"/>
    <cellStyle name="40% - Акцент1 23 33" xfId="1768"/>
    <cellStyle name="40% - Акцент1 23 34" xfId="1769"/>
    <cellStyle name="40% - Акцент1 23 35" xfId="1770"/>
    <cellStyle name="40% - Акцент1 23 36" xfId="1771"/>
    <cellStyle name="40% - Акцент1 23 37" xfId="1772"/>
    <cellStyle name="40% - Акцент1 23 38" xfId="1773"/>
    <cellStyle name="40% - Акцент1 23 39" xfId="1774"/>
    <cellStyle name="40% - Акцент1 23 4" xfId="1775"/>
    <cellStyle name="40% - Акцент1 23 40" xfId="1776"/>
    <cellStyle name="40% - Акцент1 23 41" xfId="1777"/>
    <cellStyle name="40% - Акцент1 23 42" xfId="1778"/>
    <cellStyle name="40% - Акцент1 23 43" xfId="1779"/>
    <cellStyle name="40% - Акцент1 23 44" xfId="1780"/>
    <cellStyle name="40% - Акцент1 23 45" xfId="1781"/>
    <cellStyle name="40% - Акцент1 23 46" xfId="1782"/>
    <cellStyle name="40% - Акцент1 23 47" xfId="1783"/>
    <cellStyle name="40% - Акцент1 23 48" xfId="1784"/>
    <cellStyle name="40% - Акцент1 23 49" xfId="1785"/>
    <cellStyle name="40% - Акцент1 23 5" xfId="1786"/>
    <cellStyle name="40% - Акцент1 23 50" xfId="1787"/>
    <cellStyle name="40% - Акцент1 23 51" xfId="1788"/>
    <cellStyle name="40% - Акцент1 23 52" xfId="1789"/>
    <cellStyle name="40% - Акцент1 23 53" xfId="1790"/>
    <cellStyle name="40% - Акцент1 23 54" xfId="1791"/>
    <cellStyle name="40% - Акцент1 23 55" xfId="1792"/>
    <cellStyle name="40% - Акцент1 23 56" xfId="1793"/>
    <cellStyle name="40% - Акцент1 23 57" xfId="1794"/>
    <cellStyle name="40% - Акцент1 23 58" xfId="1795"/>
    <cellStyle name="40% - Акцент1 23 59" xfId="1796"/>
    <cellStyle name="40% - Акцент1 23 6" xfId="1797"/>
    <cellStyle name="40% - Акцент1 23 7" xfId="1798"/>
    <cellStyle name="40% - Акцент1 23 8" xfId="1799"/>
    <cellStyle name="40% - Акцент1 23 9" xfId="1800"/>
    <cellStyle name="40% - Акцент1 24" xfId="1801"/>
    <cellStyle name="40% - Акцент1 25" xfId="1802"/>
    <cellStyle name="40% - Акцент1 26" xfId="1803"/>
    <cellStyle name="40% - Акцент1 27" xfId="1804"/>
    <cellStyle name="40% - Акцент1 28" xfId="1805"/>
    <cellStyle name="40% - Акцент1 29" xfId="1806"/>
    <cellStyle name="40% - Акцент1 3" xfId="1807"/>
    <cellStyle name="40% - Акцент1 4" xfId="1808"/>
    <cellStyle name="40% - Акцент1 5" xfId="1809"/>
    <cellStyle name="40% - Акцент1 6" xfId="1810"/>
    <cellStyle name="40% - Акцент1 7" xfId="1811"/>
    <cellStyle name="40% - Акцент1 8" xfId="1812"/>
    <cellStyle name="40% - Акцент1 9" xfId="1813"/>
    <cellStyle name="40% - Акцент2 10" xfId="1814"/>
    <cellStyle name="40% - Акцент2 11" xfId="1815"/>
    <cellStyle name="40% - Акцент2 12" xfId="1816"/>
    <cellStyle name="40% - Акцент2 13" xfId="1817"/>
    <cellStyle name="40% - Акцент2 14" xfId="1818"/>
    <cellStyle name="40% - Акцент2 15" xfId="1819"/>
    <cellStyle name="40% - Акцент2 15 2" xfId="1820"/>
    <cellStyle name="40% - Акцент2 16" xfId="1821"/>
    <cellStyle name="40% - Акцент2 16 2" xfId="1822"/>
    <cellStyle name="40% - Акцент2 17" xfId="1823"/>
    <cellStyle name="40% - Акцент2 17 2" xfId="1824"/>
    <cellStyle name="40% - Акцент2 18" xfId="1825"/>
    <cellStyle name="40% - Акцент2 18 2" xfId="1826"/>
    <cellStyle name="40% - Акцент2 19" xfId="1827"/>
    <cellStyle name="40% - Акцент2 2" xfId="1828"/>
    <cellStyle name="40% - Акцент2 2 10" xfId="1829"/>
    <cellStyle name="40% - Акцент2 2 11" xfId="1830"/>
    <cellStyle name="40% - Акцент2 2 12" xfId="1831"/>
    <cellStyle name="40% - Акцент2 2 13" xfId="1832"/>
    <cellStyle name="40% - Акцент2 2 14" xfId="1833"/>
    <cellStyle name="40% - Акцент2 2 15" xfId="1834"/>
    <cellStyle name="40% - Акцент2 2 16" xfId="1835"/>
    <cellStyle name="40% - Акцент2 2 17" xfId="1836"/>
    <cellStyle name="40% - Акцент2 2 18" xfId="1837"/>
    <cellStyle name="40% - Акцент2 2 19" xfId="1838"/>
    <cellStyle name="40% - Акцент2 2 2" xfId="1839"/>
    <cellStyle name="40% - Акцент2 2 20" xfId="1840"/>
    <cellStyle name="40% - Акцент2 2 21" xfId="1841"/>
    <cellStyle name="40% - Акцент2 2 22" xfId="1842"/>
    <cellStyle name="40% - Акцент2 2 23" xfId="1843"/>
    <cellStyle name="40% - Акцент2 2 24" xfId="1844"/>
    <cellStyle name="40% - Акцент2 2 25" xfId="1845"/>
    <cellStyle name="40% - Акцент2 2 26" xfId="1846"/>
    <cellStyle name="40% - Акцент2 2 27" xfId="1847"/>
    <cellStyle name="40% - Акцент2 2 28" xfId="1848"/>
    <cellStyle name="40% - Акцент2 2 29" xfId="1849"/>
    <cellStyle name="40% - Акцент2 2 3" xfId="1850"/>
    <cellStyle name="40% - Акцент2 2 30" xfId="1851"/>
    <cellStyle name="40% - Акцент2 2 31" xfId="1852"/>
    <cellStyle name="40% - Акцент2 2 32" xfId="1853"/>
    <cellStyle name="40% - Акцент2 2 33" xfId="1854"/>
    <cellStyle name="40% - Акцент2 2 34" xfId="1855"/>
    <cellStyle name="40% - Акцент2 2 35" xfId="1856"/>
    <cellStyle name="40% - Акцент2 2 36" xfId="1857"/>
    <cellStyle name="40% - Акцент2 2 4" xfId="1858"/>
    <cellStyle name="40% - Акцент2 2 5" xfId="1859"/>
    <cellStyle name="40% - Акцент2 2 6" xfId="1860"/>
    <cellStyle name="40% - Акцент2 2 7" xfId="1861"/>
    <cellStyle name="40% - Акцент2 2 8" xfId="1862"/>
    <cellStyle name="40% - Акцент2 2 9" xfId="1863"/>
    <cellStyle name="40% - Акцент2 20" xfId="1864"/>
    <cellStyle name="40% - Акцент2 20 2" xfId="1865"/>
    <cellStyle name="40% - Акцент2 20 3" xfId="1866"/>
    <cellStyle name="40% - Акцент2 20 4" xfId="1867"/>
    <cellStyle name="40% - Акцент2 21" xfId="1868"/>
    <cellStyle name="40% - Акцент2 21 2" xfId="1869"/>
    <cellStyle name="40% - Акцент2 21 3" xfId="1870"/>
    <cellStyle name="40% - Акцент2 21 4" xfId="1871"/>
    <cellStyle name="40% - Акцент2 22" xfId="1872"/>
    <cellStyle name="40% - Акцент2 22 2" xfId="1873"/>
    <cellStyle name="40% - Акцент2 22 3" xfId="1874"/>
    <cellStyle name="40% - Акцент2 22 4" xfId="1875"/>
    <cellStyle name="40% - Акцент2 23" xfId="1876"/>
    <cellStyle name="40% - Акцент2 23 10" xfId="1877"/>
    <cellStyle name="40% - Акцент2 23 11" xfId="1878"/>
    <cellStyle name="40% - Акцент2 23 12" xfId="1879"/>
    <cellStyle name="40% - Акцент2 23 13" xfId="1880"/>
    <cellStyle name="40% - Акцент2 23 14" xfId="1881"/>
    <cellStyle name="40% - Акцент2 23 15" xfId="1882"/>
    <cellStyle name="40% - Акцент2 23 16" xfId="1883"/>
    <cellStyle name="40% - Акцент2 23 17" xfId="1884"/>
    <cellStyle name="40% - Акцент2 23 18" xfId="1885"/>
    <cellStyle name="40% - Акцент2 23 19" xfId="1886"/>
    <cellStyle name="40% - Акцент2 23 2" xfId="1887"/>
    <cellStyle name="40% - Акцент2 23 20" xfId="1888"/>
    <cellStyle name="40% - Акцент2 23 21" xfId="1889"/>
    <cellStyle name="40% - Акцент2 23 22" xfId="1890"/>
    <cellStyle name="40% - Акцент2 23 23" xfId="1891"/>
    <cellStyle name="40% - Акцент2 23 24" xfId="1892"/>
    <cellStyle name="40% - Акцент2 23 25" xfId="1893"/>
    <cellStyle name="40% - Акцент2 23 26" xfId="1894"/>
    <cellStyle name="40% - Акцент2 23 27" xfId="1895"/>
    <cellStyle name="40% - Акцент2 23 28" xfId="1896"/>
    <cellStyle name="40% - Акцент2 23 29" xfId="1897"/>
    <cellStyle name="40% - Акцент2 23 3" xfId="1898"/>
    <cellStyle name="40% - Акцент2 23 30" xfId="1899"/>
    <cellStyle name="40% - Акцент2 23 31" xfId="1900"/>
    <cellStyle name="40% - Акцент2 23 32" xfId="1901"/>
    <cellStyle name="40% - Акцент2 23 33" xfId="1902"/>
    <cellStyle name="40% - Акцент2 23 34" xfId="1903"/>
    <cellStyle name="40% - Акцент2 23 35" xfId="1904"/>
    <cellStyle name="40% - Акцент2 23 36" xfId="1905"/>
    <cellStyle name="40% - Акцент2 23 37" xfId="1906"/>
    <cellStyle name="40% - Акцент2 23 38" xfId="1907"/>
    <cellStyle name="40% - Акцент2 23 39" xfId="1908"/>
    <cellStyle name="40% - Акцент2 23 4" xfId="1909"/>
    <cellStyle name="40% - Акцент2 23 40" xfId="1910"/>
    <cellStyle name="40% - Акцент2 23 41" xfId="1911"/>
    <cellStyle name="40% - Акцент2 23 42" xfId="1912"/>
    <cellStyle name="40% - Акцент2 23 43" xfId="1913"/>
    <cellStyle name="40% - Акцент2 23 44" xfId="1914"/>
    <cellStyle name="40% - Акцент2 23 45" xfId="1915"/>
    <cellStyle name="40% - Акцент2 23 46" xfId="1916"/>
    <cellStyle name="40% - Акцент2 23 47" xfId="1917"/>
    <cellStyle name="40% - Акцент2 23 48" xfId="1918"/>
    <cellStyle name="40% - Акцент2 23 49" xfId="1919"/>
    <cellStyle name="40% - Акцент2 23 5" xfId="1920"/>
    <cellStyle name="40% - Акцент2 23 50" xfId="1921"/>
    <cellStyle name="40% - Акцент2 23 51" xfId="1922"/>
    <cellStyle name="40% - Акцент2 23 52" xfId="1923"/>
    <cellStyle name="40% - Акцент2 23 53" xfId="1924"/>
    <cellStyle name="40% - Акцент2 23 54" xfId="1925"/>
    <cellStyle name="40% - Акцент2 23 55" xfId="1926"/>
    <cellStyle name="40% - Акцент2 23 56" xfId="1927"/>
    <cellStyle name="40% - Акцент2 23 57" xfId="1928"/>
    <cellStyle name="40% - Акцент2 23 58" xfId="1929"/>
    <cellStyle name="40% - Акцент2 23 59" xfId="1930"/>
    <cellStyle name="40% - Акцент2 23 6" xfId="1931"/>
    <cellStyle name="40% - Акцент2 23 7" xfId="1932"/>
    <cellStyle name="40% - Акцент2 23 8" xfId="1933"/>
    <cellStyle name="40% - Акцент2 23 9" xfId="1934"/>
    <cellStyle name="40% - Акцент2 24" xfId="1935"/>
    <cellStyle name="40% - Акцент2 25" xfId="1936"/>
    <cellStyle name="40% - Акцент2 26" xfId="1937"/>
    <cellStyle name="40% - Акцент2 27" xfId="1938"/>
    <cellStyle name="40% - Акцент2 28" xfId="1939"/>
    <cellStyle name="40% - Акцент2 29" xfId="1940"/>
    <cellStyle name="40% - Акцент2 3" xfId="1941"/>
    <cellStyle name="40% - Акцент2 4" xfId="1942"/>
    <cellStyle name="40% - Акцент2 5" xfId="1943"/>
    <cellStyle name="40% - Акцент2 6" xfId="1944"/>
    <cellStyle name="40% - Акцент2 7" xfId="1945"/>
    <cellStyle name="40% - Акцент2 8" xfId="1946"/>
    <cellStyle name="40% - Акцент2 9" xfId="1947"/>
    <cellStyle name="40% - Акцент3 10" xfId="1948"/>
    <cellStyle name="40% - Акцент3 11" xfId="1949"/>
    <cellStyle name="40% - Акцент3 12" xfId="1950"/>
    <cellStyle name="40% - Акцент3 13" xfId="1951"/>
    <cellStyle name="40% - Акцент3 14" xfId="1952"/>
    <cellStyle name="40% - Акцент3 15" xfId="1953"/>
    <cellStyle name="40% - Акцент3 15 2" xfId="1954"/>
    <cellStyle name="40% - Акцент3 16" xfId="1955"/>
    <cellStyle name="40% - Акцент3 16 2" xfId="1956"/>
    <cellStyle name="40% - Акцент3 17" xfId="1957"/>
    <cellStyle name="40% - Акцент3 17 2" xfId="1958"/>
    <cellStyle name="40% - Акцент3 18" xfId="1959"/>
    <cellStyle name="40% - Акцент3 18 2" xfId="1960"/>
    <cellStyle name="40% - Акцент3 19" xfId="1961"/>
    <cellStyle name="40% - Акцент3 2" xfId="1962"/>
    <cellStyle name="40% - Акцент3 2 10" xfId="1963"/>
    <cellStyle name="40% - Акцент3 2 11" xfId="1964"/>
    <cellStyle name="40% - Акцент3 2 12" xfId="1965"/>
    <cellStyle name="40% - Акцент3 2 13" xfId="1966"/>
    <cellStyle name="40% - Акцент3 2 14" xfId="1967"/>
    <cellStyle name="40% - Акцент3 2 15" xfId="1968"/>
    <cellStyle name="40% - Акцент3 2 16" xfId="1969"/>
    <cellStyle name="40% - Акцент3 2 17" xfId="1970"/>
    <cellStyle name="40% - Акцент3 2 18" xfId="1971"/>
    <cellStyle name="40% - Акцент3 2 19" xfId="1972"/>
    <cellStyle name="40% - Акцент3 2 2" xfId="1973"/>
    <cellStyle name="40% - Акцент3 2 20" xfId="1974"/>
    <cellStyle name="40% - Акцент3 2 21" xfId="1975"/>
    <cellStyle name="40% - Акцент3 2 22" xfId="1976"/>
    <cellStyle name="40% - Акцент3 2 23" xfId="1977"/>
    <cellStyle name="40% - Акцент3 2 24" xfId="1978"/>
    <cellStyle name="40% - Акцент3 2 25" xfId="1979"/>
    <cellStyle name="40% - Акцент3 2 26" xfId="1980"/>
    <cellStyle name="40% - Акцент3 2 27" xfId="1981"/>
    <cellStyle name="40% - Акцент3 2 28" xfId="1982"/>
    <cellStyle name="40% - Акцент3 2 29" xfId="1983"/>
    <cellStyle name="40% - Акцент3 2 3" xfId="1984"/>
    <cellStyle name="40% - Акцент3 2 30" xfId="1985"/>
    <cellStyle name="40% - Акцент3 2 31" xfId="1986"/>
    <cellStyle name="40% - Акцент3 2 32" xfId="1987"/>
    <cellStyle name="40% - Акцент3 2 33" xfId="1988"/>
    <cellStyle name="40% - Акцент3 2 34" xfId="1989"/>
    <cellStyle name="40% - Акцент3 2 35" xfId="1990"/>
    <cellStyle name="40% - Акцент3 2 36" xfId="1991"/>
    <cellStyle name="40% - Акцент3 2 4" xfId="1992"/>
    <cellStyle name="40% - Акцент3 2 5" xfId="1993"/>
    <cellStyle name="40% - Акцент3 2 6" xfId="1994"/>
    <cellStyle name="40% - Акцент3 2 7" xfId="1995"/>
    <cellStyle name="40% - Акцент3 2 8" xfId="1996"/>
    <cellStyle name="40% - Акцент3 2 9" xfId="1997"/>
    <cellStyle name="40% - Акцент3 20" xfId="1998"/>
    <cellStyle name="40% - Акцент3 20 2" xfId="1999"/>
    <cellStyle name="40% - Акцент3 20 3" xfId="2000"/>
    <cellStyle name="40% - Акцент3 20 4" xfId="2001"/>
    <cellStyle name="40% - Акцент3 21" xfId="2002"/>
    <cellStyle name="40% - Акцент3 21 2" xfId="2003"/>
    <cellStyle name="40% - Акцент3 21 3" xfId="2004"/>
    <cellStyle name="40% - Акцент3 21 4" xfId="2005"/>
    <cellStyle name="40% - Акцент3 22" xfId="2006"/>
    <cellStyle name="40% - Акцент3 22 2" xfId="2007"/>
    <cellStyle name="40% - Акцент3 22 3" xfId="2008"/>
    <cellStyle name="40% - Акцент3 22 4" xfId="2009"/>
    <cellStyle name="40% - Акцент3 23" xfId="2010"/>
    <cellStyle name="40% - Акцент3 23 10" xfId="2011"/>
    <cellStyle name="40% - Акцент3 23 11" xfId="2012"/>
    <cellStyle name="40% - Акцент3 23 12" xfId="2013"/>
    <cellStyle name="40% - Акцент3 23 13" xfId="2014"/>
    <cellStyle name="40% - Акцент3 23 14" xfId="2015"/>
    <cellStyle name="40% - Акцент3 23 15" xfId="2016"/>
    <cellStyle name="40% - Акцент3 23 16" xfId="2017"/>
    <cellStyle name="40% - Акцент3 23 17" xfId="2018"/>
    <cellStyle name="40% - Акцент3 23 18" xfId="2019"/>
    <cellStyle name="40% - Акцент3 23 19" xfId="2020"/>
    <cellStyle name="40% - Акцент3 23 2" xfId="2021"/>
    <cellStyle name="40% - Акцент3 23 20" xfId="2022"/>
    <cellStyle name="40% - Акцент3 23 21" xfId="2023"/>
    <cellStyle name="40% - Акцент3 23 22" xfId="2024"/>
    <cellStyle name="40% - Акцент3 23 23" xfId="2025"/>
    <cellStyle name="40% - Акцент3 23 24" xfId="2026"/>
    <cellStyle name="40% - Акцент3 23 25" xfId="2027"/>
    <cellStyle name="40% - Акцент3 23 26" xfId="2028"/>
    <cellStyle name="40% - Акцент3 23 27" xfId="2029"/>
    <cellStyle name="40% - Акцент3 23 28" xfId="2030"/>
    <cellStyle name="40% - Акцент3 23 29" xfId="2031"/>
    <cellStyle name="40% - Акцент3 23 3" xfId="2032"/>
    <cellStyle name="40% - Акцент3 23 30" xfId="2033"/>
    <cellStyle name="40% - Акцент3 23 31" xfId="2034"/>
    <cellStyle name="40% - Акцент3 23 32" xfId="2035"/>
    <cellStyle name="40% - Акцент3 23 33" xfId="2036"/>
    <cellStyle name="40% - Акцент3 23 34" xfId="2037"/>
    <cellStyle name="40% - Акцент3 23 35" xfId="2038"/>
    <cellStyle name="40% - Акцент3 23 36" xfId="2039"/>
    <cellStyle name="40% - Акцент3 23 37" xfId="2040"/>
    <cellStyle name="40% - Акцент3 23 38" xfId="2041"/>
    <cellStyle name="40% - Акцент3 23 39" xfId="2042"/>
    <cellStyle name="40% - Акцент3 23 4" xfId="2043"/>
    <cellStyle name="40% - Акцент3 23 40" xfId="2044"/>
    <cellStyle name="40% - Акцент3 23 41" xfId="2045"/>
    <cellStyle name="40% - Акцент3 23 42" xfId="2046"/>
    <cellStyle name="40% - Акцент3 23 43" xfId="2047"/>
    <cellStyle name="40% - Акцент3 23 44" xfId="2048"/>
    <cellStyle name="40% - Акцент3 23 45" xfId="2049"/>
    <cellStyle name="40% - Акцент3 23 46" xfId="2050"/>
    <cellStyle name="40% - Акцент3 23 47" xfId="2051"/>
    <cellStyle name="40% - Акцент3 23 48" xfId="2052"/>
    <cellStyle name="40% - Акцент3 23 49" xfId="2053"/>
    <cellStyle name="40% - Акцент3 23 5" xfId="2054"/>
    <cellStyle name="40% - Акцент3 23 50" xfId="2055"/>
    <cellStyle name="40% - Акцент3 23 51" xfId="2056"/>
    <cellStyle name="40% - Акцент3 23 52" xfId="2057"/>
    <cellStyle name="40% - Акцент3 23 53" xfId="2058"/>
    <cellStyle name="40% - Акцент3 23 54" xfId="2059"/>
    <cellStyle name="40% - Акцент3 23 55" xfId="2060"/>
    <cellStyle name="40% - Акцент3 23 56" xfId="2061"/>
    <cellStyle name="40% - Акцент3 23 57" xfId="2062"/>
    <cellStyle name="40% - Акцент3 23 58" xfId="2063"/>
    <cellStyle name="40% - Акцент3 23 59" xfId="2064"/>
    <cellStyle name="40% - Акцент3 23 6" xfId="2065"/>
    <cellStyle name="40% - Акцент3 23 7" xfId="2066"/>
    <cellStyle name="40% - Акцент3 23 8" xfId="2067"/>
    <cellStyle name="40% - Акцент3 23 9" xfId="2068"/>
    <cellStyle name="40% - Акцент3 24" xfId="2069"/>
    <cellStyle name="40% - Акцент3 25" xfId="2070"/>
    <cellStyle name="40% - Акцент3 26" xfId="2071"/>
    <cellStyle name="40% - Акцент3 27" xfId="2072"/>
    <cellStyle name="40% - Акцент3 28" xfId="2073"/>
    <cellStyle name="40% - Акцент3 29" xfId="2074"/>
    <cellStyle name="40% - Акцент3 3" xfId="2075"/>
    <cellStyle name="40% - Акцент3 4" xfId="2076"/>
    <cellStyle name="40% - Акцент3 5" xfId="2077"/>
    <cellStyle name="40% - Акцент3 6" xfId="2078"/>
    <cellStyle name="40% - Акцент3 7" xfId="2079"/>
    <cellStyle name="40% - Акцент3 8" xfId="2080"/>
    <cellStyle name="40% - Акцент3 9" xfId="2081"/>
    <cellStyle name="40% - Акцент4 10" xfId="2082"/>
    <cellStyle name="40% - Акцент4 11" xfId="2083"/>
    <cellStyle name="40% - Акцент4 12" xfId="2084"/>
    <cellStyle name="40% - Акцент4 13" xfId="2085"/>
    <cellStyle name="40% - Акцент4 14" xfId="2086"/>
    <cellStyle name="40% - Акцент4 15" xfId="2087"/>
    <cellStyle name="40% - Акцент4 15 2" xfId="2088"/>
    <cellStyle name="40% - Акцент4 16" xfId="2089"/>
    <cellStyle name="40% - Акцент4 16 2" xfId="2090"/>
    <cellStyle name="40% - Акцент4 17" xfId="2091"/>
    <cellStyle name="40% - Акцент4 17 2" xfId="2092"/>
    <cellStyle name="40% - Акцент4 18" xfId="2093"/>
    <cellStyle name="40% - Акцент4 18 2" xfId="2094"/>
    <cellStyle name="40% - Акцент4 19" xfId="2095"/>
    <cellStyle name="40% - Акцент4 2" xfId="2096"/>
    <cellStyle name="40% - Акцент4 2 10" xfId="2097"/>
    <cellStyle name="40% - Акцент4 2 11" xfId="2098"/>
    <cellStyle name="40% - Акцент4 2 12" xfId="2099"/>
    <cellStyle name="40% - Акцент4 2 13" xfId="2100"/>
    <cellStyle name="40% - Акцент4 2 14" xfId="2101"/>
    <cellStyle name="40% - Акцент4 2 15" xfId="2102"/>
    <cellStyle name="40% - Акцент4 2 16" xfId="2103"/>
    <cellStyle name="40% - Акцент4 2 17" xfId="2104"/>
    <cellStyle name="40% - Акцент4 2 18" xfId="2105"/>
    <cellStyle name="40% - Акцент4 2 19" xfId="2106"/>
    <cellStyle name="40% - Акцент4 2 2" xfId="2107"/>
    <cellStyle name="40% - Акцент4 2 20" xfId="2108"/>
    <cellStyle name="40% - Акцент4 2 21" xfId="2109"/>
    <cellStyle name="40% - Акцент4 2 22" xfId="2110"/>
    <cellStyle name="40% - Акцент4 2 23" xfId="2111"/>
    <cellStyle name="40% - Акцент4 2 24" xfId="2112"/>
    <cellStyle name="40% - Акцент4 2 25" xfId="2113"/>
    <cellStyle name="40% - Акцент4 2 26" xfId="2114"/>
    <cellStyle name="40% - Акцент4 2 27" xfId="2115"/>
    <cellStyle name="40% - Акцент4 2 28" xfId="2116"/>
    <cellStyle name="40% - Акцент4 2 29" xfId="2117"/>
    <cellStyle name="40% - Акцент4 2 3" xfId="2118"/>
    <cellStyle name="40% - Акцент4 2 30" xfId="2119"/>
    <cellStyle name="40% - Акцент4 2 31" xfId="2120"/>
    <cellStyle name="40% - Акцент4 2 32" xfId="2121"/>
    <cellStyle name="40% - Акцент4 2 33" xfId="2122"/>
    <cellStyle name="40% - Акцент4 2 34" xfId="2123"/>
    <cellStyle name="40% - Акцент4 2 35" xfId="2124"/>
    <cellStyle name="40% - Акцент4 2 36" xfId="2125"/>
    <cellStyle name="40% - Акцент4 2 4" xfId="2126"/>
    <cellStyle name="40% - Акцент4 2 5" xfId="2127"/>
    <cellStyle name="40% - Акцент4 2 6" xfId="2128"/>
    <cellStyle name="40% - Акцент4 2 7" xfId="2129"/>
    <cellStyle name="40% - Акцент4 2 8" xfId="2130"/>
    <cellStyle name="40% - Акцент4 2 9" xfId="2131"/>
    <cellStyle name="40% - Акцент4 20" xfId="2132"/>
    <cellStyle name="40% - Акцент4 20 2" xfId="2133"/>
    <cellStyle name="40% - Акцент4 20 3" xfId="2134"/>
    <cellStyle name="40% - Акцент4 20 4" xfId="2135"/>
    <cellStyle name="40% - Акцент4 21" xfId="2136"/>
    <cellStyle name="40% - Акцент4 21 2" xfId="2137"/>
    <cellStyle name="40% - Акцент4 21 3" xfId="2138"/>
    <cellStyle name="40% - Акцент4 21 4" xfId="2139"/>
    <cellStyle name="40% - Акцент4 22" xfId="2140"/>
    <cellStyle name="40% - Акцент4 22 2" xfId="2141"/>
    <cellStyle name="40% - Акцент4 22 3" xfId="2142"/>
    <cellStyle name="40% - Акцент4 22 4" xfId="2143"/>
    <cellStyle name="40% - Акцент4 23" xfId="2144"/>
    <cellStyle name="40% - Акцент4 23 10" xfId="2145"/>
    <cellStyle name="40% - Акцент4 23 11" xfId="2146"/>
    <cellStyle name="40% - Акцент4 23 12" xfId="2147"/>
    <cellStyle name="40% - Акцент4 23 13" xfId="2148"/>
    <cellStyle name="40% - Акцент4 23 14" xfId="2149"/>
    <cellStyle name="40% - Акцент4 23 15" xfId="2150"/>
    <cellStyle name="40% - Акцент4 23 16" xfId="2151"/>
    <cellStyle name="40% - Акцент4 23 17" xfId="2152"/>
    <cellStyle name="40% - Акцент4 23 18" xfId="2153"/>
    <cellStyle name="40% - Акцент4 23 19" xfId="2154"/>
    <cellStyle name="40% - Акцент4 23 2" xfId="2155"/>
    <cellStyle name="40% - Акцент4 23 20" xfId="2156"/>
    <cellStyle name="40% - Акцент4 23 21" xfId="2157"/>
    <cellStyle name="40% - Акцент4 23 22" xfId="2158"/>
    <cellStyle name="40% - Акцент4 23 23" xfId="2159"/>
    <cellStyle name="40% - Акцент4 23 24" xfId="2160"/>
    <cellStyle name="40% - Акцент4 23 25" xfId="2161"/>
    <cellStyle name="40% - Акцент4 23 26" xfId="2162"/>
    <cellStyle name="40% - Акцент4 23 27" xfId="2163"/>
    <cellStyle name="40% - Акцент4 23 28" xfId="2164"/>
    <cellStyle name="40% - Акцент4 23 29" xfId="2165"/>
    <cellStyle name="40% - Акцент4 23 3" xfId="2166"/>
    <cellStyle name="40% - Акцент4 23 30" xfId="2167"/>
    <cellStyle name="40% - Акцент4 23 31" xfId="2168"/>
    <cellStyle name="40% - Акцент4 23 32" xfId="2169"/>
    <cellStyle name="40% - Акцент4 23 33" xfId="2170"/>
    <cellStyle name="40% - Акцент4 23 34" xfId="2171"/>
    <cellStyle name="40% - Акцент4 23 35" xfId="2172"/>
    <cellStyle name="40% - Акцент4 23 36" xfId="2173"/>
    <cellStyle name="40% - Акцент4 23 37" xfId="2174"/>
    <cellStyle name="40% - Акцент4 23 38" xfId="2175"/>
    <cellStyle name="40% - Акцент4 23 39" xfId="2176"/>
    <cellStyle name="40% - Акцент4 23 4" xfId="2177"/>
    <cellStyle name="40% - Акцент4 23 40" xfId="2178"/>
    <cellStyle name="40% - Акцент4 23 41" xfId="2179"/>
    <cellStyle name="40% - Акцент4 23 42" xfId="2180"/>
    <cellStyle name="40% - Акцент4 23 43" xfId="2181"/>
    <cellStyle name="40% - Акцент4 23 44" xfId="2182"/>
    <cellStyle name="40% - Акцент4 23 45" xfId="2183"/>
    <cellStyle name="40% - Акцент4 23 46" xfId="2184"/>
    <cellStyle name="40% - Акцент4 23 47" xfId="2185"/>
    <cellStyle name="40% - Акцент4 23 48" xfId="2186"/>
    <cellStyle name="40% - Акцент4 23 49" xfId="2187"/>
    <cellStyle name="40% - Акцент4 23 5" xfId="2188"/>
    <cellStyle name="40% - Акцент4 23 50" xfId="2189"/>
    <cellStyle name="40% - Акцент4 23 51" xfId="2190"/>
    <cellStyle name="40% - Акцент4 23 52" xfId="2191"/>
    <cellStyle name="40% - Акцент4 23 53" xfId="2192"/>
    <cellStyle name="40% - Акцент4 23 54" xfId="2193"/>
    <cellStyle name="40% - Акцент4 23 55" xfId="2194"/>
    <cellStyle name="40% - Акцент4 23 56" xfId="2195"/>
    <cellStyle name="40% - Акцент4 23 57" xfId="2196"/>
    <cellStyle name="40% - Акцент4 23 58" xfId="2197"/>
    <cellStyle name="40% - Акцент4 23 59" xfId="2198"/>
    <cellStyle name="40% - Акцент4 23 6" xfId="2199"/>
    <cellStyle name="40% - Акцент4 23 7" xfId="2200"/>
    <cellStyle name="40% - Акцент4 23 8" xfId="2201"/>
    <cellStyle name="40% - Акцент4 23 9" xfId="2202"/>
    <cellStyle name="40% - Акцент4 24" xfId="2203"/>
    <cellStyle name="40% - Акцент4 25" xfId="2204"/>
    <cellStyle name="40% - Акцент4 26" xfId="2205"/>
    <cellStyle name="40% - Акцент4 27" xfId="2206"/>
    <cellStyle name="40% - Акцент4 28" xfId="2207"/>
    <cellStyle name="40% - Акцент4 29" xfId="2208"/>
    <cellStyle name="40% - Акцент4 3" xfId="2209"/>
    <cellStyle name="40% - Акцент4 4" xfId="2210"/>
    <cellStyle name="40% - Акцент4 5" xfId="2211"/>
    <cellStyle name="40% - Акцент4 6" xfId="2212"/>
    <cellStyle name="40% - Акцент4 7" xfId="2213"/>
    <cellStyle name="40% - Акцент4 8" xfId="2214"/>
    <cellStyle name="40% - Акцент4 9" xfId="2215"/>
    <cellStyle name="40% - Акцент5 10" xfId="2216"/>
    <cellStyle name="40% - Акцент5 11" xfId="2217"/>
    <cellStyle name="40% - Акцент5 12" xfId="2218"/>
    <cellStyle name="40% - Акцент5 13" xfId="2219"/>
    <cellStyle name="40% - Акцент5 14" xfId="2220"/>
    <cellStyle name="40% - Акцент5 15" xfId="2221"/>
    <cellStyle name="40% - Акцент5 15 2" xfId="2222"/>
    <cellStyle name="40% - Акцент5 16" xfId="2223"/>
    <cellStyle name="40% - Акцент5 16 2" xfId="2224"/>
    <cellStyle name="40% - Акцент5 17" xfId="2225"/>
    <cellStyle name="40% - Акцент5 17 2" xfId="2226"/>
    <cellStyle name="40% - Акцент5 18" xfId="2227"/>
    <cellStyle name="40% - Акцент5 18 2" xfId="2228"/>
    <cellStyle name="40% - Акцент5 19" xfId="2229"/>
    <cellStyle name="40% - Акцент5 2" xfId="2230"/>
    <cellStyle name="40% - Акцент5 2 10" xfId="2231"/>
    <cellStyle name="40% - Акцент5 2 11" xfId="2232"/>
    <cellStyle name="40% - Акцент5 2 12" xfId="2233"/>
    <cellStyle name="40% - Акцент5 2 13" xfId="2234"/>
    <cellStyle name="40% - Акцент5 2 14" xfId="2235"/>
    <cellStyle name="40% - Акцент5 2 15" xfId="2236"/>
    <cellStyle name="40% - Акцент5 2 16" xfId="2237"/>
    <cellStyle name="40% - Акцент5 2 17" xfId="2238"/>
    <cellStyle name="40% - Акцент5 2 18" xfId="2239"/>
    <cellStyle name="40% - Акцент5 2 19" xfId="2240"/>
    <cellStyle name="40% - Акцент5 2 2" xfId="2241"/>
    <cellStyle name="40% - Акцент5 2 20" xfId="2242"/>
    <cellStyle name="40% - Акцент5 2 21" xfId="2243"/>
    <cellStyle name="40% - Акцент5 2 22" xfId="2244"/>
    <cellStyle name="40% - Акцент5 2 23" xfId="2245"/>
    <cellStyle name="40% - Акцент5 2 24" xfId="2246"/>
    <cellStyle name="40% - Акцент5 2 25" xfId="2247"/>
    <cellStyle name="40% - Акцент5 2 26" xfId="2248"/>
    <cellStyle name="40% - Акцент5 2 27" xfId="2249"/>
    <cellStyle name="40% - Акцент5 2 28" xfId="2250"/>
    <cellStyle name="40% - Акцент5 2 29" xfId="2251"/>
    <cellStyle name="40% - Акцент5 2 3" xfId="2252"/>
    <cellStyle name="40% - Акцент5 2 30" xfId="2253"/>
    <cellStyle name="40% - Акцент5 2 31" xfId="2254"/>
    <cellStyle name="40% - Акцент5 2 32" xfId="2255"/>
    <cellStyle name="40% - Акцент5 2 33" xfId="2256"/>
    <cellStyle name="40% - Акцент5 2 34" xfId="2257"/>
    <cellStyle name="40% - Акцент5 2 35" xfId="2258"/>
    <cellStyle name="40% - Акцент5 2 36" xfId="2259"/>
    <cellStyle name="40% - Акцент5 2 4" xfId="2260"/>
    <cellStyle name="40% - Акцент5 2 5" xfId="2261"/>
    <cellStyle name="40% - Акцент5 2 6" xfId="2262"/>
    <cellStyle name="40% - Акцент5 2 7" xfId="2263"/>
    <cellStyle name="40% - Акцент5 2 8" xfId="2264"/>
    <cellStyle name="40% - Акцент5 2 9" xfId="2265"/>
    <cellStyle name="40% - Акцент5 20" xfId="2266"/>
    <cellStyle name="40% - Акцент5 20 2" xfId="2267"/>
    <cellStyle name="40% - Акцент5 20 3" xfId="2268"/>
    <cellStyle name="40% - Акцент5 20 4" xfId="2269"/>
    <cellStyle name="40% - Акцент5 21" xfId="2270"/>
    <cellStyle name="40% - Акцент5 21 2" xfId="2271"/>
    <cellStyle name="40% - Акцент5 21 3" xfId="2272"/>
    <cellStyle name="40% - Акцент5 21 4" xfId="2273"/>
    <cellStyle name="40% - Акцент5 22" xfId="2274"/>
    <cellStyle name="40% - Акцент5 22 2" xfId="2275"/>
    <cellStyle name="40% - Акцент5 22 3" xfId="2276"/>
    <cellStyle name="40% - Акцент5 22 4" xfId="2277"/>
    <cellStyle name="40% - Акцент5 23" xfId="2278"/>
    <cellStyle name="40% - Акцент5 23 10" xfId="2279"/>
    <cellStyle name="40% - Акцент5 23 11" xfId="2280"/>
    <cellStyle name="40% - Акцент5 23 12" xfId="2281"/>
    <cellStyle name="40% - Акцент5 23 13" xfId="2282"/>
    <cellStyle name="40% - Акцент5 23 14" xfId="2283"/>
    <cellStyle name="40% - Акцент5 23 15" xfId="2284"/>
    <cellStyle name="40% - Акцент5 23 16" xfId="2285"/>
    <cellStyle name="40% - Акцент5 23 17" xfId="2286"/>
    <cellStyle name="40% - Акцент5 23 18" xfId="2287"/>
    <cellStyle name="40% - Акцент5 23 19" xfId="2288"/>
    <cellStyle name="40% - Акцент5 23 2" xfId="2289"/>
    <cellStyle name="40% - Акцент5 23 20" xfId="2290"/>
    <cellStyle name="40% - Акцент5 23 21" xfId="2291"/>
    <cellStyle name="40% - Акцент5 23 22" xfId="2292"/>
    <cellStyle name="40% - Акцент5 23 23" xfId="2293"/>
    <cellStyle name="40% - Акцент5 23 24" xfId="2294"/>
    <cellStyle name="40% - Акцент5 23 25" xfId="2295"/>
    <cellStyle name="40% - Акцент5 23 26" xfId="2296"/>
    <cellStyle name="40% - Акцент5 23 27" xfId="2297"/>
    <cellStyle name="40% - Акцент5 23 28" xfId="2298"/>
    <cellStyle name="40% - Акцент5 23 29" xfId="2299"/>
    <cellStyle name="40% - Акцент5 23 3" xfId="2300"/>
    <cellStyle name="40% - Акцент5 23 30" xfId="2301"/>
    <cellStyle name="40% - Акцент5 23 31" xfId="2302"/>
    <cellStyle name="40% - Акцент5 23 32" xfId="2303"/>
    <cellStyle name="40% - Акцент5 23 33" xfId="2304"/>
    <cellStyle name="40% - Акцент5 23 34" xfId="2305"/>
    <cellStyle name="40% - Акцент5 23 35" xfId="2306"/>
    <cellStyle name="40% - Акцент5 23 36" xfId="2307"/>
    <cellStyle name="40% - Акцент5 23 37" xfId="2308"/>
    <cellStyle name="40% - Акцент5 23 38" xfId="2309"/>
    <cellStyle name="40% - Акцент5 23 39" xfId="2310"/>
    <cellStyle name="40% - Акцент5 23 4" xfId="2311"/>
    <cellStyle name="40% - Акцент5 23 40" xfId="2312"/>
    <cellStyle name="40% - Акцент5 23 41" xfId="2313"/>
    <cellStyle name="40% - Акцент5 23 42" xfId="2314"/>
    <cellStyle name="40% - Акцент5 23 43" xfId="2315"/>
    <cellStyle name="40% - Акцент5 23 44" xfId="2316"/>
    <cellStyle name="40% - Акцент5 23 45" xfId="2317"/>
    <cellStyle name="40% - Акцент5 23 46" xfId="2318"/>
    <cellStyle name="40% - Акцент5 23 47" xfId="2319"/>
    <cellStyle name="40% - Акцент5 23 48" xfId="2320"/>
    <cellStyle name="40% - Акцент5 23 49" xfId="2321"/>
    <cellStyle name="40% - Акцент5 23 5" xfId="2322"/>
    <cellStyle name="40% - Акцент5 23 50" xfId="2323"/>
    <cellStyle name="40% - Акцент5 23 51" xfId="2324"/>
    <cellStyle name="40% - Акцент5 23 52" xfId="2325"/>
    <cellStyle name="40% - Акцент5 23 53" xfId="2326"/>
    <cellStyle name="40% - Акцент5 23 54" xfId="2327"/>
    <cellStyle name="40% - Акцент5 23 55" xfId="2328"/>
    <cellStyle name="40% - Акцент5 23 56" xfId="2329"/>
    <cellStyle name="40% - Акцент5 23 57" xfId="2330"/>
    <cellStyle name="40% - Акцент5 23 58" xfId="2331"/>
    <cellStyle name="40% - Акцент5 23 59" xfId="2332"/>
    <cellStyle name="40% - Акцент5 23 6" xfId="2333"/>
    <cellStyle name="40% - Акцент5 23 7" xfId="2334"/>
    <cellStyle name="40% - Акцент5 23 8" xfId="2335"/>
    <cellStyle name="40% - Акцент5 23 9" xfId="2336"/>
    <cellStyle name="40% - Акцент5 24" xfId="2337"/>
    <cellStyle name="40% - Акцент5 25" xfId="2338"/>
    <cellStyle name="40% - Акцент5 26" xfId="2339"/>
    <cellStyle name="40% - Акцент5 27" xfId="2340"/>
    <cellStyle name="40% - Акцент5 28" xfId="2341"/>
    <cellStyle name="40% - Акцент5 29" xfId="2342"/>
    <cellStyle name="40% - Акцент5 3" xfId="2343"/>
    <cellStyle name="40% - Акцент5 4" xfId="2344"/>
    <cellStyle name="40% - Акцент5 5" xfId="2345"/>
    <cellStyle name="40% - Акцент5 6" xfId="2346"/>
    <cellStyle name="40% - Акцент5 7" xfId="2347"/>
    <cellStyle name="40% - Акцент5 8" xfId="2348"/>
    <cellStyle name="40% - Акцент5 9" xfId="2349"/>
    <cellStyle name="40% - Акцент6 10" xfId="2350"/>
    <cellStyle name="40% - Акцент6 11" xfId="2351"/>
    <cellStyle name="40% - Акцент6 12" xfId="2352"/>
    <cellStyle name="40% - Акцент6 13" xfId="2353"/>
    <cellStyle name="40% - Акцент6 14" xfId="2354"/>
    <cellStyle name="40% - Акцент6 15" xfId="2355"/>
    <cellStyle name="40% - Акцент6 15 2" xfId="2356"/>
    <cellStyle name="40% - Акцент6 16" xfId="2357"/>
    <cellStyle name="40% - Акцент6 16 2" xfId="2358"/>
    <cellStyle name="40% - Акцент6 17" xfId="2359"/>
    <cellStyle name="40% - Акцент6 17 2" xfId="2360"/>
    <cellStyle name="40% - Акцент6 18" xfId="2361"/>
    <cellStyle name="40% - Акцент6 18 2" xfId="2362"/>
    <cellStyle name="40% - Акцент6 19" xfId="2363"/>
    <cellStyle name="40% - Акцент6 2" xfId="2364"/>
    <cellStyle name="40% - Акцент6 2 10" xfId="2365"/>
    <cellStyle name="40% - Акцент6 2 11" xfId="2366"/>
    <cellStyle name="40% - Акцент6 2 12" xfId="2367"/>
    <cellStyle name="40% - Акцент6 2 13" xfId="2368"/>
    <cellStyle name="40% - Акцент6 2 14" xfId="2369"/>
    <cellStyle name="40% - Акцент6 2 15" xfId="2370"/>
    <cellStyle name="40% - Акцент6 2 16" xfId="2371"/>
    <cellStyle name="40% - Акцент6 2 17" xfId="2372"/>
    <cellStyle name="40% - Акцент6 2 18" xfId="2373"/>
    <cellStyle name="40% - Акцент6 2 19" xfId="2374"/>
    <cellStyle name="40% - Акцент6 2 2" xfId="2375"/>
    <cellStyle name="40% - Акцент6 2 20" xfId="2376"/>
    <cellStyle name="40% - Акцент6 2 21" xfId="2377"/>
    <cellStyle name="40% - Акцент6 2 22" xfId="2378"/>
    <cellStyle name="40% - Акцент6 2 23" xfId="2379"/>
    <cellStyle name="40% - Акцент6 2 24" xfId="2380"/>
    <cellStyle name="40% - Акцент6 2 25" xfId="2381"/>
    <cellStyle name="40% - Акцент6 2 26" xfId="2382"/>
    <cellStyle name="40% - Акцент6 2 27" xfId="2383"/>
    <cellStyle name="40% - Акцент6 2 28" xfId="2384"/>
    <cellStyle name="40% - Акцент6 2 29" xfId="2385"/>
    <cellStyle name="40% - Акцент6 2 3" xfId="2386"/>
    <cellStyle name="40% - Акцент6 2 30" xfId="2387"/>
    <cellStyle name="40% - Акцент6 2 31" xfId="2388"/>
    <cellStyle name="40% - Акцент6 2 32" xfId="2389"/>
    <cellStyle name="40% - Акцент6 2 33" xfId="2390"/>
    <cellStyle name="40% - Акцент6 2 34" xfId="2391"/>
    <cellStyle name="40% - Акцент6 2 35" xfId="2392"/>
    <cellStyle name="40% - Акцент6 2 36" xfId="2393"/>
    <cellStyle name="40% - Акцент6 2 4" xfId="2394"/>
    <cellStyle name="40% - Акцент6 2 5" xfId="2395"/>
    <cellStyle name="40% - Акцент6 2 6" xfId="2396"/>
    <cellStyle name="40% - Акцент6 2 7" xfId="2397"/>
    <cellStyle name="40% - Акцент6 2 8" xfId="2398"/>
    <cellStyle name="40% - Акцент6 2 9" xfId="2399"/>
    <cellStyle name="40% - Акцент6 20" xfId="2400"/>
    <cellStyle name="40% - Акцент6 20 2" xfId="2401"/>
    <cellStyle name="40% - Акцент6 20 3" xfId="2402"/>
    <cellStyle name="40% - Акцент6 20 4" xfId="2403"/>
    <cellStyle name="40% - Акцент6 21" xfId="2404"/>
    <cellStyle name="40% - Акцент6 21 2" xfId="2405"/>
    <cellStyle name="40% - Акцент6 21 3" xfId="2406"/>
    <cellStyle name="40% - Акцент6 21 4" xfId="2407"/>
    <cellStyle name="40% - Акцент6 22" xfId="2408"/>
    <cellStyle name="40% - Акцент6 22 2" xfId="2409"/>
    <cellStyle name="40% - Акцент6 22 3" xfId="2410"/>
    <cellStyle name="40% - Акцент6 22 4" xfId="2411"/>
    <cellStyle name="40% - Акцент6 23" xfId="2412"/>
    <cellStyle name="40% - Акцент6 23 10" xfId="2413"/>
    <cellStyle name="40% - Акцент6 23 11" xfId="2414"/>
    <cellStyle name="40% - Акцент6 23 12" xfId="2415"/>
    <cellStyle name="40% - Акцент6 23 13" xfId="2416"/>
    <cellStyle name="40% - Акцент6 23 14" xfId="2417"/>
    <cellStyle name="40% - Акцент6 23 15" xfId="2418"/>
    <cellStyle name="40% - Акцент6 23 16" xfId="2419"/>
    <cellStyle name="40% - Акцент6 23 17" xfId="2420"/>
    <cellStyle name="40% - Акцент6 23 18" xfId="2421"/>
    <cellStyle name="40% - Акцент6 23 19" xfId="2422"/>
    <cellStyle name="40% - Акцент6 23 2" xfId="2423"/>
    <cellStyle name="40% - Акцент6 23 20" xfId="2424"/>
    <cellStyle name="40% - Акцент6 23 21" xfId="2425"/>
    <cellStyle name="40% - Акцент6 23 22" xfId="2426"/>
    <cellStyle name="40% - Акцент6 23 23" xfId="2427"/>
    <cellStyle name="40% - Акцент6 23 24" xfId="2428"/>
    <cellStyle name="40% - Акцент6 23 25" xfId="2429"/>
    <cellStyle name="40% - Акцент6 23 26" xfId="2430"/>
    <cellStyle name="40% - Акцент6 23 27" xfId="2431"/>
    <cellStyle name="40% - Акцент6 23 28" xfId="2432"/>
    <cellStyle name="40% - Акцент6 23 29" xfId="2433"/>
    <cellStyle name="40% - Акцент6 23 3" xfId="2434"/>
    <cellStyle name="40% - Акцент6 23 30" xfId="2435"/>
    <cellStyle name="40% - Акцент6 23 31" xfId="2436"/>
    <cellStyle name="40% - Акцент6 23 32" xfId="2437"/>
    <cellStyle name="40% - Акцент6 23 33" xfId="2438"/>
    <cellStyle name="40% - Акцент6 23 34" xfId="2439"/>
    <cellStyle name="40% - Акцент6 23 35" xfId="2440"/>
    <cellStyle name="40% - Акцент6 23 36" xfId="2441"/>
    <cellStyle name="40% - Акцент6 23 37" xfId="2442"/>
    <cellStyle name="40% - Акцент6 23 38" xfId="2443"/>
    <cellStyle name="40% - Акцент6 23 39" xfId="2444"/>
    <cellStyle name="40% - Акцент6 23 4" xfId="2445"/>
    <cellStyle name="40% - Акцент6 23 40" xfId="2446"/>
    <cellStyle name="40% - Акцент6 23 41" xfId="2447"/>
    <cellStyle name="40% - Акцент6 23 42" xfId="2448"/>
    <cellStyle name="40% - Акцент6 23 43" xfId="2449"/>
    <cellStyle name="40% - Акцент6 23 44" xfId="2450"/>
    <cellStyle name="40% - Акцент6 23 45" xfId="2451"/>
    <cellStyle name="40% - Акцент6 23 46" xfId="2452"/>
    <cellStyle name="40% - Акцент6 23 47" xfId="2453"/>
    <cellStyle name="40% - Акцент6 23 48" xfId="2454"/>
    <cellStyle name="40% - Акцент6 23 49" xfId="2455"/>
    <cellStyle name="40% - Акцент6 23 5" xfId="2456"/>
    <cellStyle name="40% - Акцент6 23 50" xfId="2457"/>
    <cellStyle name="40% - Акцент6 23 51" xfId="2458"/>
    <cellStyle name="40% - Акцент6 23 52" xfId="2459"/>
    <cellStyle name="40% - Акцент6 23 53" xfId="2460"/>
    <cellStyle name="40% - Акцент6 23 54" xfId="2461"/>
    <cellStyle name="40% - Акцент6 23 55" xfId="2462"/>
    <cellStyle name="40% - Акцент6 23 56" xfId="2463"/>
    <cellStyle name="40% - Акцент6 23 57" xfId="2464"/>
    <cellStyle name="40% - Акцент6 23 58" xfId="2465"/>
    <cellStyle name="40% - Акцент6 23 59" xfId="2466"/>
    <cellStyle name="40% - Акцент6 23 6" xfId="2467"/>
    <cellStyle name="40% - Акцент6 23 7" xfId="2468"/>
    <cellStyle name="40% - Акцент6 23 8" xfId="2469"/>
    <cellStyle name="40% - Акцент6 23 9" xfId="2470"/>
    <cellStyle name="40% - Акцент6 24" xfId="2471"/>
    <cellStyle name="40% - Акцент6 25" xfId="2472"/>
    <cellStyle name="40% - Акцент6 26" xfId="2473"/>
    <cellStyle name="40% - Акцент6 27" xfId="2474"/>
    <cellStyle name="40% - Акцент6 28" xfId="2475"/>
    <cellStyle name="40% - Акцент6 29" xfId="2476"/>
    <cellStyle name="40% - Акцент6 3" xfId="2477"/>
    <cellStyle name="40% - Акцент6 4" xfId="2478"/>
    <cellStyle name="40% - Акцент6 5" xfId="2479"/>
    <cellStyle name="40% - Акцент6 6" xfId="2480"/>
    <cellStyle name="40% - Акцент6 7" xfId="2481"/>
    <cellStyle name="40% - Акцент6 8" xfId="2482"/>
    <cellStyle name="40% - Акцент6 9" xfId="2483"/>
    <cellStyle name="60% - Accent1" xfId="16"/>
    <cellStyle name="60% - Accent2" xfId="17"/>
    <cellStyle name="60% - Accent3" xfId="18"/>
    <cellStyle name="60% - Accent4" xfId="19"/>
    <cellStyle name="60% - Accent5" xfId="20"/>
    <cellStyle name="60% - Accent6" xfId="21"/>
    <cellStyle name="60% - Акцент1 10" xfId="2484"/>
    <cellStyle name="60% - Акцент1 11" xfId="2485"/>
    <cellStyle name="60% - Акцент1 12" xfId="2486"/>
    <cellStyle name="60% - Акцент1 13" xfId="2487"/>
    <cellStyle name="60% - Акцент1 14" xfId="2488"/>
    <cellStyle name="60% - Акцент1 15" xfId="2489"/>
    <cellStyle name="60% - Акцент1 15 2" xfId="2490"/>
    <cellStyle name="60% - Акцент1 16" xfId="2491"/>
    <cellStyle name="60% - Акцент1 16 2" xfId="2492"/>
    <cellStyle name="60% - Акцент1 17" xfId="2493"/>
    <cellStyle name="60% - Акцент1 17 2" xfId="2494"/>
    <cellStyle name="60% - Акцент1 18" xfId="2495"/>
    <cellStyle name="60% - Акцент1 18 2" xfId="2496"/>
    <cellStyle name="60% - Акцент1 19" xfId="2497"/>
    <cellStyle name="60% - Акцент1 2" xfId="2498"/>
    <cellStyle name="60% - Акцент1 2 10" xfId="2499"/>
    <cellStyle name="60% - Акцент1 2 11" xfId="2500"/>
    <cellStyle name="60% - Акцент1 2 12" xfId="2501"/>
    <cellStyle name="60% - Акцент1 2 13" xfId="2502"/>
    <cellStyle name="60% - Акцент1 2 14" xfId="2503"/>
    <cellStyle name="60% - Акцент1 2 15" xfId="2504"/>
    <cellStyle name="60% - Акцент1 2 16" xfId="2505"/>
    <cellStyle name="60% - Акцент1 2 17" xfId="2506"/>
    <cellStyle name="60% - Акцент1 2 18" xfId="2507"/>
    <cellStyle name="60% - Акцент1 2 19" xfId="2508"/>
    <cellStyle name="60% - Акцент1 2 2" xfId="2509"/>
    <cellStyle name="60% - Акцент1 2 20" xfId="2510"/>
    <cellStyle name="60% - Акцент1 2 21" xfId="2511"/>
    <cellStyle name="60% - Акцент1 2 22" xfId="2512"/>
    <cellStyle name="60% - Акцент1 2 23" xfId="2513"/>
    <cellStyle name="60% - Акцент1 2 24" xfId="2514"/>
    <cellStyle name="60% - Акцент1 2 25" xfId="2515"/>
    <cellStyle name="60% - Акцент1 2 26" xfId="2516"/>
    <cellStyle name="60% - Акцент1 2 27" xfId="2517"/>
    <cellStyle name="60% - Акцент1 2 28" xfId="2518"/>
    <cellStyle name="60% - Акцент1 2 29" xfId="2519"/>
    <cellStyle name="60% - Акцент1 2 3" xfId="2520"/>
    <cellStyle name="60% - Акцент1 2 30" xfId="2521"/>
    <cellStyle name="60% - Акцент1 2 31" xfId="2522"/>
    <cellStyle name="60% - Акцент1 2 32" xfId="2523"/>
    <cellStyle name="60% - Акцент1 2 33" xfId="2524"/>
    <cellStyle name="60% - Акцент1 2 34" xfId="2525"/>
    <cellStyle name="60% - Акцент1 2 35" xfId="2526"/>
    <cellStyle name="60% - Акцент1 2 36" xfId="2527"/>
    <cellStyle name="60% - Акцент1 2 4" xfId="2528"/>
    <cellStyle name="60% - Акцент1 2 5" xfId="2529"/>
    <cellStyle name="60% - Акцент1 2 6" xfId="2530"/>
    <cellStyle name="60% - Акцент1 2 7" xfId="2531"/>
    <cellStyle name="60% - Акцент1 2 8" xfId="2532"/>
    <cellStyle name="60% - Акцент1 2 9" xfId="2533"/>
    <cellStyle name="60% - Акцент1 20" xfId="2534"/>
    <cellStyle name="60% - Акцент1 20 2" xfId="2535"/>
    <cellStyle name="60% - Акцент1 20 3" xfId="2536"/>
    <cellStyle name="60% - Акцент1 20 4" xfId="2537"/>
    <cellStyle name="60% - Акцент1 21" xfId="2538"/>
    <cellStyle name="60% - Акцент1 21 2" xfId="2539"/>
    <cellStyle name="60% - Акцент1 21 3" xfId="2540"/>
    <cellStyle name="60% - Акцент1 21 4" xfId="2541"/>
    <cellStyle name="60% - Акцент1 22" xfId="2542"/>
    <cellStyle name="60% - Акцент1 22 2" xfId="2543"/>
    <cellStyle name="60% - Акцент1 22 3" xfId="2544"/>
    <cellStyle name="60% - Акцент1 22 4" xfId="2545"/>
    <cellStyle name="60% - Акцент1 23" xfId="2546"/>
    <cellStyle name="60% - Акцент1 24" xfId="2547"/>
    <cellStyle name="60% - Акцент1 25" xfId="2548"/>
    <cellStyle name="60% - Акцент1 26" xfId="2549"/>
    <cellStyle name="60% - Акцент1 27" xfId="2550"/>
    <cellStyle name="60% - Акцент1 28" xfId="2551"/>
    <cellStyle name="60% - Акцент1 29" xfId="2552"/>
    <cellStyle name="60% - Акцент1 3" xfId="2553"/>
    <cellStyle name="60% - Акцент1 4" xfId="2554"/>
    <cellStyle name="60% - Акцент1 5" xfId="2555"/>
    <cellStyle name="60% - Акцент1 6" xfId="2556"/>
    <cellStyle name="60% - Акцент1 7" xfId="2557"/>
    <cellStyle name="60% - Акцент1 8" xfId="2558"/>
    <cellStyle name="60% - Акцент1 9" xfId="2559"/>
    <cellStyle name="60% - Акцент2 10" xfId="2560"/>
    <cellStyle name="60% - Акцент2 11" xfId="2561"/>
    <cellStyle name="60% - Акцент2 12" xfId="2562"/>
    <cellStyle name="60% - Акцент2 13" xfId="2563"/>
    <cellStyle name="60% - Акцент2 14" xfId="2564"/>
    <cellStyle name="60% - Акцент2 15" xfId="2565"/>
    <cellStyle name="60% - Акцент2 15 2" xfId="2566"/>
    <cellStyle name="60% - Акцент2 16" xfId="2567"/>
    <cellStyle name="60% - Акцент2 16 2" xfId="2568"/>
    <cellStyle name="60% - Акцент2 17" xfId="2569"/>
    <cellStyle name="60% - Акцент2 17 2" xfId="2570"/>
    <cellStyle name="60% - Акцент2 18" xfId="2571"/>
    <cellStyle name="60% - Акцент2 18 2" xfId="2572"/>
    <cellStyle name="60% - Акцент2 19" xfId="2573"/>
    <cellStyle name="60% - Акцент2 2" xfId="2574"/>
    <cellStyle name="60% - Акцент2 2 10" xfId="2575"/>
    <cellStyle name="60% - Акцент2 2 11" xfId="2576"/>
    <cellStyle name="60% - Акцент2 2 12" xfId="2577"/>
    <cellStyle name="60% - Акцент2 2 13" xfId="2578"/>
    <cellStyle name="60% - Акцент2 2 14" xfId="2579"/>
    <cellStyle name="60% - Акцент2 2 15" xfId="2580"/>
    <cellStyle name="60% - Акцент2 2 16" xfId="2581"/>
    <cellStyle name="60% - Акцент2 2 17" xfId="2582"/>
    <cellStyle name="60% - Акцент2 2 18" xfId="2583"/>
    <cellStyle name="60% - Акцент2 2 19" xfId="2584"/>
    <cellStyle name="60% - Акцент2 2 2" xfId="2585"/>
    <cellStyle name="60% - Акцент2 2 20" xfId="2586"/>
    <cellStyle name="60% - Акцент2 2 21" xfId="2587"/>
    <cellStyle name="60% - Акцент2 2 22" xfId="2588"/>
    <cellStyle name="60% - Акцент2 2 23" xfId="2589"/>
    <cellStyle name="60% - Акцент2 2 24" xfId="2590"/>
    <cellStyle name="60% - Акцент2 2 25" xfId="2591"/>
    <cellStyle name="60% - Акцент2 2 26" xfId="2592"/>
    <cellStyle name="60% - Акцент2 2 27" xfId="2593"/>
    <cellStyle name="60% - Акцент2 2 28" xfId="2594"/>
    <cellStyle name="60% - Акцент2 2 29" xfId="2595"/>
    <cellStyle name="60% - Акцент2 2 3" xfId="2596"/>
    <cellStyle name="60% - Акцент2 2 30" xfId="2597"/>
    <cellStyle name="60% - Акцент2 2 31" xfId="2598"/>
    <cellStyle name="60% - Акцент2 2 32" xfId="2599"/>
    <cellStyle name="60% - Акцент2 2 33" xfId="2600"/>
    <cellStyle name="60% - Акцент2 2 34" xfId="2601"/>
    <cellStyle name="60% - Акцент2 2 35" xfId="2602"/>
    <cellStyle name="60% - Акцент2 2 36" xfId="2603"/>
    <cellStyle name="60% - Акцент2 2 4" xfId="2604"/>
    <cellStyle name="60% - Акцент2 2 5" xfId="2605"/>
    <cellStyle name="60% - Акцент2 2 6" xfId="2606"/>
    <cellStyle name="60% - Акцент2 2 7" xfId="2607"/>
    <cellStyle name="60% - Акцент2 2 8" xfId="2608"/>
    <cellStyle name="60% - Акцент2 2 9" xfId="2609"/>
    <cellStyle name="60% - Акцент2 20" xfId="2610"/>
    <cellStyle name="60% - Акцент2 20 2" xfId="2611"/>
    <cellStyle name="60% - Акцент2 20 3" xfId="2612"/>
    <cellStyle name="60% - Акцент2 20 4" xfId="2613"/>
    <cellStyle name="60% - Акцент2 21" xfId="2614"/>
    <cellStyle name="60% - Акцент2 21 2" xfId="2615"/>
    <cellStyle name="60% - Акцент2 21 3" xfId="2616"/>
    <cellStyle name="60% - Акцент2 21 4" xfId="2617"/>
    <cellStyle name="60% - Акцент2 22" xfId="2618"/>
    <cellStyle name="60% - Акцент2 22 2" xfId="2619"/>
    <cellStyle name="60% - Акцент2 22 3" xfId="2620"/>
    <cellStyle name="60% - Акцент2 22 4" xfId="2621"/>
    <cellStyle name="60% - Акцент2 23" xfId="2622"/>
    <cellStyle name="60% - Акцент2 24" xfId="2623"/>
    <cellStyle name="60% - Акцент2 25" xfId="2624"/>
    <cellStyle name="60% - Акцент2 26" xfId="2625"/>
    <cellStyle name="60% - Акцент2 27" xfId="2626"/>
    <cellStyle name="60% - Акцент2 28" xfId="2627"/>
    <cellStyle name="60% - Акцент2 29" xfId="2628"/>
    <cellStyle name="60% - Акцент2 3" xfId="2629"/>
    <cellStyle name="60% - Акцент2 4" xfId="2630"/>
    <cellStyle name="60% - Акцент2 5" xfId="2631"/>
    <cellStyle name="60% - Акцент2 6" xfId="2632"/>
    <cellStyle name="60% - Акцент2 7" xfId="2633"/>
    <cellStyle name="60% - Акцент2 8" xfId="2634"/>
    <cellStyle name="60% - Акцент2 9" xfId="2635"/>
    <cellStyle name="60% - Акцент3 10" xfId="2636"/>
    <cellStyle name="60% - Акцент3 11" xfId="2637"/>
    <cellStyle name="60% - Акцент3 12" xfId="2638"/>
    <cellStyle name="60% - Акцент3 13" xfId="2639"/>
    <cellStyle name="60% - Акцент3 14" xfId="2640"/>
    <cellStyle name="60% - Акцент3 15" xfId="2641"/>
    <cellStyle name="60% - Акцент3 15 2" xfId="2642"/>
    <cellStyle name="60% - Акцент3 16" xfId="2643"/>
    <cellStyle name="60% - Акцент3 16 2" xfId="2644"/>
    <cellStyle name="60% - Акцент3 17" xfId="2645"/>
    <cellStyle name="60% - Акцент3 17 2" xfId="2646"/>
    <cellStyle name="60% - Акцент3 18" xfId="2647"/>
    <cellStyle name="60% - Акцент3 18 2" xfId="2648"/>
    <cellStyle name="60% - Акцент3 19" xfId="2649"/>
    <cellStyle name="60% - Акцент3 2" xfId="2650"/>
    <cellStyle name="60% - Акцент3 2 10" xfId="2651"/>
    <cellStyle name="60% - Акцент3 2 11" xfId="2652"/>
    <cellStyle name="60% - Акцент3 2 12" xfId="2653"/>
    <cellStyle name="60% - Акцент3 2 13" xfId="2654"/>
    <cellStyle name="60% - Акцент3 2 14" xfId="2655"/>
    <cellStyle name="60% - Акцент3 2 15" xfId="2656"/>
    <cellStyle name="60% - Акцент3 2 16" xfId="2657"/>
    <cellStyle name="60% - Акцент3 2 17" xfId="2658"/>
    <cellStyle name="60% - Акцент3 2 18" xfId="2659"/>
    <cellStyle name="60% - Акцент3 2 19" xfId="2660"/>
    <cellStyle name="60% - Акцент3 2 2" xfId="2661"/>
    <cellStyle name="60% - Акцент3 2 20" xfId="2662"/>
    <cellStyle name="60% - Акцент3 2 21" xfId="2663"/>
    <cellStyle name="60% - Акцент3 2 22" xfId="2664"/>
    <cellStyle name="60% - Акцент3 2 23" xfId="2665"/>
    <cellStyle name="60% - Акцент3 2 24" xfId="2666"/>
    <cellStyle name="60% - Акцент3 2 25" xfId="2667"/>
    <cellStyle name="60% - Акцент3 2 26" xfId="2668"/>
    <cellStyle name="60% - Акцент3 2 27" xfId="2669"/>
    <cellStyle name="60% - Акцент3 2 28" xfId="2670"/>
    <cellStyle name="60% - Акцент3 2 29" xfId="2671"/>
    <cellStyle name="60% - Акцент3 2 3" xfId="2672"/>
    <cellStyle name="60% - Акцент3 2 30" xfId="2673"/>
    <cellStyle name="60% - Акцент3 2 31" xfId="2674"/>
    <cellStyle name="60% - Акцент3 2 32" xfId="2675"/>
    <cellStyle name="60% - Акцент3 2 33" xfId="2676"/>
    <cellStyle name="60% - Акцент3 2 34" xfId="2677"/>
    <cellStyle name="60% - Акцент3 2 35" xfId="2678"/>
    <cellStyle name="60% - Акцент3 2 36" xfId="2679"/>
    <cellStyle name="60% - Акцент3 2 4" xfId="2680"/>
    <cellStyle name="60% - Акцент3 2 5" xfId="2681"/>
    <cellStyle name="60% - Акцент3 2 6" xfId="2682"/>
    <cellStyle name="60% - Акцент3 2 7" xfId="2683"/>
    <cellStyle name="60% - Акцент3 2 8" xfId="2684"/>
    <cellStyle name="60% - Акцент3 2 9" xfId="2685"/>
    <cellStyle name="60% - Акцент3 20" xfId="2686"/>
    <cellStyle name="60% - Акцент3 20 2" xfId="2687"/>
    <cellStyle name="60% - Акцент3 20 3" xfId="2688"/>
    <cellStyle name="60% - Акцент3 20 4" xfId="2689"/>
    <cellStyle name="60% - Акцент3 21" xfId="2690"/>
    <cellStyle name="60% - Акцент3 21 2" xfId="2691"/>
    <cellStyle name="60% - Акцент3 21 3" xfId="2692"/>
    <cellStyle name="60% - Акцент3 21 4" xfId="2693"/>
    <cellStyle name="60% - Акцент3 22" xfId="2694"/>
    <cellStyle name="60% - Акцент3 22 2" xfId="2695"/>
    <cellStyle name="60% - Акцент3 22 3" xfId="2696"/>
    <cellStyle name="60% - Акцент3 22 4" xfId="2697"/>
    <cellStyle name="60% - Акцент3 23" xfId="2698"/>
    <cellStyle name="60% - Акцент3 24" xfId="2699"/>
    <cellStyle name="60% - Акцент3 25" xfId="2700"/>
    <cellStyle name="60% - Акцент3 26" xfId="2701"/>
    <cellStyle name="60% - Акцент3 27" xfId="2702"/>
    <cellStyle name="60% - Акцент3 28" xfId="2703"/>
    <cellStyle name="60% - Акцент3 29" xfId="2704"/>
    <cellStyle name="60% - Акцент3 3" xfId="2705"/>
    <cellStyle name="60% - Акцент3 4" xfId="2706"/>
    <cellStyle name="60% - Акцент3 5" xfId="2707"/>
    <cellStyle name="60% - Акцент3 6" xfId="2708"/>
    <cellStyle name="60% - Акцент3 7" xfId="2709"/>
    <cellStyle name="60% - Акцент3 8" xfId="2710"/>
    <cellStyle name="60% - Акцент3 9" xfId="2711"/>
    <cellStyle name="60% - Акцент4 10" xfId="2712"/>
    <cellStyle name="60% - Акцент4 11" xfId="2713"/>
    <cellStyle name="60% - Акцент4 12" xfId="2714"/>
    <cellStyle name="60% - Акцент4 13" xfId="2715"/>
    <cellStyle name="60% - Акцент4 14" xfId="2716"/>
    <cellStyle name="60% - Акцент4 15" xfId="2717"/>
    <cellStyle name="60% - Акцент4 15 2" xfId="2718"/>
    <cellStyle name="60% - Акцент4 16" xfId="2719"/>
    <cellStyle name="60% - Акцент4 16 2" xfId="2720"/>
    <cellStyle name="60% - Акцент4 17" xfId="2721"/>
    <cellStyle name="60% - Акцент4 17 2" xfId="2722"/>
    <cellStyle name="60% - Акцент4 18" xfId="2723"/>
    <cellStyle name="60% - Акцент4 18 2" xfId="2724"/>
    <cellStyle name="60% - Акцент4 19" xfId="2725"/>
    <cellStyle name="60% - Акцент4 2" xfId="2726"/>
    <cellStyle name="60% - Акцент4 2 10" xfId="2727"/>
    <cellStyle name="60% - Акцент4 2 11" xfId="2728"/>
    <cellStyle name="60% - Акцент4 2 12" xfId="2729"/>
    <cellStyle name="60% - Акцент4 2 13" xfId="2730"/>
    <cellStyle name="60% - Акцент4 2 14" xfId="2731"/>
    <cellStyle name="60% - Акцент4 2 15" xfId="2732"/>
    <cellStyle name="60% - Акцент4 2 16" xfId="2733"/>
    <cellStyle name="60% - Акцент4 2 17" xfId="2734"/>
    <cellStyle name="60% - Акцент4 2 18" xfId="2735"/>
    <cellStyle name="60% - Акцент4 2 19" xfId="2736"/>
    <cellStyle name="60% - Акцент4 2 2" xfId="2737"/>
    <cellStyle name="60% - Акцент4 2 20" xfId="2738"/>
    <cellStyle name="60% - Акцент4 2 21" xfId="2739"/>
    <cellStyle name="60% - Акцент4 2 22" xfId="2740"/>
    <cellStyle name="60% - Акцент4 2 23" xfId="2741"/>
    <cellStyle name="60% - Акцент4 2 24" xfId="2742"/>
    <cellStyle name="60% - Акцент4 2 25" xfId="2743"/>
    <cellStyle name="60% - Акцент4 2 26" xfId="2744"/>
    <cellStyle name="60% - Акцент4 2 27" xfId="2745"/>
    <cellStyle name="60% - Акцент4 2 28" xfId="2746"/>
    <cellStyle name="60% - Акцент4 2 29" xfId="2747"/>
    <cellStyle name="60% - Акцент4 2 3" xfId="2748"/>
    <cellStyle name="60% - Акцент4 2 30" xfId="2749"/>
    <cellStyle name="60% - Акцент4 2 31" xfId="2750"/>
    <cellStyle name="60% - Акцент4 2 32" xfId="2751"/>
    <cellStyle name="60% - Акцент4 2 33" xfId="2752"/>
    <cellStyle name="60% - Акцент4 2 34" xfId="2753"/>
    <cellStyle name="60% - Акцент4 2 35" xfId="2754"/>
    <cellStyle name="60% - Акцент4 2 36" xfId="2755"/>
    <cellStyle name="60% - Акцент4 2 4" xfId="2756"/>
    <cellStyle name="60% - Акцент4 2 5" xfId="2757"/>
    <cellStyle name="60% - Акцент4 2 6" xfId="2758"/>
    <cellStyle name="60% - Акцент4 2 7" xfId="2759"/>
    <cellStyle name="60% - Акцент4 2 8" xfId="2760"/>
    <cellStyle name="60% - Акцент4 2 9" xfId="2761"/>
    <cellStyle name="60% - Акцент4 20" xfId="2762"/>
    <cellStyle name="60% - Акцент4 20 2" xfId="2763"/>
    <cellStyle name="60% - Акцент4 20 3" xfId="2764"/>
    <cellStyle name="60% - Акцент4 20 4" xfId="2765"/>
    <cellStyle name="60% - Акцент4 21" xfId="2766"/>
    <cellStyle name="60% - Акцент4 21 2" xfId="2767"/>
    <cellStyle name="60% - Акцент4 21 3" xfId="2768"/>
    <cellStyle name="60% - Акцент4 21 4" xfId="2769"/>
    <cellStyle name="60% - Акцент4 22" xfId="2770"/>
    <cellStyle name="60% - Акцент4 22 2" xfId="2771"/>
    <cellStyle name="60% - Акцент4 22 3" xfId="2772"/>
    <cellStyle name="60% - Акцент4 22 4" xfId="2773"/>
    <cellStyle name="60% - Акцент4 23" xfId="2774"/>
    <cellStyle name="60% - Акцент4 24" xfId="2775"/>
    <cellStyle name="60% - Акцент4 25" xfId="2776"/>
    <cellStyle name="60% - Акцент4 26" xfId="2777"/>
    <cellStyle name="60% - Акцент4 27" xfId="2778"/>
    <cellStyle name="60% - Акцент4 28" xfId="2779"/>
    <cellStyle name="60% - Акцент4 29" xfId="2780"/>
    <cellStyle name="60% - Акцент4 3" xfId="2781"/>
    <cellStyle name="60% - Акцент4 4" xfId="2782"/>
    <cellStyle name="60% - Акцент4 5" xfId="2783"/>
    <cellStyle name="60% - Акцент4 6" xfId="2784"/>
    <cellStyle name="60% - Акцент4 7" xfId="2785"/>
    <cellStyle name="60% - Акцент4 8" xfId="2786"/>
    <cellStyle name="60% - Акцент4 9" xfId="2787"/>
    <cellStyle name="60% - Акцент5 10" xfId="2788"/>
    <cellStyle name="60% - Акцент5 11" xfId="2789"/>
    <cellStyle name="60% - Акцент5 12" xfId="2790"/>
    <cellStyle name="60% - Акцент5 13" xfId="2791"/>
    <cellStyle name="60% - Акцент5 14" xfId="2792"/>
    <cellStyle name="60% - Акцент5 15" xfId="2793"/>
    <cellStyle name="60% - Акцент5 15 2" xfId="2794"/>
    <cellStyle name="60% - Акцент5 16" xfId="2795"/>
    <cellStyle name="60% - Акцент5 16 2" xfId="2796"/>
    <cellStyle name="60% - Акцент5 17" xfId="2797"/>
    <cellStyle name="60% - Акцент5 17 2" xfId="2798"/>
    <cellStyle name="60% - Акцент5 18" xfId="2799"/>
    <cellStyle name="60% - Акцент5 18 2" xfId="2800"/>
    <cellStyle name="60% - Акцент5 19" xfId="2801"/>
    <cellStyle name="60% - Акцент5 2" xfId="2802"/>
    <cellStyle name="60% - Акцент5 2 10" xfId="2803"/>
    <cellStyle name="60% - Акцент5 2 11" xfId="2804"/>
    <cellStyle name="60% - Акцент5 2 12" xfId="2805"/>
    <cellStyle name="60% - Акцент5 2 13" xfId="2806"/>
    <cellStyle name="60% - Акцент5 2 14" xfId="2807"/>
    <cellStyle name="60% - Акцент5 2 15" xfId="2808"/>
    <cellStyle name="60% - Акцент5 2 16" xfId="2809"/>
    <cellStyle name="60% - Акцент5 2 17" xfId="2810"/>
    <cellStyle name="60% - Акцент5 2 18" xfId="2811"/>
    <cellStyle name="60% - Акцент5 2 19" xfId="2812"/>
    <cellStyle name="60% - Акцент5 2 2" xfId="2813"/>
    <cellStyle name="60% - Акцент5 2 20" xfId="2814"/>
    <cellStyle name="60% - Акцент5 2 21" xfId="2815"/>
    <cellStyle name="60% - Акцент5 2 22" xfId="2816"/>
    <cellStyle name="60% - Акцент5 2 23" xfId="2817"/>
    <cellStyle name="60% - Акцент5 2 24" xfId="2818"/>
    <cellStyle name="60% - Акцент5 2 25" xfId="2819"/>
    <cellStyle name="60% - Акцент5 2 26" xfId="2820"/>
    <cellStyle name="60% - Акцент5 2 27" xfId="2821"/>
    <cellStyle name="60% - Акцент5 2 28" xfId="2822"/>
    <cellStyle name="60% - Акцент5 2 29" xfId="2823"/>
    <cellStyle name="60% - Акцент5 2 3" xfId="2824"/>
    <cellStyle name="60% - Акцент5 2 30" xfId="2825"/>
    <cellStyle name="60% - Акцент5 2 31" xfId="2826"/>
    <cellStyle name="60% - Акцент5 2 32" xfId="2827"/>
    <cellStyle name="60% - Акцент5 2 33" xfId="2828"/>
    <cellStyle name="60% - Акцент5 2 34" xfId="2829"/>
    <cellStyle name="60% - Акцент5 2 35" xfId="2830"/>
    <cellStyle name="60% - Акцент5 2 36" xfId="2831"/>
    <cellStyle name="60% - Акцент5 2 4" xfId="2832"/>
    <cellStyle name="60% - Акцент5 2 5" xfId="2833"/>
    <cellStyle name="60% - Акцент5 2 6" xfId="2834"/>
    <cellStyle name="60% - Акцент5 2 7" xfId="2835"/>
    <cellStyle name="60% - Акцент5 2 8" xfId="2836"/>
    <cellStyle name="60% - Акцент5 2 9" xfId="2837"/>
    <cellStyle name="60% - Акцент5 20" xfId="2838"/>
    <cellStyle name="60% - Акцент5 20 2" xfId="2839"/>
    <cellStyle name="60% - Акцент5 20 3" xfId="2840"/>
    <cellStyle name="60% - Акцент5 20 4" xfId="2841"/>
    <cellStyle name="60% - Акцент5 21" xfId="2842"/>
    <cellStyle name="60% - Акцент5 21 2" xfId="2843"/>
    <cellStyle name="60% - Акцент5 21 3" xfId="2844"/>
    <cellStyle name="60% - Акцент5 21 4" xfId="2845"/>
    <cellStyle name="60% - Акцент5 22" xfId="2846"/>
    <cellStyle name="60% - Акцент5 22 2" xfId="2847"/>
    <cellStyle name="60% - Акцент5 22 3" xfId="2848"/>
    <cellStyle name="60% - Акцент5 22 4" xfId="2849"/>
    <cellStyle name="60% - Акцент5 23" xfId="2850"/>
    <cellStyle name="60% - Акцент5 24" xfId="2851"/>
    <cellStyle name="60% - Акцент5 25" xfId="2852"/>
    <cellStyle name="60% - Акцент5 26" xfId="2853"/>
    <cellStyle name="60% - Акцент5 27" xfId="2854"/>
    <cellStyle name="60% - Акцент5 28" xfId="2855"/>
    <cellStyle name="60% - Акцент5 29" xfId="2856"/>
    <cellStyle name="60% - Акцент5 3" xfId="2857"/>
    <cellStyle name="60% - Акцент5 4" xfId="2858"/>
    <cellStyle name="60% - Акцент5 5" xfId="2859"/>
    <cellStyle name="60% - Акцент5 6" xfId="2860"/>
    <cellStyle name="60% - Акцент5 7" xfId="2861"/>
    <cellStyle name="60% - Акцент5 8" xfId="2862"/>
    <cellStyle name="60% - Акцент5 9" xfId="2863"/>
    <cellStyle name="60% - Акцент6 10" xfId="2864"/>
    <cellStyle name="60% - Акцент6 11" xfId="2865"/>
    <cellStyle name="60% - Акцент6 12" xfId="2866"/>
    <cellStyle name="60% - Акцент6 13" xfId="2867"/>
    <cellStyle name="60% - Акцент6 14" xfId="2868"/>
    <cellStyle name="60% - Акцент6 15" xfId="2869"/>
    <cellStyle name="60% - Акцент6 15 2" xfId="2870"/>
    <cellStyle name="60% - Акцент6 16" xfId="2871"/>
    <cellStyle name="60% - Акцент6 16 2" xfId="2872"/>
    <cellStyle name="60% - Акцент6 17" xfId="2873"/>
    <cellStyle name="60% - Акцент6 17 2" xfId="2874"/>
    <cellStyle name="60% - Акцент6 18" xfId="2875"/>
    <cellStyle name="60% - Акцент6 18 2" xfId="2876"/>
    <cellStyle name="60% - Акцент6 19" xfId="2877"/>
    <cellStyle name="60% - Акцент6 2" xfId="2878"/>
    <cellStyle name="60% - Акцент6 2 10" xfId="2879"/>
    <cellStyle name="60% - Акцент6 2 11" xfId="2880"/>
    <cellStyle name="60% - Акцент6 2 12" xfId="2881"/>
    <cellStyle name="60% - Акцент6 2 13" xfId="2882"/>
    <cellStyle name="60% - Акцент6 2 14" xfId="2883"/>
    <cellStyle name="60% - Акцент6 2 15" xfId="2884"/>
    <cellStyle name="60% - Акцент6 2 16" xfId="2885"/>
    <cellStyle name="60% - Акцент6 2 17" xfId="2886"/>
    <cellStyle name="60% - Акцент6 2 18" xfId="2887"/>
    <cellStyle name="60% - Акцент6 2 19" xfId="2888"/>
    <cellStyle name="60% - Акцент6 2 2" xfId="2889"/>
    <cellStyle name="60% - Акцент6 2 20" xfId="2890"/>
    <cellStyle name="60% - Акцент6 2 21" xfId="2891"/>
    <cellStyle name="60% - Акцент6 2 22" xfId="2892"/>
    <cellStyle name="60% - Акцент6 2 23" xfId="2893"/>
    <cellStyle name="60% - Акцент6 2 24" xfId="2894"/>
    <cellStyle name="60% - Акцент6 2 25" xfId="2895"/>
    <cellStyle name="60% - Акцент6 2 26" xfId="2896"/>
    <cellStyle name="60% - Акцент6 2 27" xfId="2897"/>
    <cellStyle name="60% - Акцент6 2 28" xfId="2898"/>
    <cellStyle name="60% - Акцент6 2 29" xfId="2899"/>
    <cellStyle name="60% - Акцент6 2 3" xfId="2900"/>
    <cellStyle name="60% - Акцент6 2 30" xfId="2901"/>
    <cellStyle name="60% - Акцент6 2 31" xfId="2902"/>
    <cellStyle name="60% - Акцент6 2 32" xfId="2903"/>
    <cellStyle name="60% - Акцент6 2 33" xfId="2904"/>
    <cellStyle name="60% - Акцент6 2 34" xfId="2905"/>
    <cellStyle name="60% - Акцент6 2 35" xfId="2906"/>
    <cellStyle name="60% - Акцент6 2 36" xfId="2907"/>
    <cellStyle name="60% - Акцент6 2 4" xfId="2908"/>
    <cellStyle name="60% - Акцент6 2 5" xfId="2909"/>
    <cellStyle name="60% - Акцент6 2 6" xfId="2910"/>
    <cellStyle name="60% - Акцент6 2 7" xfId="2911"/>
    <cellStyle name="60% - Акцент6 2 8" xfId="2912"/>
    <cellStyle name="60% - Акцент6 2 9" xfId="2913"/>
    <cellStyle name="60% - Акцент6 20" xfId="2914"/>
    <cellStyle name="60% - Акцент6 20 2" xfId="2915"/>
    <cellStyle name="60% - Акцент6 20 3" xfId="2916"/>
    <cellStyle name="60% - Акцент6 20 4" xfId="2917"/>
    <cellStyle name="60% - Акцент6 21" xfId="2918"/>
    <cellStyle name="60% - Акцент6 21 2" xfId="2919"/>
    <cellStyle name="60% - Акцент6 21 3" xfId="2920"/>
    <cellStyle name="60% - Акцент6 21 4" xfId="2921"/>
    <cellStyle name="60% - Акцент6 22" xfId="2922"/>
    <cellStyle name="60% - Акцент6 22 2" xfId="2923"/>
    <cellStyle name="60% - Акцент6 22 3" xfId="2924"/>
    <cellStyle name="60% - Акцент6 22 4" xfId="2925"/>
    <cellStyle name="60% - Акцент6 23" xfId="2926"/>
    <cellStyle name="60% - Акцент6 24" xfId="2927"/>
    <cellStyle name="60% - Акцент6 25" xfId="2928"/>
    <cellStyle name="60% - Акцент6 26" xfId="2929"/>
    <cellStyle name="60% - Акцент6 27" xfId="2930"/>
    <cellStyle name="60% - Акцент6 28" xfId="2931"/>
    <cellStyle name="60% - Акцент6 29" xfId="2932"/>
    <cellStyle name="60% - Акцент6 3" xfId="2933"/>
    <cellStyle name="60% - Акцент6 4" xfId="2934"/>
    <cellStyle name="60% - Акцент6 5" xfId="2935"/>
    <cellStyle name="60% - Акцент6 6" xfId="2936"/>
    <cellStyle name="60% - Акцент6 7" xfId="2937"/>
    <cellStyle name="60% - Акцент6 8" xfId="2938"/>
    <cellStyle name="60% - Акцент6 9" xfId="2939"/>
    <cellStyle name="Accent1" xfId="22"/>
    <cellStyle name="Accent2" xfId="23"/>
    <cellStyle name="Accent3" xfId="24"/>
    <cellStyle name="Accent4" xfId="25"/>
    <cellStyle name="Accent5" xfId="26"/>
    <cellStyle name="Accent6" xfId="27"/>
    <cellStyle name="alternate" xfId="2940"/>
    <cellStyle name="Bad" xfId="28"/>
    <cellStyle name="Calculation" xfId="29"/>
    <cellStyle name="Check" xfId="2941"/>
    <cellStyle name="Check Cell" xfId="30"/>
    <cellStyle name="column - Style1" xfId="2942"/>
    <cellStyle name="Comma [0] 2" xfId="2943"/>
    <cellStyle name="Comma 2" xfId="2944"/>
    <cellStyle name="Comma0" xfId="2945"/>
    <cellStyle name="CS" xfId="2946"/>
    <cellStyle name="Date" xfId="2947"/>
    <cellStyle name="DateTime" xfId="2948"/>
    <cellStyle name="DateTime 10" xfId="2949"/>
    <cellStyle name="DateTime 11" xfId="2950"/>
    <cellStyle name="DateTime 12" xfId="2951"/>
    <cellStyle name="DateTime 13" xfId="2952"/>
    <cellStyle name="DateTime 14" xfId="2953"/>
    <cellStyle name="DateTime 15" xfId="2954"/>
    <cellStyle name="DateTime 16" xfId="2955"/>
    <cellStyle name="DateTime 17" xfId="2956"/>
    <cellStyle name="DateTime 18" xfId="2957"/>
    <cellStyle name="DateTime 19" xfId="2958"/>
    <cellStyle name="DateTime 2" xfId="2959"/>
    <cellStyle name="DateTime 20" xfId="2960"/>
    <cellStyle name="DateTime 21" xfId="2961"/>
    <cellStyle name="DateTime 22" xfId="2962"/>
    <cellStyle name="DateTime 23" xfId="2963"/>
    <cellStyle name="DateTime 24" xfId="2964"/>
    <cellStyle name="DateTime 25" xfId="2965"/>
    <cellStyle name="DateTime 26" xfId="2966"/>
    <cellStyle name="DateTime 27" xfId="2967"/>
    <cellStyle name="DateTime 28" xfId="2968"/>
    <cellStyle name="DateTime 29" xfId="2969"/>
    <cellStyle name="DateTime 3" xfId="2970"/>
    <cellStyle name="DateTime 30" xfId="2971"/>
    <cellStyle name="DateTime 31" xfId="2972"/>
    <cellStyle name="DateTime 32" xfId="2973"/>
    <cellStyle name="DateTime 33" xfId="2974"/>
    <cellStyle name="DateTime 34" xfId="2975"/>
    <cellStyle name="DateTime 35" xfId="2976"/>
    <cellStyle name="DateTime 36" xfId="2977"/>
    <cellStyle name="DateTime 37" xfId="2978"/>
    <cellStyle name="DateTime 38" xfId="2979"/>
    <cellStyle name="DateTime 39" xfId="2980"/>
    <cellStyle name="DateTime 4" xfId="2981"/>
    <cellStyle name="DateTime 40" xfId="2982"/>
    <cellStyle name="DateTime 41" xfId="2983"/>
    <cellStyle name="DateTime 42" xfId="2984"/>
    <cellStyle name="DateTime 43" xfId="2985"/>
    <cellStyle name="DateTime 44" xfId="2986"/>
    <cellStyle name="DateTime 45" xfId="2987"/>
    <cellStyle name="DateTime 46" xfId="2988"/>
    <cellStyle name="DateTime 47" xfId="2989"/>
    <cellStyle name="DateTime 48" xfId="2990"/>
    <cellStyle name="DateTime 49" xfId="2991"/>
    <cellStyle name="DateTime 5" xfId="2992"/>
    <cellStyle name="DateTime 50" xfId="2993"/>
    <cellStyle name="DateTime 51" xfId="2994"/>
    <cellStyle name="DateTime 52" xfId="2995"/>
    <cellStyle name="DateTime 53" xfId="2996"/>
    <cellStyle name="DateTime 54" xfId="2997"/>
    <cellStyle name="DateTime 55" xfId="2998"/>
    <cellStyle name="DateTime 56" xfId="2999"/>
    <cellStyle name="DateTime 57" xfId="3000"/>
    <cellStyle name="DateTime 58" xfId="3001"/>
    <cellStyle name="DateTime 59" xfId="3002"/>
    <cellStyle name="DateTime 6" xfId="3003"/>
    <cellStyle name="DateTime 60" xfId="3004"/>
    <cellStyle name="DateTime 61" xfId="3005"/>
    <cellStyle name="DateTime 62" xfId="3006"/>
    <cellStyle name="DateTime 63" xfId="3007"/>
    <cellStyle name="DateTime 64" xfId="3008"/>
    <cellStyle name="DateTime 65" xfId="3009"/>
    <cellStyle name="DateTime 66" xfId="3010"/>
    <cellStyle name="DateTime 67" xfId="3011"/>
    <cellStyle name="DateTime 68" xfId="3012"/>
    <cellStyle name="DateTime 69" xfId="3013"/>
    <cellStyle name="DateTime 7" xfId="3014"/>
    <cellStyle name="DateTime 70" xfId="3015"/>
    <cellStyle name="DateTime 71" xfId="3016"/>
    <cellStyle name="DateTime 72" xfId="3017"/>
    <cellStyle name="DateTime 73" xfId="3018"/>
    <cellStyle name="DateTime 74" xfId="3019"/>
    <cellStyle name="DateTime 75" xfId="3020"/>
    <cellStyle name="DateTime 76" xfId="3021"/>
    <cellStyle name="DateTime 77" xfId="3022"/>
    <cellStyle name="DateTime 78" xfId="3023"/>
    <cellStyle name="DateTime 79" xfId="3024"/>
    <cellStyle name="DateTime 8" xfId="3025"/>
    <cellStyle name="DateTime 80" xfId="3026"/>
    <cellStyle name="DateTime 81" xfId="3027"/>
    <cellStyle name="DateTime 82" xfId="3028"/>
    <cellStyle name="DateTime 83" xfId="3029"/>
    <cellStyle name="DateTime 84" xfId="3030"/>
    <cellStyle name="DateTime 85" xfId="3031"/>
    <cellStyle name="DateTime 86" xfId="3032"/>
    <cellStyle name="DateTime 9" xfId="3033"/>
    <cellStyle name="Deviant" xfId="3034"/>
    <cellStyle name="done" xfId="3035"/>
    <cellStyle name="Dziesiêtny [0]_1" xfId="3036"/>
    <cellStyle name="Dziesiêtny_1" xfId="3037"/>
    <cellStyle name="Euro" xfId="3038"/>
    <cellStyle name="Excel Built-in Excel Built-in Excel Built-in Excel Built-in Normal" xfId="3039"/>
    <cellStyle name="Excel Built-in Excel Built-in Excel Built-in Excel Built-in Normal 10" xfId="3040"/>
    <cellStyle name="Excel Built-in Excel Built-in Excel Built-in Excel Built-in Normal 11" xfId="3041"/>
    <cellStyle name="Excel Built-in Excel Built-in Excel Built-in Excel Built-in Normal 12" xfId="3042"/>
    <cellStyle name="Excel Built-in Excel Built-in Excel Built-in Excel Built-in Normal 13" xfId="3043"/>
    <cellStyle name="Excel Built-in Excel Built-in Excel Built-in Excel Built-in Normal 14" xfId="3044"/>
    <cellStyle name="Excel Built-in Excel Built-in Excel Built-in Excel Built-in Normal 15" xfId="3045"/>
    <cellStyle name="Excel Built-in Excel Built-in Excel Built-in Excel Built-in Normal 16" xfId="3046"/>
    <cellStyle name="Excel Built-in Excel Built-in Excel Built-in Excel Built-in Normal 17" xfId="3047"/>
    <cellStyle name="Excel Built-in Excel Built-in Excel Built-in Excel Built-in Normal 18" xfId="3048"/>
    <cellStyle name="Excel Built-in Excel Built-in Excel Built-in Excel Built-in Normal 19" xfId="3049"/>
    <cellStyle name="Excel Built-in Excel Built-in Excel Built-in Excel Built-in Normal 2" xfId="3050"/>
    <cellStyle name="Excel Built-in Excel Built-in Excel Built-in Excel Built-in Normal 20" xfId="3051"/>
    <cellStyle name="Excel Built-in Excel Built-in Excel Built-in Excel Built-in Normal 21" xfId="3052"/>
    <cellStyle name="Excel Built-in Excel Built-in Excel Built-in Excel Built-in Normal 22" xfId="3053"/>
    <cellStyle name="Excel Built-in Excel Built-in Excel Built-in Excel Built-in Normal 23" xfId="3054"/>
    <cellStyle name="Excel Built-in Excel Built-in Excel Built-in Excel Built-in Normal 24" xfId="3055"/>
    <cellStyle name="Excel Built-in Excel Built-in Excel Built-in Excel Built-in Normal 25" xfId="3056"/>
    <cellStyle name="Excel Built-in Excel Built-in Excel Built-in Excel Built-in Normal 26" xfId="3057"/>
    <cellStyle name="Excel Built-in Excel Built-in Excel Built-in Excel Built-in Normal 27" xfId="3058"/>
    <cellStyle name="Excel Built-in Excel Built-in Excel Built-in Excel Built-in Normal 28" xfId="3059"/>
    <cellStyle name="Excel Built-in Excel Built-in Excel Built-in Excel Built-in Normal 29" xfId="3060"/>
    <cellStyle name="Excel Built-in Excel Built-in Excel Built-in Excel Built-in Normal 3" xfId="3061"/>
    <cellStyle name="Excel Built-in Excel Built-in Excel Built-in Excel Built-in Normal 30" xfId="3062"/>
    <cellStyle name="Excel Built-in Excel Built-in Excel Built-in Excel Built-in Normal 31" xfId="3063"/>
    <cellStyle name="Excel Built-in Excel Built-in Excel Built-in Excel Built-in Normal 32" xfId="3064"/>
    <cellStyle name="Excel Built-in Excel Built-in Excel Built-in Excel Built-in Normal 33" xfId="3065"/>
    <cellStyle name="Excel Built-in Excel Built-in Excel Built-in Excel Built-in Normal 34" xfId="3066"/>
    <cellStyle name="Excel Built-in Excel Built-in Excel Built-in Excel Built-in Normal 35" xfId="3067"/>
    <cellStyle name="Excel Built-in Excel Built-in Excel Built-in Excel Built-in Normal 36" xfId="3068"/>
    <cellStyle name="Excel Built-in Excel Built-in Excel Built-in Excel Built-in Normal 37" xfId="3069"/>
    <cellStyle name="Excel Built-in Excel Built-in Excel Built-in Excel Built-in Normal 38" xfId="3070"/>
    <cellStyle name="Excel Built-in Excel Built-in Excel Built-in Excel Built-in Normal 39" xfId="3071"/>
    <cellStyle name="Excel Built-in Excel Built-in Excel Built-in Excel Built-in Normal 4" xfId="3072"/>
    <cellStyle name="Excel Built-in Excel Built-in Excel Built-in Excel Built-in Normal 40" xfId="3073"/>
    <cellStyle name="Excel Built-in Excel Built-in Excel Built-in Excel Built-in Normal 41" xfId="3074"/>
    <cellStyle name="Excel Built-in Excel Built-in Excel Built-in Excel Built-in Normal 42" xfId="3075"/>
    <cellStyle name="Excel Built-in Excel Built-in Excel Built-in Excel Built-in Normal 43" xfId="3076"/>
    <cellStyle name="Excel Built-in Excel Built-in Excel Built-in Excel Built-in Normal 44" xfId="3077"/>
    <cellStyle name="Excel Built-in Excel Built-in Excel Built-in Excel Built-in Normal 45" xfId="3078"/>
    <cellStyle name="Excel Built-in Excel Built-in Excel Built-in Excel Built-in Normal 46" xfId="3079"/>
    <cellStyle name="Excel Built-in Excel Built-in Excel Built-in Excel Built-in Normal 47" xfId="3080"/>
    <cellStyle name="Excel Built-in Excel Built-in Excel Built-in Excel Built-in Normal 48" xfId="3081"/>
    <cellStyle name="Excel Built-in Excel Built-in Excel Built-in Excel Built-in Normal 49" xfId="3082"/>
    <cellStyle name="Excel Built-in Excel Built-in Excel Built-in Excel Built-in Normal 5" xfId="3083"/>
    <cellStyle name="Excel Built-in Excel Built-in Excel Built-in Excel Built-in Normal 50" xfId="3084"/>
    <cellStyle name="Excel Built-in Excel Built-in Excel Built-in Excel Built-in Normal 51" xfId="3085"/>
    <cellStyle name="Excel Built-in Excel Built-in Excel Built-in Excel Built-in Normal 52" xfId="3086"/>
    <cellStyle name="Excel Built-in Excel Built-in Excel Built-in Excel Built-in Normal 53" xfId="3087"/>
    <cellStyle name="Excel Built-in Excel Built-in Excel Built-in Excel Built-in Normal 54" xfId="3088"/>
    <cellStyle name="Excel Built-in Excel Built-in Excel Built-in Excel Built-in Normal 55" xfId="3089"/>
    <cellStyle name="Excel Built-in Excel Built-in Excel Built-in Excel Built-in Normal 56" xfId="3090"/>
    <cellStyle name="Excel Built-in Excel Built-in Excel Built-in Excel Built-in Normal 57" xfId="3091"/>
    <cellStyle name="Excel Built-in Excel Built-in Excel Built-in Excel Built-in Normal 58" xfId="3092"/>
    <cellStyle name="Excel Built-in Excel Built-in Excel Built-in Excel Built-in Normal 59" xfId="3093"/>
    <cellStyle name="Excel Built-in Excel Built-in Excel Built-in Excel Built-in Normal 6" xfId="3094"/>
    <cellStyle name="Excel Built-in Excel Built-in Excel Built-in Excel Built-in Normal 60" xfId="3095"/>
    <cellStyle name="Excel Built-in Excel Built-in Excel Built-in Excel Built-in Normal 61" xfId="3096"/>
    <cellStyle name="Excel Built-in Excel Built-in Excel Built-in Excel Built-in Normal 62" xfId="3097"/>
    <cellStyle name="Excel Built-in Excel Built-in Excel Built-in Excel Built-in Normal 63" xfId="3098"/>
    <cellStyle name="Excel Built-in Excel Built-in Excel Built-in Excel Built-in Normal 64" xfId="3099"/>
    <cellStyle name="Excel Built-in Excel Built-in Excel Built-in Excel Built-in Normal 65" xfId="3100"/>
    <cellStyle name="Excel Built-in Excel Built-in Excel Built-in Excel Built-in Normal 66" xfId="3101"/>
    <cellStyle name="Excel Built-in Excel Built-in Excel Built-in Excel Built-in Normal 67" xfId="3102"/>
    <cellStyle name="Excel Built-in Excel Built-in Excel Built-in Excel Built-in Normal 68" xfId="3103"/>
    <cellStyle name="Excel Built-in Excel Built-in Excel Built-in Excel Built-in Normal 69" xfId="3104"/>
    <cellStyle name="Excel Built-in Excel Built-in Excel Built-in Excel Built-in Normal 7" xfId="3105"/>
    <cellStyle name="Excel Built-in Excel Built-in Excel Built-in Excel Built-in Normal 70" xfId="3106"/>
    <cellStyle name="Excel Built-in Excel Built-in Excel Built-in Excel Built-in Normal 71" xfId="3107"/>
    <cellStyle name="Excel Built-in Excel Built-in Excel Built-in Excel Built-in Normal 72" xfId="3108"/>
    <cellStyle name="Excel Built-in Excel Built-in Excel Built-in Excel Built-in Normal 73" xfId="3109"/>
    <cellStyle name="Excel Built-in Excel Built-in Excel Built-in Excel Built-in Normal 74" xfId="3110"/>
    <cellStyle name="Excel Built-in Excel Built-in Excel Built-in Excel Built-in Normal 75" xfId="3111"/>
    <cellStyle name="Excel Built-in Excel Built-in Excel Built-in Excel Built-in Normal 76" xfId="3112"/>
    <cellStyle name="Excel Built-in Excel Built-in Excel Built-in Excel Built-in Normal 77" xfId="3113"/>
    <cellStyle name="Excel Built-in Excel Built-in Excel Built-in Excel Built-in Normal 78" xfId="3114"/>
    <cellStyle name="Excel Built-in Excel Built-in Excel Built-in Excel Built-in Normal 79" xfId="3115"/>
    <cellStyle name="Excel Built-in Excel Built-in Excel Built-in Excel Built-in Normal 8" xfId="3116"/>
    <cellStyle name="Excel Built-in Excel Built-in Excel Built-in Excel Built-in Normal 80" xfId="3117"/>
    <cellStyle name="Excel Built-in Excel Built-in Excel Built-in Excel Built-in Normal 81" xfId="3118"/>
    <cellStyle name="Excel Built-in Excel Built-in Excel Built-in Excel Built-in Normal 82" xfId="3119"/>
    <cellStyle name="Excel Built-in Excel Built-in Excel Built-in Excel Built-in Normal 83" xfId="3120"/>
    <cellStyle name="Excel Built-in Excel Built-in Excel Built-in Excel Built-in Normal 84" xfId="3121"/>
    <cellStyle name="Excel Built-in Excel Built-in Excel Built-in Excel Built-in Normal 85" xfId="3122"/>
    <cellStyle name="Excel Built-in Excel Built-in Excel Built-in Excel Built-in Normal 86" xfId="3123"/>
    <cellStyle name="Excel Built-in Excel Built-in Excel Built-in Excel Built-in Normal 9" xfId="3124"/>
    <cellStyle name="Excel Built-in Normal" xfId="31"/>
    <cellStyle name="Excel Built-in Normal 10" xfId="3125"/>
    <cellStyle name="Excel Built-in Normal 11" xfId="3126"/>
    <cellStyle name="Excel Built-in Normal 12" xfId="3127"/>
    <cellStyle name="Excel Built-in Normal 13" xfId="3128"/>
    <cellStyle name="Excel Built-in Normal 14" xfId="3129"/>
    <cellStyle name="Excel Built-in Normal 15" xfId="3130"/>
    <cellStyle name="Excel Built-in Normal 16" xfId="3131"/>
    <cellStyle name="Excel Built-in Normal 17" xfId="3132"/>
    <cellStyle name="Excel Built-in Normal 18" xfId="3133"/>
    <cellStyle name="Excel Built-in Normal 19" xfId="3134"/>
    <cellStyle name="Excel Built-in Normal 2" xfId="3135"/>
    <cellStyle name="Excel Built-in Normal 20" xfId="3136"/>
    <cellStyle name="Excel Built-in Normal 21" xfId="3137"/>
    <cellStyle name="Excel Built-in Normal 22" xfId="3138"/>
    <cellStyle name="Excel Built-in Normal 23" xfId="3139"/>
    <cellStyle name="Excel Built-in Normal 24" xfId="3140"/>
    <cellStyle name="Excel Built-in Normal 25" xfId="3141"/>
    <cellStyle name="Excel Built-in Normal 26" xfId="3142"/>
    <cellStyle name="Excel Built-in Normal 27" xfId="3143"/>
    <cellStyle name="Excel Built-in Normal 28" xfId="3144"/>
    <cellStyle name="Excel Built-in Normal 29" xfId="3145"/>
    <cellStyle name="Excel Built-in Normal 3" xfId="3146"/>
    <cellStyle name="Excel Built-in Normal 30" xfId="3147"/>
    <cellStyle name="Excel Built-in Normal 31" xfId="3148"/>
    <cellStyle name="Excel Built-in Normal 32" xfId="3149"/>
    <cellStyle name="Excel Built-in Normal 33" xfId="3150"/>
    <cellStyle name="Excel Built-in Normal 34" xfId="3151"/>
    <cellStyle name="Excel Built-in Normal 35" xfId="3152"/>
    <cellStyle name="Excel Built-in Normal 36" xfId="3153"/>
    <cellStyle name="Excel Built-in Normal 37" xfId="3154"/>
    <cellStyle name="Excel Built-in Normal 38" xfId="3155"/>
    <cellStyle name="Excel Built-in Normal 39" xfId="3156"/>
    <cellStyle name="Excel Built-in Normal 4" xfId="3157"/>
    <cellStyle name="Excel Built-in Normal 40" xfId="3158"/>
    <cellStyle name="Excel Built-in Normal 41" xfId="3159"/>
    <cellStyle name="Excel Built-in Normal 42" xfId="3160"/>
    <cellStyle name="Excel Built-in Normal 43" xfId="3161"/>
    <cellStyle name="Excel Built-in Normal 44" xfId="3162"/>
    <cellStyle name="Excel Built-in Normal 45" xfId="3163"/>
    <cellStyle name="Excel Built-in Normal 46" xfId="3164"/>
    <cellStyle name="Excel Built-in Normal 47" xfId="3165"/>
    <cellStyle name="Excel Built-in Normal 48" xfId="3166"/>
    <cellStyle name="Excel Built-in Normal 49" xfId="3167"/>
    <cellStyle name="Excel Built-in Normal 5" xfId="3168"/>
    <cellStyle name="Excel Built-in Normal 50" xfId="3169"/>
    <cellStyle name="Excel Built-in Normal 51" xfId="3170"/>
    <cellStyle name="Excel Built-in Normal 52" xfId="3171"/>
    <cellStyle name="Excel Built-in Normal 53" xfId="3172"/>
    <cellStyle name="Excel Built-in Normal 54" xfId="3173"/>
    <cellStyle name="Excel Built-in Normal 55" xfId="3174"/>
    <cellStyle name="Excel Built-in Normal 56" xfId="3175"/>
    <cellStyle name="Excel Built-in Normal 57" xfId="3176"/>
    <cellStyle name="Excel Built-in Normal 58" xfId="3177"/>
    <cellStyle name="Excel Built-in Normal 59" xfId="3178"/>
    <cellStyle name="Excel Built-in Normal 6" xfId="3179"/>
    <cellStyle name="Excel Built-in Normal 60" xfId="3180"/>
    <cellStyle name="Excel Built-in Normal 61" xfId="3181"/>
    <cellStyle name="Excel Built-in Normal 62" xfId="3182"/>
    <cellStyle name="Excel Built-in Normal 63" xfId="3183"/>
    <cellStyle name="Excel Built-in Normal 64" xfId="3184"/>
    <cellStyle name="Excel Built-in Normal 65" xfId="3185"/>
    <cellStyle name="Excel Built-in Normal 66" xfId="3186"/>
    <cellStyle name="Excel Built-in Normal 67" xfId="3187"/>
    <cellStyle name="Excel Built-in Normal 68" xfId="3188"/>
    <cellStyle name="Excel Built-in Normal 69" xfId="3189"/>
    <cellStyle name="Excel Built-in Normal 7" xfId="3190"/>
    <cellStyle name="Excel Built-in Normal 70" xfId="3191"/>
    <cellStyle name="Excel Built-in Normal 71" xfId="3192"/>
    <cellStyle name="Excel Built-in Normal 72" xfId="3193"/>
    <cellStyle name="Excel Built-in Normal 73" xfId="3194"/>
    <cellStyle name="Excel Built-in Normal 74" xfId="3195"/>
    <cellStyle name="Excel Built-in Normal 75" xfId="3196"/>
    <cellStyle name="Excel Built-in Normal 76" xfId="3197"/>
    <cellStyle name="Excel Built-in Normal 77" xfId="3198"/>
    <cellStyle name="Excel Built-in Normal 78" xfId="3199"/>
    <cellStyle name="Excel Built-in Normal 79" xfId="3200"/>
    <cellStyle name="Excel Built-in Normal 8" xfId="3201"/>
    <cellStyle name="Excel Built-in Normal 80" xfId="3202"/>
    <cellStyle name="Excel Built-in Normal 81" xfId="3203"/>
    <cellStyle name="Excel Built-in Normal 82" xfId="3204"/>
    <cellStyle name="Excel Built-in Normal 83" xfId="3205"/>
    <cellStyle name="Excel Built-in Normal 84" xfId="3206"/>
    <cellStyle name="Excel Built-in Normal 85" xfId="3207"/>
    <cellStyle name="Excel Built-in Normal 86" xfId="3208"/>
    <cellStyle name="Excel Built-in Normal 87" xfId="3209"/>
    <cellStyle name="Excel Built-in Normal 88" xfId="3210"/>
    <cellStyle name="Excel Built-in Normal 9" xfId="3211"/>
    <cellStyle name="Explanatory Text" xfId="32"/>
    <cellStyle name="Factor" xfId="3212"/>
    <cellStyle name="Fig" xfId="3213"/>
    <cellStyle name="From" xfId="3214"/>
    <cellStyle name="Good" xfId="33"/>
    <cellStyle name="Grey" xfId="3215"/>
    <cellStyle name="Header1" xfId="3216"/>
    <cellStyle name="Header2" xfId="3217"/>
    <cellStyle name="Heading 1" xfId="34"/>
    <cellStyle name="Heading 2" xfId="35"/>
    <cellStyle name="Heading 3" xfId="36"/>
    <cellStyle name="Heading 4" xfId="37"/>
    <cellStyle name="Iau?iue_Сводная таблица по Согре  " xfId="38"/>
    <cellStyle name="Input" xfId="39"/>
    <cellStyle name="Input [yellow]" xfId="3218"/>
    <cellStyle name="Linked Cell" xfId="40"/>
    <cellStyle name="MarketRates" xfId="3219"/>
    <cellStyle name="Milliers_couts operatoires totaux" xfId="3220"/>
    <cellStyle name="Monétaire [0]_couts operatoires totaux" xfId="3221"/>
    <cellStyle name="Neutral" xfId="41"/>
    <cellStyle name="Normal - Style1" xfId="3222"/>
    <cellStyle name="Normal - Style1 10" xfId="3223"/>
    <cellStyle name="Normal - Style1 11" xfId="3224"/>
    <cellStyle name="Normal - Style1 12" xfId="3225"/>
    <cellStyle name="Normal - Style1 13" xfId="3226"/>
    <cellStyle name="Normal - Style1 14" xfId="3227"/>
    <cellStyle name="Normal - Style1 15" xfId="3228"/>
    <cellStyle name="Normal - Style1 16" xfId="3229"/>
    <cellStyle name="Normal - Style1 17" xfId="3230"/>
    <cellStyle name="Normal - Style1 18" xfId="3231"/>
    <cellStyle name="Normal - Style1 19" xfId="3232"/>
    <cellStyle name="Normal - Style1 2" xfId="3233"/>
    <cellStyle name="Normal - Style1 20" xfId="3234"/>
    <cellStyle name="Normal - Style1 21" xfId="3235"/>
    <cellStyle name="Normal - Style1 22" xfId="3236"/>
    <cellStyle name="Normal - Style1 23" xfId="3237"/>
    <cellStyle name="Normal - Style1 24" xfId="3238"/>
    <cellStyle name="Normal - Style1 25" xfId="3239"/>
    <cellStyle name="Normal - Style1 26" xfId="3240"/>
    <cellStyle name="Normal - Style1 27" xfId="3241"/>
    <cellStyle name="Normal - Style1 28" xfId="3242"/>
    <cellStyle name="Normal - Style1 29" xfId="3243"/>
    <cellStyle name="Normal - Style1 3" xfId="3244"/>
    <cellStyle name="Normal - Style1 30" xfId="3245"/>
    <cellStyle name="Normal - Style1 31" xfId="3246"/>
    <cellStyle name="Normal - Style1 32" xfId="3247"/>
    <cellStyle name="Normal - Style1 33" xfId="3248"/>
    <cellStyle name="Normal - Style1 34" xfId="3249"/>
    <cellStyle name="Normal - Style1 35" xfId="3250"/>
    <cellStyle name="Normal - Style1 36" xfId="3251"/>
    <cellStyle name="Normal - Style1 37" xfId="3252"/>
    <cellStyle name="Normal - Style1 38" xfId="3253"/>
    <cellStyle name="Normal - Style1 39" xfId="3254"/>
    <cellStyle name="Normal - Style1 4" xfId="3255"/>
    <cellStyle name="Normal - Style1 40" xfId="3256"/>
    <cellStyle name="Normal - Style1 41" xfId="3257"/>
    <cellStyle name="Normal - Style1 42" xfId="3258"/>
    <cellStyle name="Normal - Style1 43" xfId="3259"/>
    <cellStyle name="Normal - Style1 44" xfId="3260"/>
    <cellStyle name="Normal - Style1 45" xfId="3261"/>
    <cellStyle name="Normal - Style1 46" xfId="3262"/>
    <cellStyle name="Normal - Style1 47" xfId="3263"/>
    <cellStyle name="Normal - Style1 48" xfId="3264"/>
    <cellStyle name="Normal - Style1 49" xfId="3265"/>
    <cellStyle name="Normal - Style1 5" xfId="3266"/>
    <cellStyle name="Normal - Style1 50" xfId="3267"/>
    <cellStyle name="Normal - Style1 51" xfId="3268"/>
    <cellStyle name="Normal - Style1 52" xfId="3269"/>
    <cellStyle name="Normal - Style1 53" xfId="3270"/>
    <cellStyle name="Normal - Style1 54" xfId="3271"/>
    <cellStyle name="Normal - Style1 55" xfId="3272"/>
    <cellStyle name="Normal - Style1 56" xfId="3273"/>
    <cellStyle name="Normal - Style1 57" xfId="3274"/>
    <cellStyle name="Normal - Style1 58" xfId="3275"/>
    <cellStyle name="Normal - Style1 59" xfId="3276"/>
    <cellStyle name="Normal - Style1 6" xfId="3277"/>
    <cellStyle name="Normal - Style1 60" xfId="3278"/>
    <cellStyle name="Normal - Style1 61" xfId="3279"/>
    <cellStyle name="Normal - Style1 62" xfId="3280"/>
    <cellStyle name="Normal - Style1 63" xfId="3281"/>
    <cellStyle name="Normal - Style1 64" xfId="3282"/>
    <cellStyle name="Normal - Style1 65" xfId="3283"/>
    <cellStyle name="Normal - Style1 66" xfId="3284"/>
    <cellStyle name="Normal - Style1 67" xfId="3285"/>
    <cellStyle name="Normal - Style1 68" xfId="3286"/>
    <cellStyle name="Normal - Style1 69" xfId="3287"/>
    <cellStyle name="Normal - Style1 7" xfId="3288"/>
    <cellStyle name="Normal - Style1 70" xfId="3289"/>
    <cellStyle name="Normal - Style1 71" xfId="3290"/>
    <cellStyle name="Normal - Style1 72" xfId="3291"/>
    <cellStyle name="Normal - Style1 73" xfId="3292"/>
    <cellStyle name="Normal - Style1 74" xfId="3293"/>
    <cellStyle name="Normal - Style1 75" xfId="3294"/>
    <cellStyle name="Normal - Style1 76" xfId="3295"/>
    <cellStyle name="Normal - Style1 77" xfId="3296"/>
    <cellStyle name="Normal - Style1 78" xfId="3297"/>
    <cellStyle name="Normal - Style1 79" xfId="3298"/>
    <cellStyle name="Normal - Style1 8" xfId="3299"/>
    <cellStyle name="Normal - Style1 80" xfId="3300"/>
    <cellStyle name="Normal - Style1 81" xfId="3301"/>
    <cellStyle name="Normal - Style1 82" xfId="3302"/>
    <cellStyle name="Normal - Style1 83" xfId="3303"/>
    <cellStyle name="Normal - Style1 84" xfId="3304"/>
    <cellStyle name="Normal - Style1 85" xfId="3305"/>
    <cellStyle name="Normal - Style1 86" xfId="3306"/>
    <cellStyle name="Normal - Style1 9" xfId="3307"/>
    <cellStyle name="Normal 2" xfId="3308"/>
    <cellStyle name="Normal 2 2" xfId="32661"/>
    <cellStyle name="Normal 3" xfId="3309"/>
    <cellStyle name="Normal_Discount rate_REstate" xfId="3310"/>
    <cellStyle name="normální_Rozvaha - aktiva" xfId="3311"/>
    <cellStyle name="Normalny_0" xfId="3312"/>
    <cellStyle name="normбlnм_laroux" xfId="3313"/>
    <cellStyle name="Note" xfId="42"/>
    <cellStyle name="Output" xfId="43"/>
    <cellStyle name="Percent [2]" xfId="3314"/>
    <cellStyle name="Percent [2] 10" xfId="3315"/>
    <cellStyle name="Percent [2] 11" xfId="3316"/>
    <cellStyle name="Percent [2] 12" xfId="3317"/>
    <cellStyle name="Percent [2] 13" xfId="3318"/>
    <cellStyle name="Percent [2] 14" xfId="3319"/>
    <cellStyle name="Percent [2] 15" xfId="3320"/>
    <cellStyle name="Percent [2] 16" xfId="3321"/>
    <cellStyle name="Percent [2] 17" xfId="3322"/>
    <cellStyle name="Percent [2] 18" xfId="3323"/>
    <cellStyle name="Percent [2] 19" xfId="3324"/>
    <cellStyle name="Percent [2] 2" xfId="3325"/>
    <cellStyle name="Percent [2] 20" xfId="3326"/>
    <cellStyle name="Percent [2] 21" xfId="3327"/>
    <cellStyle name="Percent [2] 22" xfId="3328"/>
    <cellStyle name="Percent [2] 23" xfId="3329"/>
    <cellStyle name="Percent [2] 24" xfId="3330"/>
    <cellStyle name="Percent [2] 25" xfId="3331"/>
    <cellStyle name="Percent [2] 26" xfId="3332"/>
    <cellStyle name="Percent [2] 27" xfId="3333"/>
    <cellStyle name="Percent [2] 28" xfId="3334"/>
    <cellStyle name="Percent [2] 29" xfId="3335"/>
    <cellStyle name="Percent [2] 3" xfId="3336"/>
    <cellStyle name="Percent [2] 30" xfId="3337"/>
    <cellStyle name="Percent [2] 31" xfId="3338"/>
    <cellStyle name="Percent [2] 32" xfId="3339"/>
    <cellStyle name="Percent [2] 33" xfId="3340"/>
    <cellStyle name="Percent [2] 34" xfId="3341"/>
    <cellStyle name="Percent [2] 35" xfId="3342"/>
    <cellStyle name="Percent [2] 36" xfId="3343"/>
    <cellStyle name="Percent [2] 37" xfId="3344"/>
    <cellStyle name="Percent [2] 38" xfId="3345"/>
    <cellStyle name="Percent [2] 39" xfId="3346"/>
    <cellStyle name="Percent [2] 4" xfId="3347"/>
    <cellStyle name="Percent [2] 40" xfId="3348"/>
    <cellStyle name="Percent [2] 41" xfId="3349"/>
    <cellStyle name="Percent [2] 42" xfId="3350"/>
    <cellStyle name="Percent [2] 43" xfId="3351"/>
    <cellStyle name="Percent [2] 44" xfId="3352"/>
    <cellStyle name="Percent [2] 45" xfId="3353"/>
    <cellStyle name="Percent [2] 46" xfId="3354"/>
    <cellStyle name="Percent [2] 47" xfId="3355"/>
    <cellStyle name="Percent [2] 48" xfId="3356"/>
    <cellStyle name="Percent [2] 49" xfId="3357"/>
    <cellStyle name="Percent [2] 5" xfId="3358"/>
    <cellStyle name="Percent [2] 50" xfId="3359"/>
    <cellStyle name="Percent [2] 51" xfId="3360"/>
    <cellStyle name="Percent [2] 52" xfId="3361"/>
    <cellStyle name="Percent [2] 53" xfId="3362"/>
    <cellStyle name="Percent [2] 54" xfId="3363"/>
    <cellStyle name="Percent [2] 55" xfId="3364"/>
    <cellStyle name="Percent [2] 56" xfId="3365"/>
    <cellStyle name="Percent [2] 57" xfId="3366"/>
    <cellStyle name="Percent [2] 58" xfId="3367"/>
    <cellStyle name="Percent [2] 59" xfId="3368"/>
    <cellStyle name="Percent [2] 6" xfId="3369"/>
    <cellStyle name="Percent [2] 60" xfId="3370"/>
    <cellStyle name="Percent [2] 61" xfId="3371"/>
    <cellStyle name="Percent [2] 62" xfId="3372"/>
    <cellStyle name="Percent [2] 63" xfId="3373"/>
    <cellStyle name="Percent [2] 64" xfId="3374"/>
    <cellStyle name="Percent [2] 65" xfId="3375"/>
    <cellStyle name="Percent [2] 66" xfId="3376"/>
    <cellStyle name="Percent [2] 67" xfId="3377"/>
    <cellStyle name="Percent [2] 68" xfId="3378"/>
    <cellStyle name="Percent [2] 69" xfId="3379"/>
    <cellStyle name="Percent [2] 7" xfId="3380"/>
    <cellStyle name="Percent [2] 70" xfId="3381"/>
    <cellStyle name="Percent [2] 71" xfId="3382"/>
    <cellStyle name="Percent [2] 72" xfId="3383"/>
    <cellStyle name="Percent [2] 73" xfId="3384"/>
    <cellStyle name="Percent [2] 74" xfId="3385"/>
    <cellStyle name="Percent [2] 75" xfId="3386"/>
    <cellStyle name="Percent [2] 76" xfId="3387"/>
    <cellStyle name="Percent [2] 77" xfId="3388"/>
    <cellStyle name="Percent [2] 78" xfId="3389"/>
    <cellStyle name="Percent [2] 79" xfId="3390"/>
    <cellStyle name="Percent [2] 8" xfId="3391"/>
    <cellStyle name="Percent [2] 80" xfId="3392"/>
    <cellStyle name="Percent [2] 81" xfId="3393"/>
    <cellStyle name="Percent [2] 82" xfId="3394"/>
    <cellStyle name="Percent [2] 83" xfId="3395"/>
    <cellStyle name="Percent [2] 84" xfId="3396"/>
    <cellStyle name="Percent [2] 85" xfId="3397"/>
    <cellStyle name="Percent [2] 86" xfId="3398"/>
    <cellStyle name="Percent [2] 9" xfId="3399"/>
    <cellStyle name="Percent 2" xfId="3400"/>
    <cellStyle name="Pick Up" xfId="3401"/>
    <cellStyle name="Price" xfId="3402"/>
    <cellStyle name="Rows - Style2" xfId="3403"/>
    <cellStyle name="S%" xfId="3404"/>
    <cellStyle name="SAPBEXchaText" xfId="44"/>
    <cellStyle name="SComment" xfId="3405"/>
    <cellStyle name="SFig" xfId="3406"/>
    <cellStyle name="Sg%" xfId="3407"/>
    <cellStyle name="SI%" xfId="3408"/>
    <cellStyle name="Sname" xfId="3409"/>
    <cellStyle name="SPerc" xfId="3410"/>
    <cellStyle name="Stitle" xfId="3411"/>
    <cellStyle name="Ston" xfId="3412"/>
    <cellStyle name="Style 1" xfId="3413"/>
    <cellStyle name="Style 21" xfId="3414"/>
    <cellStyle name="Style 21 10" xfId="3415"/>
    <cellStyle name="Style 21 11" xfId="3416"/>
    <cellStyle name="Style 21 12" xfId="3417"/>
    <cellStyle name="Style 21 13" xfId="3418"/>
    <cellStyle name="Style 21 14" xfId="3419"/>
    <cellStyle name="Style 21 15" xfId="3420"/>
    <cellStyle name="Style 21 16" xfId="3421"/>
    <cellStyle name="Style 21 17" xfId="3422"/>
    <cellStyle name="Style 21 18" xfId="3423"/>
    <cellStyle name="Style 21 19" xfId="3424"/>
    <cellStyle name="Style 21 2" xfId="3425"/>
    <cellStyle name="Style 21 20" xfId="3426"/>
    <cellStyle name="Style 21 21" xfId="3427"/>
    <cellStyle name="Style 21 22" xfId="3428"/>
    <cellStyle name="Style 21 23" xfId="3429"/>
    <cellStyle name="Style 21 24" xfId="3430"/>
    <cellStyle name="Style 21 25" xfId="3431"/>
    <cellStyle name="Style 21 26" xfId="3432"/>
    <cellStyle name="Style 21 27" xfId="3433"/>
    <cellStyle name="Style 21 28" xfId="3434"/>
    <cellStyle name="Style 21 29" xfId="3435"/>
    <cellStyle name="Style 21 3" xfId="3436"/>
    <cellStyle name="Style 21 30" xfId="3437"/>
    <cellStyle name="Style 21 31" xfId="3438"/>
    <cellStyle name="Style 21 32" xfId="3439"/>
    <cellStyle name="Style 21 33" xfId="3440"/>
    <cellStyle name="Style 21 34" xfId="3441"/>
    <cellStyle name="Style 21 35" xfId="3442"/>
    <cellStyle name="Style 21 36" xfId="3443"/>
    <cellStyle name="Style 21 37" xfId="3444"/>
    <cellStyle name="Style 21 38" xfId="3445"/>
    <cellStyle name="Style 21 39" xfId="3446"/>
    <cellStyle name="Style 21 4" xfId="3447"/>
    <cellStyle name="Style 21 40" xfId="3448"/>
    <cellStyle name="Style 21 41" xfId="3449"/>
    <cellStyle name="Style 21 42" xfId="3450"/>
    <cellStyle name="Style 21 43" xfId="3451"/>
    <cellStyle name="Style 21 44" xfId="3452"/>
    <cellStyle name="Style 21 45" xfId="3453"/>
    <cellStyle name="Style 21 46" xfId="3454"/>
    <cellStyle name="Style 21 47" xfId="3455"/>
    <cellStyle name="Style 21 48" xfId="3456"/>
    <cellStyle name="Style 21 49" xfId="3457"/>
    <cellStyle name="Style 21 5" xfId="3458"/>
    <cellStyle name="Style 21 50" xfId="3459"/>
    <cellStyle name="Style 21 51" xfId="3460"/>
    <cellStyle name="Style 21 52" xfId="3461"/>
    <cellStyle name="Style 21 53" xfId="3462"/>
    <cellStyle name="Style 21 54" xfId="3463"/>
    <cellStyle name="Style 21 55" xfId="3464"/>
    <cellStyle name="Style 21 56" xfId="3465"/>
    <cellStyle name="Style 21 57" xfId="3466"/>
    <cellStyle name="Style 21 58" xfId="3467"/>
    <cellStyle name="Style 21 59" xfId="3468"/>
    <cellStyle name="Style 21 6" xfId="3469"/>
    <cellStyle name="Style 21 60" xfId="3470"/>
    <cellStyle name="Style 21 61" xfId="3471"/>
    <cellStyle name="Style 21 62" xfId="3472"/>
    <cellStyle name="Style 21 63" xfId="3473"/>
    <cellStyle name="Style 21 64" xfId="3474"/>
    <cellStyle name="Style 21 65" xfId="3475"/>
    <cellStyle name="Style 21 66" xfId="3476"/>
    <cellStyle name="Style 21 67" xfId="3477"/>
    <cellStyle name="Style 21 68" xfId="3478"/>
    <cellStyle name="Style 21 69" xfId="3479"/>
    <cellStyle name="Style 21 7" xfId="3480"/>
    <cellStyle name="Style 21 70" xfId="3481"/>
    <cellStyle name="Style 21 71" xfId="3482"/>
    <cellStyle name="Style 21 72" xfId="3483"/>
    <cellStyle name="Style 21 73" xfId="3484"/>
    <cellStyle name="Style 21 74" xfId="3485"/>
    <cellStyle name="Style 21 75" xfId="3486"/>
    <cellStyle name="Style 21 76" xfId="3487"/>
    <cellStyle name="Style 21 77" xfId="3488"/>
    <cellStyle name="Style 21 78" xfId="3489"/>
    <cellStyle name="Style 21 79" xfId="3490"/>
    <cellStyle name="Style 21 8" xfId="3491"/>
    <cellStyle name="Style 21 80" xfId="3492"/>
    <cellStyle name="Style 21 81" xfId="3493"/>
    <cellStyle name="Style 21 82" xfId="3494"/>
    <cellStyle name="Style 21 83" xfId="3495"/>
    <cellStyle name="Style 21 84" xfId="3496"/>
    <cellStyle name="Style 21 85" xfId="3497"/>
    <cellStyle name="Style 21 86" xfId="3498"/>
    <cellStyle name="Style 21 9" xfId="3499"/>
    <cellStyle name="Style 22" xfId="3500"/>
    <cellStyle name="Style 22 10" xfId="3501"/>
    <cellStyle name="Style 22 11" xfId="3502"/>
    <cellStyle name="Style 22 12" xfId="3503"/>
    <cellStyle name="Style 22 13" xfId="3504"/>
    <cellStyle name="Style 22 14" xfId="3505"/>
    <cellStyle name="Style 22 15" xfId="3506"/>
    <cellStyle name="Style 22 16" xfId="3507"/>
    <cellStyle name="Style 22 17" xfId="3508"/>
    <cellStyle name="Style 22 18" xfId="3509"/>
    <cellStyle name="Style 22 19" xfId="3510"/>
    <cellStyle name="Style 22 2" xfId="3511"/>
    <cellStyle name="Style 22 20" xfId="3512"/>
    <cellStyle name="Style 22 21" xfId="3513"/>
    <cellStyle name="Style 22 22" xfId="3514"/>
    <cellStyle name="Style 22 23" xfId="3515"/>
    <cellStyle name="Style 22 24" xfId="3516"/>
    <cellStyle name="Style 22 25" xfId="3517"/>
    <cellStyle name="Style 22 26" xfId="3518"/>
    <cellStyle name="Style 22 27" xfId="3519"/>
    <cellStyle name="Style 22 28" xfId="3520"/>
    <cellStyle name="Style 22 29" xfId="3521"/>
    <cellStyle name="Style 22 3" xfId="3522"/>
    <cellStyle name="Style 22 30" xfId="3523"/>
    <cellStyle name="Style 22 31" xfId="3524"/>
    <cellStyle name="Style 22 32" xfId="3525"/>
    <cellStyle name="Style 22 33" xfId="3526"/>
    <cellStyle name="Style 22 34" xfId="3527"/>
    <cellStyle name="Style 22 35" xfId="3528"/>
    <cellStyle name="Style 22 36" xfId="3529"/>
    <cellStyle name="Style 22 37" xfId="3530"/>
    <cellStyle name="Style 22 38" xfId="3531"/>
    <cellStyle name="Style 22 39" xfId="3532"/>
    <cellStyle name="Style 22 4" xfId="3533"/>
    <cellStyle name="Style 22 40" xfId="3534"/>
    <cellStyle name="Style 22 41" xfId="3535"/>
    <cellStyle name="Style 22 42" xfId="3536"/>
    <cellStyle name="Style 22 43" xfId="3537"/>
    <cellStyle name="Style 22 44" xfId="3538"/>
    <cellStyle name="Style 22 45" xfId="3539"/>
    <cellStyle name="Style 22 46" xfId="3540"/>
    <cellStyle name="Style 22 47" xfId="3541"/>
    <cellStyle name="Style 22 48" xfId="3542"/>
    <cellStyle name="Style 22 49" xfId="3543"/>
    <cellStyle name="Style 22 5" xfId="3544"/>
    <cellStyle name="Style 22 50" xfId="3545"/>
    <cellStyle name="Style 22 51" xfId="3546"/>
    <cellStyle name="Style 22 52" xfId="3547"/>
    <cellStyle name="Style 22 53" xfId="3548"/>
    <cellStyle name="Style 22 54" xfId="3549"/>
    <cellStyle name="Style 22 55" xfId="3550"/>
    <cellStyle name="Style 22 56" xfId="3551"/>
    <cellStyle name="Style 22 57" xfId="3552"/>
    <cellStyle name="Style 22 58" xfId="3553"/>
    <cellStyle name="Style 22 59" xfId="3554"/>
    <cellStyle name="Style 22 6" xfId="3555"/>
    <cellStyle name="Style 22 60" xfId="3556"/>
    <cellStyle name="Style 22 61" xfId="3557"/>
    <cellStyle name="Style 22 62" xfId="3558"/>
    <cellStyle name="Style 22 63" xfId="3559"/>
    <cellStyle name="Style 22 64" xfId="3560"/>
    <cellStyle name="Style 22 65" xfId="3561"/>
    <cellStyle name="Style 22 66" xfId="3562"/>
    <cellStyle name="Style 22 67" xfId="3563"/>
    <cellStyle name="Style 22 68" xfId="3564"/>
    <cellStyle name="Style 22 69" xfId="3565"/>
    <cellStyle name="Style 22 7" xfId="3566"/>
    <cellStyle name="Style 22 70" xfId="3567"/>
    <cellStyle name="Style 22 71" xfId="3568"/>
    <cellStyle name="Style 22 72" xfId="3569"/>
    <cellStyle name="Style 22 73" xfId="3570"/>
    <cellStyle name="Style 22 74" xfId="3571"/>
    <cellStyle name="Style 22 75" xfId="3572"/>
    <cellStyle name="Style 22 76" xfId="3573"/>
    <cellStyle name="Style 22 77" xfId="3574"/>
    <cellStyle name="Style 22 78" xfId="3575"/>
    <cellStyle name="Style 22 79" xfId="3576"/>
    <cellStyle name="Style 22 8" xfId="3577"/>
    <cellStyle name="Style 22 80" xfId="3578"/>
    <cellStyle name="Style 22 81" xfId="3579"/>
    <cellStyle name="Style 22 82" xfId="3580"/>
    <cellStyle name="Style 22 83" xfId="3581"/>
    <cellStyle name="Style 22 84" xfId="3582"/>
    <cellStyle name="Style 22 85" xfId="3583"/>
    <cellStyle name="Style 22 86" xfId="3584"/>
    <cellStyle name="Style 22 9" xfId="3585"/>
    <cellStyle name="Style 23" xfId="3586"/>
    <cellStyle name="Style 23 10" xfId="3587"/>
    <cellStyle name="Style 23 11" xfId="3588"/>
    <cellStyle name="Style 23 12" xfId="3589"/>
    <cellStyle name="Style 23 13" xfId="3590"/>
    <cellStyle name="Style 23 14" xfId="3591"/>
    <cellStyle name="Style 23 15" xfId="3592"/>
    <cellStyle name="Style 23 16" xfId="3593"/>
    <cellStyle name="Style 23 17" xfId="3594"/>
    <cellStyle name="Style 23 18" xfId="3595"/>
    <cellStyle name="Style 23 19" xfId="3596"/>
    <cellStyle name="Style 23 2" xfId="3597"/>
    <cellStyle name="Style 23 20" xfId="3598"/>
    <cellStyle name="Style 23 21" xfId="3599"/>
    <cellStyle name="Style 23 22" xfId="3600"/>
    <cellStyle name="Style 23 23" xfId="3601"/>
    <cellStyle name="Style 23 24" xfId="3602"/>
    <cellStyle name="Style 23 25" xfId="3603"/>
    <cellStyle name="Style 23 26" xfId="3604"/>
    <cellStyle name="Style 23 27" xfId="3605"/>
    <cellStyle name="Style 23 28" xfId="3606"/>
    <cellStyle name="Style 23 29" xfId="3607"/>
    <cellStyle name="Style 23 3" xfId="3608"/>
    <cellStyle name="Style 23 30" xfId="3609"/>
    <cellStyle name="Style 23 31" xfId="3610"/>
    <cellStyle name="Style 23 32" xfId="3611"/>
    <cellStyle name="Style 23 33" xfId="3612"/>
    <cellStyle name="Style 23 34" xfId="3613"/>
    <cellStyle name="Style 23 35" xfId="3614"/>
    <cellStyle name="Style 23 36" xfId="3615"/>
    <cellStyle name="Style 23 37" xfId="3616"/>
    <cellStyle name="Style 23 38" xfId="3617"/>
    <cellStyle name="Style 23 39" xfId="3618"/>
    <cellStyle name="Style 23 4" xfId="3619"/>
    <cellStyle name="Style 23 40" xfId="3620"/>
    <cellStyle name="Style 23 41" xfId="3621"/>
    <cellStyle name="Style 23 42" xfId="3622"/>
    <cellStyle name="Style 23 43" xfId="3623"/>
    <cellStyle name="Style 23 44" xfId="3624"/>
    <cellStyle name="Style 23 45" xfId="3625"/>
    <cellStyle name="Style 23 46" xfId="3626"/>
    <cellStyle name="Style 23 47" xfId="3627"/>
    <cellStyle name="Style 23 48" xfId="3628"/>
    <cellStyle name="Style 23 49" xfId="3629"/>
    <cellStyle name="Style 23 5" xfId="3630"/>
    <cellStyle name="Style 23 50" xfId="3631"/>
    <cellStyle name="Style 23 51" xfId="3632"/>
    <cellStyle name="Style 23 52" xfId="3633"/>
    <cellStyle name="Style 23 53" xfId="3634"/>
    <cellStyle name="Style 23 54" xfId="3635"/>
    <cellStyle name="Style 23 55" xfId="3636"/>
    <cellStyle name="Style 23 56" xfId="3637"/>
    <cellStyle name="Style 23 57" xfId="3638"/>
    <cellStyle name="Style 23 58" xfId="3639"/>
    <cellStyle name="Style 23 59" xfId="3640"/>
    <cellStyle name="Style 23 6" xfId="3641"/>
    <cellStyle name="Style 23 60" xfId="3642"/>
    <cellStyle name="Style 23 61" xfId="3643"/>
    <cellStyle name="Style 23 62" xfId="3644"/>
    <cellStyle name="Style 23 63" xfId="3645"/>
    <cellStyle name="Style 23 64" xfId="3646"/>
    <cellStyle name="Style 23 65" xfId="3647"/>
    <cellStyle name="Style 23 66" xfId="3648"/>
    <cellStyle name="Style 23 67" xfId="3649"/>
    <cellStyle name="Style 23 68" xfId="3650"/>
    <cellStyle name="Style 23 69" xfId="3651"/>
    <cellStyle name="Style 23 7" xfId="3652"/>
    <cellStyle name="Style 23 70" xfId="3653"/>
    <cellStyle name="Style 23 71" xfId="3654"/>
    <cellStyle name="Style 23 72" xfId="3655"/>
    <cellStyle name="Style 23 73" xfId="3656"/>
    <cellStyle name="Style 23 74" xfId="3657"/>
    <cellStyle name="Style 23 75" xfId="3658"/>
    <cellStyle name="Style 23 76" xfId="3659"/>
    <cellStyle name="Style 23 77" xfId="3660"/>
    <cellStyle name="Style 23 78" xfId="3661"/>
    <cellStyle name="Style 23 79" xfId="3662"/>
    <cellStyle name="Style 23 8" xfId="3663"/>
    <cellStyle name="Style 23 80" xfId="3664"/>
    <cellStyle name="Style 23 81" xfId="3665"/>
    <cellStyle name="Style 23 82" xfId="3666"/>
    <cellStyle name="Style 23 83" xfId="3667"/>
    <cellStyle name="Style 23 84" xfId="3668"/>
    <cellStyle name="Style 23 85" xfId="3669"/>
    <cellStyle name="Style 23 86" xfId="3670"/>
    <cellStyle name="Style 23 9" xfId="3671"/>
    <cellStyle name="Style 24" xfId="3672"/>
    <cellStyle name="Style 24 10" xfId="3673"/>
    <cellStyle name="Style 24 11" xfId="3674"/>
    <cellStyle name="Style 24 12" xfId="3675"/>
    <cellStyle name="Style 24 13" xfId="3676"/>
    <cellStyle name="Style 24 14" xfId="3677"/>
    <cellStyle name="Style 24 15" xfId="3678"/>
    <cellStyle name="Style 24 16" xfId="3679"/>
    <cellStyle name="Style 24 17" xfId="3680"/>
    <cellStyle name="Style 24 18" xfId="3681"/>
    <cellStyle name="Style 24 19" xfId="3682"/>
    <cellStyle name="Style 24 2" xfId="3683"/>
    <cellStyle name="Style 24 20" xfId="3684"/>
    <cellStyle name="Style 24 21" xfId="3685"/>
    <cellStyle name="Style 24 22" xfId="3686"/>
    <cellStyle name="Style 24 23" xfId="3687"/>
    <cellStyle name="Style 24 24" xfId="3688"/>
    <cellStyle name="Style 24 25" xfId="3689"/>
    <cellStyle name="Style 24 26" xfId="3690"/>
    <cellStyle name="Style 24 27" xfId="3691"/>
    <cellStyle name="Style 24 28" xfId="3692"/>
    <cellStyle name="Style 24 29" xfId="3693"/>
    <cellStyle name="Style 24 3" xfId="3694"/>
    <cellStyle name="Style 24 30" xfId="3695"/>
    <cellStyle name="Style 24 31" xfId="3696"/>
    <cellStyle name="Style 24 32" xfId="3697"/>
    <cellStyle name="Style 24 33" xfId="3698"/>
    <cellStyle name="Style 24 34" xfId="3699"/>
    <cellStyle name="Style 24 35" xfId="3700"/>
    <cellStyle name="Style 24 36" xfId="3701"/>
    <cellStyle name="Style 24 37" xfId="3702"/>
    <cellStyle name="Style 24 38" xfId="3703"/>
    <cellStyle name="Style 24 39" xfId="3704"/>
    <cellStyle name="Style 24 4" xfId="3705"/>
    <cellStyle name="Style 24 40" xfId="3706"/>
    <cellStyle name="Style 24 41" xfId="3707"/>
    <cellStyle name="Style 24 42" xfId="3708"/>
    <cellStyle name="Style 24 43" xfId="3709"/>
    <cellStyle name="Style 24 44" xfId="3710"/>
    <cellStyle name="Style 24 45" xfId="3711"/>
    <cellStyle name="Style 24 46" xfId="3712"/>
    <cellStyle name="Style 24 47" xfId="3713"/>
    <cellStyle name="Style 24 48" xfId="3714"/>
    <cellStyle name="Style 24 49" xfId="3715"/>
    <cellStyle name="Style 24 5" xfId="3716"/>
    <cellStyle name="Style 24 50" xfId="3717"/>
    <cellStyle name="Style 24 51" xfId="3718"/>
    <cellStyle name="Style 24 52" xfId="3719"/>
    <cellStyle name="Style 24 53" xfId="3720"/>
    <cellStyle name="Style 24 54" xfId="3721"/>
    <cellStyle name="Style 24 55" xfId="3722"/>
    <cellStyle name="Style 24 56" xfId="3723"/>
    <cellStyle name="Style 24 57" xfId="3724"/>
    <cellStyle name="Style 24 58" xfId="3725"/>
    <cellStyle name="Style 24 59" xfId="3726"/>
    <cellStyle name="Style 24 6" xfId="3727"/>
    <cellStyle name="Style 24 60" xfId="3728"/>
    <cellStyle name="Style 24 61" xfId="3729"/>
    <cellStyle name="Style 24 62" xfId="3730"/>
    <cellStyle name="Style 24 63" xfId="3731"/>
    <cellStyle name="Style 24 64" xfId="3732"/>
    <cellStyle name="Style 24 65" xfId="3733"/>
    <cellStyle name="Style 24 66" xfId="3734"/>
    <cellStyle name="Style 24 67" xfId="3735"/>
    <cellStyle name="Style 24 68" xfId="3736"/>
    <cellStyle name="Style 24 69" xfId="3737"/>
    <cellStyle name="Style 24 7" xfId="3738"/>
    <cellStyle name="Style 24 70" xfId="3739"/>
    <cellStyle name="Style 24 71" xfId="3740"/>
    <cellStyle name="Style 24 72" xfId="3741"/>
    <cellStyle name="Style 24 73" xfId="3742"/>
    <cellStyle name="Style 24 74" xfId="3743"/>
    <cellStyle name="Style 24 75" xfId="3744"/>
    <cellStyle name="Style 24 76" xfId="3745"/>
    <cellStyle name="Style 24 77" xfId="3746"/>
    <cellStyle name="Style 24 78" xfId="3747"/>
    <cellStyle name="Style 24 79" xfId="3748"/>
    <cellStyle name="Style 24 8" xfId="3749"/>
    <cellStyle name="Style 24 80" xfId="3750"/>
    <cellStyle name="Style 24 81" xfId="3751"/>
    <cellStyle name="Style 24 82" xfId="3752"/>
    <cellStyle name="Style 24 83" xfId="3753"/>
    <cellStyle name="Style 24 84" xfId="3754"/>
    <cellStyle name="Style 24 85" xfId="3755"/>
    <cellStyle name="Style 24 86" xfId="3756"/>
    <cellStyle name="Style 24 9" xfId="3757"/>
    <cellStyle name="Style 25" xfId="3758"/>
    <cellStyle name="Style 25 10" xfId="3759"/>
    <cellStyle name="Style 25 11" xfId="3760"/>
    <cellStyle name="Style 25 12" xfId="3761"/>
    <cellStyle name="Style 25 13" xfId="3762"/>
    <cellStyle name="Style 25 14" xfId="3763"/>
    <cellStyle name="Style 25 15" xfId="3764"/>
    <cellStyle name="Style 25 16" xfId="3765"/>
    <cellStyle name="Style 25 17" xfId="3766"/>
    <cellStyle name="Style 25 18" xfId="3767"/>
    <cellStyle name="Style 25 19" xfId="3768"/>
    <cellStyle name="Style 25 2" xfId="3769"/>
    <cellStyle name="Style 25 20" xfId="3770"/>
    <cellStyle name="Style 25 21" xfId="3771"/>
    <cellStyle name="Style 25 22" xfId="3772"/>
    <cellStyle name="Style 25 23" xfId="3773"/>
    <cellStyle name="Style 25 24" xfId="3774"/>
    <cellStyle name="Style 25 25" xfId="3775"/>
    <cellStyle name="Style 25 26" xfId="3776"/>
    <cellStyle name="Style 25 27" xfId="3777"/>
    <cellStyle name="Style 25 28" xfId="3778"/>
    <cellStyle name="Style 25 29" xfId="3779"/>
    <cellStyle name="Style 25 3" xfId="3780"/>
    <cellStyle name="Style 25 30" xfId="3781"/>
    <cellStyle name="Style 25 31" xfId="3782"/>
    <cellStyle name="Style 25 32" xfId="3783"/>
    <cellStyle name="Style 25 33" xfId="3784"/>
    <cellStyle name="Style 25 34" xfId="3785"/>
    <cellStyle name="Style 25 35" xfId="3786"/>
    <cellStyle name="Style 25 36" xfId="3787"/>
    <cellStyle name="Style 25 37" xfId="3788"/>
    <cellStyle name="Style 25 38" xfId="3789"/>
    <cellStyle name="Style 25 39" xfId="3790"/>
    <cellStyle name="Style 25 4" xfId="3791"/>
    <cellStyle name="Style 25 40" xfId="3792"/>
    <cellStyle name="Style 25 41" xfId="3793"/>
    <cellStyle name="Style 25 42" xfId="3794"/>
    <cellStyle name="Style 25 43" xfId="3795"/>
    <cellStyle name="Style 25 44" xfId="3796"/>
    <cellStyle name="Style 25 45" xfId="3797"/>
    <cellStyle name="Style 25 46" xfId="3798"/>
    <cellStyle name="Style 25 47" xfId="3799"/>
    <cellStyle name="Style 25 48" xfId="3800"/>
    <cellStyle name="Style 25 49" xfId="3801"/>
    <cellStyle name="Style 25 5" xfId="3802"/>
    <cellStyle name="Style 25 50" xfId="3803"/>
    <cellStyle name="Style 25 51" xfId="3804"/>
    <cellStyle name="Style 25 52" xfId="3805"/>
    <cellStyle name="Style 25 53" xfId="3806"/>
    <cellStyle name="Style 25 54" xfId="3807"/>
    <cellStyle name="Style 25 55" xfId="3808"/>
    <cellStyle name="Style 25 56" xfId="3809"/>
    <cellStyle name="Style 25 57" xfId="3810"/>
    <cellStyle name="Style 25 58" xfId="3811"/>
    <cellStyle name="Style 25 59" xfId="3812"/>
    <cellStyle name="Style 25 6" xfId="3813"/>
    <cellStyle name="Style 25 60" xfId="3814"/>
    <cellStyle name="Style 25 61" xfId="3815"/>
    <cellStyle name="Style 25 62" xfId="3816"/>
    <cellStyle name="Style 25 63" xfId="3817"/>
    <cellStyle name="Style 25 64" xfId="3818"/>
    <cellStyle name="Style 25 65" xfId="3819"/>
    <cellStyle name="Style 25 66" xfId="3820"/>
    <cellStyle name="Style 25 67" xfId="3821"/>
    <cellStyle name="Style 25 68" xfId="3822"/>
    <cellStyle name="Style 25 69" xfId="3823"/>
    <cellStyle name="Style 25 7" xfId="3824"/>
    <cellStyle name="Style 25 70" xfId="3825"/>
    <cellStyle name="Style 25 71" xfId="3826"/>
    <cellStyle name="Style 25 72" xfId="3827"/>
    <cellStyle name="Style 25 73" xfId="3828"/>
    <cellStyle name="Style 25 74" xfId="3829"/>
    <cellStyle name="Style 25 75" xfId="3830"/>
    <cellStyle name="Style 25 76" xfId="3831"/>
    <cellStyle name="Style 25 77" xfId="3832"/>
    <cellStyle name="Style 25 78" xfId="3833"/>
    <cellStyle name="Style 25 79" xfId="3834"/>
    <cellStyle name="Style 25 8" xfId="3835"/>
    <cellStyle name="Style 25 80" xfId="3836"/>
    <cellStyle name="Style 25 81" xfId="3837"/>
    <cellStyle name="Style 25 82" xfId="3838"/>
    <cellStyle name="Style 25 83" xfId="3839"/>
    <cellStyle name="Style 25 84" xfId="3840"/>
    <cellStyle name="Style 25 85" xfId="3841"/>
    <cellStyle name="Style 25 86" xfId="3842"/>
    <cellStyle name="Style 25 9" xfId="3843"/>
    <cellStyle name="Style 26" xfId="3844"/>
    <cellStyle name="Style 26 10" xfId="3845"/>
    <cellStyle name="Style 26 11" xfId="3846"/>
    <cellStyle name="Style 26 12" xfId="3847"/>
    <cellStyle name="Style 26 13" xfId="3848"/>
    <cellStyle name="Style 26 14" xfId="3849"/>
    <cellStyle name="Style 26 15" xfId="3850"/>
    <cellStyle name="Style 26 16" xfId="3851"/>
    <cellStyle name="Style 26 17" xfId="3852"/>
    <cellStyle name="Style 26 18" xfId="3853"/>
    <cellStyle name="Style 26 19" xfId="3854"/>
    <cellStyle name="Style 26 2" xfId="3855"/>
    <cellStyle name="Style 26 20" xfId="3856"/>
    <cellStyle name="Style 26 21" xfId="3857"/>
    <cellStyle name="Style 26 22" xfId="3858"/>
    <cellStyle name="Style 26 23" xfId="3859"/>
    <cellStyle name="Style 26 24" xfId="3860"/>
    <cellStyle name="Style 26 25" xfId="3861"/>
    <cellStyle name="Style 26 26" xfId="3862"/>
    <cellStyle name="Style 26 27" xfId="3863"/>
    <cellStyle name="Style 26 28" xfId="3864"/>
    <cellStyle name="Style 26 29" xfId="3865"/>
    <cellStyle name="Style 26 3" xfId="3866"/>
    <cellStyle name="Style 26 30" xfId="3867"/>
    <cellStyle name="Style 26 31" xfId="3868"/>
    <cellStyle name="Style 26 32" xfId="3869"/>
    <cellStyle name="Style 26 33" xfId="3870"/>
    <cellStyle name="Style 26 34" xfId="3871"/>
    <cellStyle name="Style 26 35" xfId="3872"/>
    <cellStyle name="Style 26 36" xfId="3873"/>
    <cellStyle name="Style 26 37" xfId="3874"/>
    <cellStyle name="Style 26 38" xfId="3875"/>
    <cellStyle name="Style 26 39" xfId="3876"/>
    <cellStyle name="Style 26 4" xfId="3877"/>
    <cellStyle name="Style 26 40" xfId="3878"/>
    <cellStyle name="Style 26 41" xfId="3879"/>
    <cellStyle name="Style 26 42" xfId="3880"/>
    <cellStyle name="Style 26 43" xfId="3881"/>
    <cellStyle name="Style 26 44" xfId="3882"/>
    <cellStyle name="Style 26 45" xfId="3883"/>
    <cellStyle name="Style 26 46" xfId="3884"/>
    <cellStyle name="Style 26 47" xfId="3885"/>
    <cellStyle name="Style 26 48" xfId="3886"/>
    <cellStyle name="Style 26 49" xfId="3887"/>
    <cellStyle name="Style 26 5" xfId="3888"/>
    <cellStyle name="Style 26 50" xfId="3889"/>
    <cellStyle name="Style 26 51" xfId="3890"/>
    <cellStyle name="Style 26 52" xfId="3891"/>
    <cellStyle name="Style 26 53" xfId="3892"/>
    <cellStyle name="Style 26 54" xfId="3893"/>
    <cellStyle name="Style 26 55" xfId="3894"/>
    <cellStyle name="Style 26 56" xfId="3895"/>
    <cellStyle name="Style 26 57" xfId="3896"/>
    <cellStyle name="Style 26 58" xfId="3897"/>
    <cellStyle name="Style 26 59" xfId="3898"/>
    <cellStyle name="Style 26 6" xfId="3899"/>
    <cellStyle name="Style 26 60" xfId="3900"/>
    <cellStyle name="Style 26 61" xfId="3901"/>
    <cellStyle name="Style 26 62" xfId="3902"/>
    <cellStyle name="Style 26 63" xfId="3903"/>
    <cellStyle name="Style 26 64" xfId="3904"/>
    <cellStyle name="Style 26 65" xfId="3905"/>
    <cellStyle name="Style 26 66" xfId="3906"/>
    <cellStyle name="Style 26 67" xfId="3907"/>
    <cellStyle name="Style 26 68" xfId="3908"/>
    <cellStyle name="Style 26 69" xfId="3909"/>
    <cellStyle name="Style 26 7" xfId="3910"/>
    <cellStyle name="Style 26 70" xfId="3911"/>
    <cellStyle name="Style 26 71" xfId="3912"/>
    <cellStyle name="Style 26 72" xfId="3913"/>
    <cellStyle name="Style 26 73" xfId="3914"/>
    <cellStyle name="Style 26 74" xfId="3915"/>
    <cellStyle name="Style 26 75" xfId="3916"/>
    <cellStyle name="Style 26 76" xfId="3917"/>
    <cellStyle name="Style 26 77" xfId="3918"/>
    <cellStyle name="Style 26 78" xfId="3919"/>
    <cellStyle name="Style 26 79" xfId="3920"/>
    <cellStyle name="Style 26 8" xfId="3921"/>
    <cellStyle name="Style 26 80" xfId="3922"/>
    <cellStyle name="Style 26 81" xfId="3923"/>
    <cellStyle name="Style 26 82" xfId="3924"/>
    <cellStyle name="Style 26 83" xfId="3925"/>
    <cellStyle name="Style 26 84" xfId="3926"/>
    <cellStyle name="Style 26 85" xfId="3927"/>
    <cellStyle name="Style 26 86" xfId="3928"/>
    <cellStyle name="Style 26 9" xfId="3929"/>
    <cellStyle name="Style 27" xfId="3930"/>
    <cellStyle name="Style 27 10" xfId="3931"/>
    <cellStyle name="Style 27 11" xfId="3932"/>
    <cellStyle name="Style 27 12" xfId="3933"/>
    <cellStyle name="Style 27 13" xfId="3934"/>
    <cellStyle name="Style 27 14" xfId="3935"/>
    <cellStyle name="Style 27 15" xfId="3936"/>
    <cellStyle name="Style 27 16" xfId="3937"/>
    <cellStyle name="Style 27 17" xfId="3938"/>
    <cellStyle name="Style 27 18" xfId="3939"/>
    <cellStyle name="Style 27 19" xfId="3940"/>
    <cellStyle name="Style 27 2" xfId="3941"/>
    <cellStyle name="Style 27 20" xfId="3942"/>
    <cellStyle name="Style 27 21" xfId="3943"/>
    <cellStyle name="Style 27 22" xfId="3944"/>
    <cellStyle name="Style 27 23" xfId="3945"/>
    <cellStyle name="Style 27 24" xfId="3946"/>
    <cellStyle name="Style 27 25" xfId="3947"/>
    <cellStyle name="Style 27 26" xfId="3948"/>
    <cellStyle name="Style 27 27" xfId="3949"/>
    <cellStyle name="Style 27 28" xfId="3950"/>
    <cellStyle name="Style 27 29" xfId="3951"/>
    <cellStyle name="Style 27 3" xfId="3952"/>
    <cellStyle name="Style 27 30" xfId="3953"/>
    <cellStyle name="Style 27 31" xfId="3954"/>
    <cellStyle name="Style 27 32" xfId="3955"/>
    <cellStyle name="Style 27 33" xfId="3956"/>
    <cellStyle name="Style 27 34" xfId="3957"/>
    <cellStyle name="Style 27 35" xfId="3958"/>
    <cellStyle name="Style 27 36" xfId="3959"/>
    <cellStyle name="Style 27 37" xfId="3960"/>
    <cellStyle name="Style 27 38" xfId="3961"/>
    <cellStyle name="Style 27 39" xfId="3962"/>
    <cellStyle name="Style 27 4" xfId="3963"/>
    <cellStyle name="Style 27 40" xfId="3964"/>
    <cellStyle name="Style 27 41" xfId="3965"/>
    <cellStyle name="Style 27 42" xfId="3966"/>
    <cellStyle name="Style 27 43" xfId="3967"/>
    <cellStyle name="Style 27 44" xfId="3968"/>
    <cellStyle name="Style 27 45" xfId="3969"/>
    <cellStyle name="Style 27 46" xfId="3970"/>
    <cellStyle name="Style 27 47" xfId="3971"/>
    <cellStyle name="Style 27 48" xfId="3972"/>
    <cellStyle name="Style 27 49" xfId="3973"/>
    <cellStyle name="Style 27 5" xfId="3974"/>
    <cellStyle name="Style 27 50" xfId="3975"/>
    <cellStyle name="Style 27 51" xfId="3976"/>
    <cellStyle name="Style 27 52" xfId="3977"/>
    <cellStyle name="Style 27 53" xfId="3978"/>
    <cellStyle name="Style 27 54" xfId="3979"/>
    <cellStyle name="Style 27 55" xfId="3980"/>
    <cellStyle name="Style 27 56" xfId="3981"/>
    <cellStyle name="Style 27 57" xfId="3982"/>
    <cellStyle name="Style 27 58" xfId="3983"/>
    <cellStyle name="Style 27 59" xfId="3984"/>
    <cellStyle name="Style 27 6" xfId="3985"/>
    <cellStyle name="Style 27 60" xfId="3986"/>
    <cellStyle name="Style 27 61" xfId="3987"/>
    <cellStyle name="Style 27 62" xfId="3988"/>
    <cellStyle name="Style 27 63" xfId="3989"/>
    <cellStyle name="Style 27 64" xfId="3990"/>
    <cellStyle name="Style 27 65" xfId="3991"/>
    <cellStyle name="Style 27 66" xfId="3992"/>
    <cellStyle name="Style 27 67" xfId="3993"/>
    <cellStyle name="Style 27 68" xfId="3994"/>
    <cellStyle name="Style 27 69" xfId="3995"/>
    <cellStyle name="Style 27 7" xfId="3996"/>
    <cellStyle name="Style 27 70" xfId="3997"/>
    <cellStyle name="Style 27 71" xfId="3998"/>
    <cellStyle name="Style 27 72" xfId="3999"/>
    <cellStyle name="Style 27 73" xfId="4000"/>
    <cellStyle name="Style 27 74" xfId="4001"/>
    <cellStyle name="Style 27 75" xfId="4002"/>
    <cellStyle name="Style 27 76" xfId="4003"/>
    <cellStyle name="Style 27 77" xfId="4004"/>
    <cellStyle name="Style 27 78" xfId="4005"/>
    <cellStyle name="Style 27 79" xfId="4006"/>
    <cellStyle name="Style 27 8" xfId="4007"/>
    <cellStyle name="Style 27 80" xfId="4008"/>
    <cellStyle name="Style 27 81" xfId="4009"/>
    <cellStyle name="Style 27 82" xfId="4010"/>
    <cellStyle name="Style 27 83" xfId="4011"/>
    <cellStyle name="Style 27 84" xfId="4012"/>
    <cellStyle name="Style 27 85" xfId="4013"/>
    <cellStyle name="Style 27 86" xfId="4014"/>
    <cellStyle name="Style 27 9" xfId="4015"/>
    <cellStyle name="Style 28" xfId="4016"/>
    <cellStyle name="Style 28 10" xfId="4017"/>
    <cellStyle name="Style 28 11" xfId="4018"/>
    <cellStyle name="Style 28 12" xfId="4019"/>
    <cellStyle name="Style 28 13" xfId="4020"/>
    <cellStyle name="Style 28 14" xfId="4021"/>
    <cellStyle name="Style 28 15" xfId="4022"/>
    <cellStyle name="Style 28 16" xfId="4023"/>
    <cellStyle name="Style 28 17" xfId="4024"/>
    <cellStyle name="Style 28 18" xfId="4025"/>
    <cellStyle name="Style 28 19" xfId="4026"/>
    <cellStyle name="Style 28 2" xfId="4027"/>
    <cellStyle name="Style 28 20" xfId="4028"/>
    <cellStyle name="Style 28 21" xfId="4029"/>
    <cellStyle name="Style 28 22" xfId="4030"/>
    <cellStyle name="Style 28 23" xfId="4031"/>
    <cellStyle name="Style 28 24" xfId="4032"/>
    <cellStyle name="Style 28 25" xfId="4033"/>
    <cellStyle name="Style 28 26" xfId="4034"/>
    <cellStyle name="Style 28 27" xfId="4035"/>
    <cellStyle name="Style 28 28" xfId="4036"/>
    <cellStyle name="Style 28 29" xfId="4037"/>
    <cellStyle name="Style 28 3" xfId="4038"/>
    <cellStyle name="Style 28 30" xfId="4039"/>
    <cellStyle name="Style 28 31" xfId="4040"/>
    <cellStyle name="Style 28 32" xfId="4041"/>
    <cellStyle name="Style 28 33" xfId="4042"/>
    <cellStyle name="Style 28 34" xfId="4043"/>
    <cellStyle name="Style 28 35" xfId="4044"/>
    <cellStyle name="Style 28 36" xfId="4045"/>
    <cellStyle name="Style 28 37" xfId="4046"/>
    <cellStyle name="Style 28 38" xfId="4047"/>
    <cellStyle name="Style 28 39" xfId="4048"/>
    <cellStyle name="Style 28 4" xfId="4049"/>
    <cellStyle name="Style 28 40" xfId="4050"/>
    <cellStyle name="Style 28 41" xfId="4051"/>
    <cellStyle name="Style 28 42" xfId="4052"/>
    <cellStyle name="Style 28 43" xfId="4053"/>
    <cellStyle name="Style 28 44" xfId="4054"/>
    <cellStyle name="Style 28 45" xfId="4055"/>
    <cellStyle name="Style 28 46" xfId="4056"/>
    <cellStyle name="Style 28 47" xfId="4057"/>
    <cellStyle name="Style 28 48" xfId="4058"/>
    <cellStyle name="Style 28 49" xfId="4059"/>
    <cellStyle name="Style 28 5" xfId="4060"/>
    <cellStyle name="Style 28 50" xfId="4061"/>
    <cellStyle name="Style 28 51" xfId="4062"/>
    <cellStyle name="Style 28 52" xfId="4063"/>
    <cellStyle name="Style 28 53" xfId="4064"/>
    <cellStyle name="Style 28 54" xfId="4065"/>
    <cellStyle name="Style 28 55" xfId="4066"/>
    <cellStyle name="Style 28 56" xfId="4067"/>
    <cellStyle name="Style 28 57" xfId="4068"/>
    <cellStyle name="Style 28 58" xfId="4069"/>
    <cellStyle name="Style 28 59" xfId="4070"/>
    <cellStyle name="Style 28 6" xfId="4071"/>
    <cellStyle name="Style 28 60" xfId="4072"/>
    <cellStyle name="Style 28 61" xfId="4073"/>
    <cellStyle name="Style 28 62" xfId="4074"/>
    <cellStyle name="Style 28 63" xfId="4075"/>
    <cellStyle name="Style 28 64" xfId="4076"/>
    <cellStyle name="Style 28 65" xfId="4077"/>
    <cellStyle name="Style 28 66" xfId="4078"/>
    <cellStyle name="Style 28 67" xfId="4079"/>
    <cellStyle name="Style 28 68" xfId="4080"/>
    <cellStyle name="Style 28 69" xfId="4081"/>
    <cellStyle name="Style 28 7" xfId="4082"/>
    <cellStyle name="Style 28 70" xfId="4083"/>
    <cellStyle name="Style 28 71" xfId="4084"/>
    <cellStyle name="Style 28 72" xfId="4085"/>
    <cellStyle name="Style 28 73" xfId="4086"/>
    <cellStyle name="Style 28 74" xfId="4087"/>
    <cellStyle name="Style 28 75" xfId="4088"/>
    <cellStyle name="Style 28 76" xfId="4089"/>
    <cellStyle name="Style 28 77" xfId="4090"/>
    <cellStyle name="Style 28 78" xfId="4091"/>
    <cellStyle name="Style 28 79" xfId="4092"/>
    <cellStyle name="Style 28 8" xfId="4093"/>
    <cellStyle name="Style 28 80" xfId="4094"/>
    <cellStyle name="Style 28 81" xfId="4095"/>
    <cellStyle name="Style 28 82" xfId="4096"/>
    <cellStyle name="Style 28 83" xfId="4097"/>
    <cellStyle name="Style 28 84" xfId="4098"/>
    <cellStyle name="Style 28 85" xfId="4099"/>
    <cellStyle name="Style 28 86" xfId="4100"/>
    <cellStyle name="Style 28 9" xfId="4101"/>
    <cellStyle name="Style 29" xfId="4102"/>
    <cellStyle name="Style 29 10" xfId="4103"/>
    <cellStyle name="Style 29 11" xfId="4104"/>
    <cellStyle name="Style 29 12" xfId="4105"/>
    <cellStyle name="Style 29 13" xfId="4106"/>
    <cellStyle name="Style 29 14" xfId="4107"/>
    <cellStyle name="Style 29 15" xfId="4108"/>
    <cellStyle name="Style 29 16" xfId="4109"/>
    <cellStyle name="Style 29 17" xfId="4110"/>
    <cellStyle name="Style 29 18" xfId="4111"/>
    <cellStyle name="Style 29 19" xfId="4112"/>
    <cellStyle name="Style 29 2" xfId="4113"/>
    <cellStyle name="Style 29 20" xfId="4114"/>
    <cellStyle name="Style 29 21" xfId="4115"/>
    <cellStyle name="Style 29 22" xfId="4116"/>
    <cellStyle name="Style 29 23" xfId="4117"/>
    <cellStyle name="Style 29 24" xfId="4118"/>
    <cellStyle name="Style 29 25" xfId="4119"/>
    <cellStyle name="Style 29 26" xfId="4120"/>
    <cellStyle name="Style 29 27" xfId="4121"/>
    <cellStyle name="Style 29 28" xfId="4122"/>
    <cellStyle name="Style 29 29" xfId="4123"/>
    <cellStyle name="Style 29 3" xfId="4124"/>
    <cellStyle name="Style 29 30" xfId="4125"/>
    <cellStyle name="Style 29 31" xfId="4126"/>
    <cellStyle name="Style 29 32" xfId="4127"/>
    <cellStyle name="Style 29 33" xfId="4128"/>
    <cellStyle name="Style 29 34" xfId="4129"/>
    <cellStyle name="Style 29 35" xfId="4130"/>
    <cellStyle name="Style 29 36" xfId="4131"/>
    <cellStyle name="Style 29 37" xfId="4132"/>
    <cellStyle name="Style 29 38" xfId="4133"/>
    <cellStyle name="Style 29 39" xfId="4134"/>
    <cellStyle name="Style 29 4" xfId="4135"/>
    <cellStyle name="Style 29 40" xfId="4136"/>
    <cellStyle name="Style 29 41" xfId="4137"/>
    <cellStyle name="Style 29 42" xfId="4138"/>
    <cellStyle name="Style 29 43" xfId="4139"/>
    <cellStyle name="Style 29 44" xfId="4140"/>
    <cellStyle name="Style 29 45" xfId="4141"/>
    <cellStyle name="Style 29 46" xfId="4142"/>
    <cellStyle name="Style 29 47" xfId="4143"/>
    <cellStyle name="Style 29 48" xfId="4144"/>
    <cellStyle name="Style 29 49" xfId="4145"/>
    <cellStyle name="Style 29 5" xfId="4146"/>
    <cellStyle name="Style 29 50" xfId="4147"/>
    <cellStyle name="Style 29 51" xfId="4148"/>
    <cellStyle name="Style 29 52" xfId="4149"/>
    <cellStyle name="Style 29 53" xfId="4150"/>
    <cellStyle name="Style 29 54" xfId="4151"/>
    <cellStyle name="Style 29 55" xfId="4152"/>
    <cellStyle name="Style 29 56" xfId="4153"/>
    <cellStyle name="Style 29 57" xfId="4154"/>
    <cellStyle name="Style 29 58" xfId="4155"/>
    <cellStyle name="Style 29 59" xfId="4156"/>
    <cellStyle name="Style 29 6" xfId="4157"/>
    <cellStyle name="Style 29 60" xfId="4158"/>
    <cellStyle name="Style 29 61" xfId="4159"/>
    <cellStyle name="Style 29 62" xfId="4160"/>
    <cellStyle name="Style 29 63" xfId="4161"/>
    <cellStyle name="Style 29 64" xfId="4162"/>
    <cellStyle name="Style 29 65" xfId="4163"/>
    <cellStyle name="Style 29 66" xfId="4164"/>
    <cellStyle name="Style 29 67" xfId="4165"/>
    <cellStyle name="Style 29 68" xfId="4166"/>
    <cellStyle name="Style 29 69" xfId="4167"/>
    <cellStyle name="Style 29 7" xfId="4168"/>
    <cellStyle name="Style 29 70" xfId="4169"/>
    <cellStyle name="Style 29 71" xfId="4170"/>
    <cellStyle name="Style 29 72" xfId="4171"/>
    <cellStyle name="Style 29 73" xfId="4172"/>
    <cellStyle name="Style 29 74" xfId="4173"/>
    <cellStyle name="Style 29 75" xfId="4174"/>
    <cellStyle name="Style 29 76" xfId="4175"/>
    <cellStyle name="Style 29 77" xfId="4176"/>
    <cellStyle name="Style 29 78" xfId="4177"/>
    <cellStyle name="Style 29 79" xfId="4178"/>
    <cellStyle name="Style 29 8" xfId="4179"/>
    <cellStyle name="Style 29 80" xfId="4180"/>
    <cellStyle name="Style 29 81" xfId="4181"/>
    <cellStyle name="Style 29 82" xfId="4182"/>
    <cellStyle name="Style 29 83" xfId="4183"/>
    <cellStyle name="Style 29 84" xfId="4184"/>
    <cellStyle name="Style 29 85" xfId="4185"/>
    <cellStyle name="Style 29 86" xfId="4186"/>
    <cellStyle name="Style 29 9" xfId="4187"/>
    <cellStyle name="Style 30" xfId="4188"/>
    <cellStyle name="Style 30 10" xfId="4189"/>
    <cellStyle name="Style 30 11" xfId="4190"/>
    <cellStyle name="Style 30 12" xfId="4191"/>
    <cellStyle name="Style 30 13" xfId="4192"/>
    <cellStyle name="Style 30 14" xfId="4193"/>
    <cellStyle name="Style 30 15" xfId="4194"/>
    <cellStyle name="Style 30 16" xfId="4195"/>
    <cellStyle name="Style 30 17" xfId="4196"/>
    <cellStyle name="Style 30 18" xfId="4197"/>
    <cellStyle name="Style 30 19" xfId="4198"/>
    <cellStyle name="Style 30 2" xfId="4199"/>
    <cellStyle name="Style 30 20" xfId="4200"/>
    <cellStyle name="Style 30 21" xfId="4201"/>
    <cellStyle name="Style 30 22" xfId="4202"/>
    <cellStyle name="Style 30 23" xfId="4203"/>
    <cellStyle name="Style 30 24" xfId="4204"/>
    <cellStyle name="Style 30 25" xfId="4205"/>
    <cellStyle name="Style 30 26" xfId="4206"/>
    <cellStyle name="Style 30 27" xfId="4207"/>
    <cellStyle name="Style 30 28" xfId="4208"/>
    <cellStyle name="Style 30 29" xfId="4209"/>
    <cellStyle name="Style 30 3" xfId="4210"/>
    <cellStyle name="Style 30 30" xfId="4211"/>
    <cellStyle name="Style 30 31" xfId="4212"/>
    <cellStyle name="Style 30 32" xfId="4213"/>
    <cellStyle name="Style 30 33" xfId="4214"/>
    <cellStyle name="Style 30 34" xfId="4215"/>
    <cellStyle name="Style 30 35" xfId="4216"/>
    <cellStyle name="Style 30 36" xfId="4217"/>
    <cellStyle name="Style 30 37" xfId="4218"/>
    <cellStyle name="Style 30 38" xfId="4219"/>
    <cellStyle name="Style 30 39" xfId="4220"/>
    <cellStyle name="Style 30 4" xfId="4221"/>
    <cellStyle name="Style 30 40" xfId="4222"/>
    <cellStyle name="Style 30 41" xfId="4223"/>
    <cellStyle name="Style 30 42" xfId="4224"/>
    <cellStyle name="Style 30 43" xfId="4225"/>
    <cellStyle name="Style 30 44" xfId="4226"/>
    <cellStyle name="Style 30 45" xfId="4227"/>
    <cellStyle name="Style 30 46" xfId="4228"/>
    <cellStyle name="Style 30 47" xfId="4229"/>
    <cellStyle name="Style 30 48" xfId="4230"/>
    <cellStyle name="Style 30 49" xfId="4231"/>
    <cellStyle name="Style 30 5" xfId="4232"/>
    <cellStyle name="Style 30 50" xfId="4233"/>
    <cellStyle name="Style 30 51" xfId="4234"/>
    <cellStyle name="Style 30 52" xfId="4235"/>
    <cellStyle name="Style 30 53" xfId="4236"/>
    <cellStyle name="Style 30 54" xfId="4237"/>
    <cellStyle name="Style 30 55" xfId="4238"/>
    <cellStyle name="Style 30 56" xfId="4239"/>
    <cellStyle name="Style 30 57" xfId="4240"/>
    <cellStyle name="Style 30 58" xfId="4241"/>
    <cellStyle name="Style 30 59" xfId="4242"/>
    <cellStyle name="Style 30 6" xfId="4243"/>
    <cellStyle name="Style 30 60" xfId="4244"/>
    <cellStyle name="Style 30 61" xfId="4245"/>
    <cellStyle name="Style 30 62" xfId="4246"/>
    <cellStyle name="Style 30 63" xfId="4247"/>
    <cellStyle name="Style 30 64" xfId="4248"/>
    <cellStyle name="Style 30 65" xfId="4249"/>
    <cellStyle name="Style 30 66" xfId="4250"/>
    <cellStyle name="Style 30 67" xfId="4251"/>
    <cellStyle name="Style 30 68" xfId="4252"/>
    <cellStyle name="Style 30 69" xfId="4253"/>
    <cellStyle name="Style 30 7" xfId="4254"/>
    <cellStyle name="Style 30 70" xfId="4255"/>
    <cellStyle name="Style 30 71" xfId="4256"/>
    <cellStyle name="Style 30 72" xfId="4257"/>
    <cellStyle name="Style 30 73" xfId="4258"/>
    <cellStyle name="Style 30 74" xfId="4259"/>
    <cellStyle name="Style 30 75" xfId="4260"/>
    <cellStyle name="Style 30 76" xfId="4261"/>
    <cellStyle name="Style 30 77" xfId="4262"/>
    <cellStyle name="Style 30 78" xfId="4263"/>
    <cellStyle name="Style 30 79" xfId="4264"/>
    <cellStyle name="Style 30 8" xfId="4265"/>
    <cellStyle name="Style 30 80" xfId="4266"/>
    <cellStyle name="Style 30 81" xfId="4267"/>
    <cellStyle name="Style 30 82" xfId="4268"/>
    <cellStyle name="Style 30 83" xfId="4269"/>
    <cellStyle name="Style 30 84" xfId="4270"/>
    <cellStyle name="Style 30 85" xfId="4271"/>
    <cellStyle name="Style 30 86" xfId="4272"/>
    <cellStyle name="Style 30 9" xfId="4273"/>
    <cellStyle name="Style 31" xfId="4274"/>
    <cellStyle name="Style 31 10" xfId="4275"/>
    <cellStyle name="Style 31 11" xfId="4276"/>
    <cellStyle name="Style 31 12" xfId="4277"/>
    <cellStyle name="Style 31 13" xfId="4278"/>
    <cellStyle name="Style 31 14" xfId="4279"/>
    <cellStyle name="Style 31 15" xfId="4280"/>
    <cellStyle name="Style 31 16" xfId="4281"/>
    <cellStyle name="Style 31 17" xfId="4282"/>
    <cellStyle name="Style 31 18" xfId="4283"/>
    <cellStyle name="Style 31 19" xfId="4284"/>
    <cellStyle name="Style 31 2" xfId="4285"/>
    <cellStyle name="Style 31 20" xfId="4286"/>
    <cellStyle name="Style 31 21" xfId="4287"/>
    <cellStyle name="Style 31 22" xfId="4288"/>
    <cellStyle name="Style 31 23" xfId="4289"/>
    <cellStyle name="Style 31 24" xfId="4290"/>
    <cellStyle name="Style 31 25" xfId="4291"/>
    <cellStyle name="Style 31 26" xfId="4292"/>
    <cellStyle name="Style 31 27" xfId="4293"/>
    <cellStyle name="Style 31 28" xfId="4294"/>
    <cellStyle name="Style 31 29" xfId="4295"/>
    <cellStyle name="Style 31 3" xfId="4296"/>
    <cellStyle name="Style 31 30" xfId="4297"/>
    <cellStyle name="Style 31 31" xfId="4298"/>
    <cellStyle name="Style 31 32" xfId="4299"/>
    <cellStyle name="Style 31 33" xfId="4300"/>
    <cellStyle name="Style 31 34" xfId="4301"/>
    <cellStyle name="Style 31 35" xfId="4302"/>
    <cellStyle name="Style 31 36" xfId="4303"/>
    <cellStyle name="Style 31 37" xfId="4304"/>
    <cellStyle name="Style 31 38" xfId="4305"/>
    <cellStyle name="Style 31 39" xfId="4306"/>
    <cellStyle name="Style 31 4" xfId="4307"/>
    <cellStyle name="Style 31 40" xfId="4308"/>
    <cellStyle name="Style 31 41" xfId="4309"/>
    <cellStyle name="Style 31 42" xfId="4310"/>
    <cellStyle name="Style 31 43" xfId="4311"/>
    <cellStyle name="Style 31 44" xfId="4312"/>
    <cellStyle name="Style 31 45" xfId="4313"/>
    <cellStyle name="Style 31 46" xfId="4314"/>
    <cellStyle name="Style 31 47" xfId="4315"/>
    <cellStyle name="Style 31 48" xfId="4316"/>
    <cellStyle name="Style 31 49" xfId="4317"/>
    <cellStyle name="Style 31 5" xfId="4318"/>
    <cellStyle name="Style 31 50" xfId="4319"/>
    <cellStyle name="Style 31 51" xfId="4320"/>
    <cellStyle name="Style 31 52" xfId="4321"/>
    <cellStyle name="Style 31 53" xfId="4322"/>
    <cellStyle name="Style 31 54" xfId="4323"/>
    <cellStyle name="Style 31 55" xfId="4324"/>
    <cellStyle name="Style 31 56" xfId="4325"/>
    <cellStyle name="Style 31 57" xfId="4326"/>
    <cellStyle name="Style 31 58" xfId="4327"/>
    <cellStyle name="Style 31 59" xfId="4328"/>
    <cellStyle name="Style 31 6" xfId="4329"/>
    <cellStyle name="Style 31 60" xfId="4330"/>
    <cellStyle name="Style 31 61" xfId="4331"/>
    <cellStyle name="Style 31 62" xfId="4332"/>
    <cellStyle name="Style 31 63" xfId="4333"/>
    <cellStyle name="Style 31 64" xfId="4334"/>
    <cellStyle name="Style 31 65" xfId="4335"/>
    <cellStyle name="Style 31 66" xfId="4336"/>
    <cellStyle name="Style 31 67" xfId="4337"/>
    <cellStyle name="Style 31 68" xfId="4338"/>
    <cellStyle name="Style 31 69" xfId="4339"/>
    <cellStyle name="Style 31 7" xfId="4340"/>
    <cellStyle name="Style 31 70" xfId="4341"/>
    <cellStyle name="Style 31 71" xfId="4342"/>
    <cellStyle name="Style 31 72" xfId="4343"/>
    <cellStyle name="Style 31 73" xfId="4344"/>
    <cellStyle name="Style 31 74" xfId="4345"/>
    <cellStyle name="Style 31 75" xfId="4346"/>
    <cellStyle name="Style 31 76" xfId="4347"/>
    <cellStyle name="Style 31 77" xfId="4348"/>
    <cellStyle name="Style 31 78" xfId="4349"/>
    <cellStyle name="Style 31 79" xfId="4350"/>
    <cellStyle name="Style 31 8" xfId="4351"/>
    <cellStyle name="Style 31 80" xfId="4352"/>
    <cellStyle name="Style 31 81" xfId="4353"/>
    <cellStyle name="Style 31 82" xfId="4354"/>
    <cellStyle name="Style 31 83" xfId="4355"/>
    <cellStyle name="Style 31 84" xfId="4356"/>
    <cellStyle name="Style 31 85" xfId="4357"/>
    <cellStyle name="Style 31 86" xfId="4358"/>
    <cellStyle name="Style 31 9" xfId="4359"/>
    <cellStyle name="Style 32" xfId="4360"/>
    <cellStyle name="Style 32 10" xfId="4361"/>
    <cellStyle name="Style 32 11" xfId="4362"/>
    <cellStyle name="Style 32 12" xfId="4363"/>
    <cellStyle name="Style 32 13" xfId="4364"/>
    <cellStyle name="Style 32 14" xfId="4365"/>
    <cellStyle name="Style 32 15" xfId="4366"/>
    <cellStyle name="Style 32 16" xfId="4367"/>
    <cellStyle name="Style 32 17" xfId="4368"/>
    <cellStyle name="Style 32 18" xfId="4369"/>
    <cellStyle name="Style 32 19" xfId="4370"/>
    <cellStyle name="Style 32 2" xfId="4371"/>
    <cellStyle name="Style 32 20" xfId="4372"/>
    <cellStyle name="Style 32 21" xfId="4373"/>
    <cellStyle name="Style 32 22" xfId="4374"/>
    <cellStyle name="Style 32 23" xfId="4375"/>
    <cellStyle name="Style 32 24" xfId="4376"/>
    <cellStyle name="Style 32 25" xfId="4377"/>
    <cellStyle name="Style 32 26" xfId="4378"/>
    <cellStyle name="Style 32 27" xfId="4379"/>
    <cellStyle name="Style 32 28" xfId="4380"/>
    <cellStyle name="Style 32 29" xfId="4381"/>
    <cellStyle name="Style 32 3" xfId="4382"/>
    <cellStyle name="Style 32 30" xfId="4383"/>
    <cellStyle name="Style 32 31" xfId="4384"/>
    <cellStyle name="Style 32 32" xfId="4385"/>
    <cellStyle name="Style 32 33" xfId="4386"/>
    <cellStyle name="Style 32 34" xfId="4387"/>
    <cellStyle name="Style 32 35" xfId="4388"/>
    <cellStyle name="Style 32 36" xfId="4389"/>
    <cellStyle name="Style 32 37" xfId="4390"/>
    <cellStyle name="Style 32 38" xfId="4391"/>
    <cellStyle name="Style 32 39" xfId="4392"/>
    <cellStyle name="Style 32 4" xfId="4393"/>
    <cellStyle name="Style 32 40" xfId="4394"/>
    <cellStyle name="Style 32 41" xfId="4395"/>
    <cellStyle name="Style 32 42" xfId="4396"/>
    <cellStyle name="Style 32 43" xfId="4397"/>
    <cellStyle name="Style 32 44" xfId="4398"/>
    <cellStyle name="Style 32 45" xfId="4399"/>
    <cellStyle name="Style 32 46" xfId="4400"/>
    <cellStyle name="Style 32 47" xfId="4401"/>
    <cellStyle name="Style 32 48" xfId="4402"/>
    <cellStyle name="Style 32 49" xfId="4403"/>
    <cellStyle name="Style 32 5" xfId="4404"/>
    <cellStyle name="Style 32 50" xfId="4405"/>
    <cellStyle name="Style 32 51" xfId="4406"/>
    <cellStyle name="Style 32 52" xfId="4407"/>
    <cellStyle name="Style 32 53" xfId="4408"/>
    <cellStyle name="Style 32 54" xfId="4409"/>
    <cellStyle name="Style 32 55" xfId="4410"/>
    <cellStyle name="Style 32 56" xfId="4411"/>
    <cellStyle name="Style 32 57" xfId="4412"/>
    <cellStyle name="Style 32 58" xfId="4413"/>
    <cellStyle name="Style 32 59" xfId="4414"/>
    <cellStyle name="Style 32 6" xfId="4415"/>
    <cellStyle name="Style 32 60" xfId="4416"/>
    <cellStyle name="Style 32 61" xfId="4417"/>
    <cellStyle name="Style 32 62" xfId="4418"/>
    <cellStyle name="Style 32 63" xfId="4419"/>
    <cellStyle name="Style 32 64" xfId="4420"/>
    <cellStyle name="Style 32 65" xfId="4421"/>
    <cellStyle name="Style 32 66" xfId="4422"/>
    <cellStyle name="Style 32 67" xfId="4423"/>
    <cellStyle name="Style 32 68" xfId="4424"/>
    <cellStyle name="Style 32 69" xfId="4425"/>
    <cellStyle name="Style 32 7" xfId="4426"/>
    <cellStyle name="Style 32 70" xfId="4427"/>
    <cellStyle name="Style 32 71" xfId="4428"/>
    <cellStyle name="Style 32 72" xfId="4429"/>
    <cellStyle name="Style 32 73" xfId="4430"/>
    <cellStyle name="Style 32 74" xfId="4431"/>
    <cellStyle name="Style 32 75" xfId="4432"/>
    <cellStyle name="Style 32 76" xfId="4433"/>
    <cellStyle name="Style 32 77" xfId="4434"/>
    <cellStyle name="Style 32 78" xfId="4435"/>
    <cellStyle name="Style 32 79" xfId="4436"/>
    <cellStyle name="Style 32 8" xfId="4437"/>
    <cellStyle name="Style 32 80" xfId="4438"/>
    <cellStyle name="Style 32 81" xfId="4439"/>
    <cellStyle name="Style 32 82" xfId="4440"/>
    <cellStyle name="Style 32 83" xfId="4441"/>
    <cellStyle name="Style 32 84" xfId="4442"/>
    <cellStyle name="Style 32 85" xfId="4443"/>
    <cellStyle name="Style 32 86" xfId="4444"/>
    <cellStyle name="Style 32 9" xfId="4445"/>
    <cellStyle name="Style 33" xfId="4446"/>
    <cellStyle name="Style 34" xfId="4447"/>
    <cellStyle name="Style 34 10" xfId="4448"/>
    <cellStyle name="Style 34 11" xfId="4449"/>
    <cellStyle name="Style 34 12" xfId="4450"/>
    <cellStyle name="Style 34 13" xfId="4451"/>
    <cellStyle name="Style 34 14" xfId="4452"/>
    <cellStyle name="Style 34 15" xfId="4453"/>
    <cellStyle name="Style 34 16" xfId="4454"/>
    <cellStyle name="Style 34 17" xfId="4455"/>
    <cellStyle name="Style 34 18" xfId="4456"/>
    <cellStyle name="Style 34 19" xfId="4457"/>
    <cellStyle name="Style 34 2" xfId="4458"/>
    <cellStyle name="Style 34 20" xfId="4459"/>
    <cellStyle name="Style 34 21" xfId="4460"/>
    <cellStyle name="Style 34 22" xfId="4461"/>
    <cellStyle name="Style 34 23" xfId="4462"/>
    <cellStyle name="Style 34 24" xfId="4463"/>
    <cellStyle name="Style 34 25" xfId="4464"/>
    <cellStyle name="Style 34 26" xfId="4465"/>
    <cellStyle name="Style 34 27" xfId="4466"/>
    <cellStyle name="Style 34 28" xfId="4467"/>
    <cellStyle name="Style 34 29" xfId="4468"/>
    <cellStyle name="Style 34 3" xfId="4469"/>
    <cellStyle name="Style 34 30" xfId="4470"/>
    <cellStyle name="Style 34 31" xfId="4471"/>
    <cellStyle name="Style 34 32" xfId="4472"/>
    <cellStyle name="Style 34 33" xfId="4473"/>
    <cellStyle name="Style 34 34" xfId="4474"/>
    <cellStyle name="Style 34 35" xfId="4475"/>
    <cellStyle name="Style 34 36" xfId="4476"/>
    <cellStyle name="Style 34 37" xfId="4477"/>
    <cellStyle name="Style 34 38" xfId="4478"/>
    <cellStyle name="Style 34 39" xfId="4479"/>
    <cellStyle name="Style 34 4" xfId="4480"/>
    <cellStyle name="Style 34 40" xfId="4481"/>
    <cellStyle name="Style 34 41" xfId="4482"/>
    <cellStyle name="Style 34 42" xfId="4483"/>
    <cellStyle name="Style 34 43" xfId="4484"/>
    <cellStyle name="Style 34 44" xfId="4485"/>
    <cellStyle name="Style 34 45" xfId="4486"/>
    <cellStyle name="Style 34 46" xfId="4487"/>
    <cellStyle name="Style 34 47" xfId="4488"/>
    <cellStyle name="Style 34 48" xfId="4489"/>
    <cellStyle name="Style 34 49" xfId="4490"/>
    <cellStyle name="Style 34 5" xfId="4491"/>
    <cellStyle name="Style 34 50" xfId="4492"/>
    <cellStyle name="Style 34 51" xfId="4493"/>
    <cellStyle name="Style 34 52" xfId="4494"/>
    <cellStyle name="Style 34 53" xfId="4495"/>
    <cellStyle name="Style 34 54" xfId="4496"/>
    <cellStyle name="Style 34 55" xfId="4497"/>
    <cellStyle name="Style 34 56" xfId="4498"/>
    <cellStyle name="Style 34 57" xfId="4499"/>
    <cellStyle name="Style 34 58" xfId="4500"/>
    <cellStyle name="Style 34 59" xfId="4501"/>
    <cellStyle name="Style 34 6" xfId="4502"/>
    <cellStyle name="Style 34 60" xfId="4503"/>
    <cellStyle name="Style 34 61" xfId="4504"/>
    <cellStyle name="Style 34 62" xfId="4505"/>
    <cellStyle name="Style 34 63" xfId="4506"/>
    <cellStyle name="Style 34 64" xfId="4507"/>
    <cellStyle name="Style 34 65" xfId="4508"/>
    <cellStyle name="Style 34 66" xfId="4509"/>
    <cellStyle name="Style 34 67" xfId="4510"/>
    <cellStyle name="Style 34 68" xfId="4511"/>
    <cellStyle name="Style 34 69" xfId="4512"/>
    <cellStyle name="Style 34 7" xfId="4513"/>
    <cellStyle name="Style 34 70" xfId="4514"/>
    <cellStyle name="Style 34 71" xfId="4515"/>
    <cellStyle name="Style 34 72" xfId="4516"/>
    <cellStyle name="Style 34 73" xfId="4517"/>
    <cellStyle name="Style 34 74" xfId="4518"/>
    <cellStyle name="Style 34 75" xfId="4519"/>
    <cellStyle name="Style 34 76" xfId="4520"/>
    <cellStyle name="Style 34 77" xfId="4521"/>
    <cellStyle name="Style 34 78" xfId="4522"/>
    <cellStyle name="Style 34 79" xfId="4523"/>
    <cellStyle name="Style 34 8" xfId="4524"/>
    <cellStyle name="Style 34 80" xfId="4525"/>
    <cellStyle name="Style 34 81" xfId="4526"/>
    <cellStyle name="Style 34 82" xfId="4527"/>
    <cellStyle name="Style 34 83" xfId="4528"/>
    <cellStyle name="Style 34 84" xfId="4529"/>
    <cellStyle name="Style 34 85" xfId="4530"/>
    <cellStyle name="Style 34 86" xfId="4531"/>
    <cellStyle name="Style 34 9" xfId="4532"/>
    <cellStyle name="Style 35" xfId="4533"/>
    <cellStyle name="Style 35 10" xfId="4534"/>
    <cellStyle name="Style 35 11" xfId="4535"/>
    <cellStyle name="Style 35 12" xfId="4536"/>
    <cellStyle name="Style 35 13" xfId="4537"/>
    <cellStyle name="Style 35 14" xfId="4538"/>
    <cellStyle name="Style 35 15" xfId="4539"/>
    <cellStyle name="Style 35 16" xfId="4540"/>
    <cellStyle name="Style 35 17" xfId="4541"/>
    <cellStyle name="Style 35 18" xfId="4542"/>
    <cellStyle name="Style 35 19" xfId="4543"/>
    <cellStyle name="Style 35 2" xfId="4544"/>
    <cellStyle name="Style 35 20" xfId="4545"/>
    <cellStyle name="Style 35 21" xfId="4546"/>
    <cellStyle name="Style 35 22" xfId="4547"/>
    <cellStyle name="Style 35 23" xfId="4548"/>
    <cellStyle name="Style 35 24" xfId="4549"/>
    <cellStyle name="Style 35 25" xfId="4550"/>
    <cellStyle name="Style 35 26" xfId="4551"/>
    <cellStyle name="Style 35 27" xfId="4552"/>
    <cellStyle name="Style 35 28" xfId="4553"/>
    <cellStyle name="Style 35 29" xfId="4554"/>
    <cellStyle name="Style 35 3" xfId="4555"/>
    <cellStyle name="Style 35 30" xfId="4556"/>
    <cellStyle name="Style 35 31" xfId="4557"/>
    <cellStyle name="Style 35 32" xfId="4558"/>
    <cellStyle name="Style 35 33" xfId="4559"/>
    <cellStyle name="Style 35 34" xfId="4560"/>
    <cellStyle name="Style 35 35" xfId="4561"/>
    <cellStyle name="Style 35 36" xfId="4562"/>
    <cellStyle name="Style 35 37" xfId="4563"/>
    <cellStyle name="Style 35 38" xfId="4564"/>
    <cellStyle name="Style 35 39" xfId="4565"/>
    <cellStyle name="Style 35 4" xfId="4566"/>
    <cellStyle name="Style 35 40" xfId="4567"/>
    <cellStyle name="Style 35 41" xfId="4568"/>
    <cellStyle name="Style 35 42" xfId="4569"/>
    <cellStyle name="Style 35 43" xfId="4570"/>
    <cellStyle name="Style 35 44" xfId="4571"/>
    <cellStyle name="Style 35 45" xfId="4572"/>
    <cellStyle name="Style 35 46" xfId="4573"/>
    <cellStyle name="Style 35 47" xfId="4574"/>
    <cellStyle name="Style 35 48" xfId="4575"/>
    <cellStyle name="Style 35 49" xfId="4576"/>
    <cellStyle name="Style 35 5" xfId="4577"/>
    <cellStyle name="Style 35 50" xfId="4578"/>
    <cellStyle name="Style 35 51" xfId="4579"/>
    <cellStyle name="Style 35 52" xfId="4580"/>
    <cellStyle name="Style 35 53" xfId="4581"/>
    <cellStyle name="Style 35 54" xfId="4582"/>
    <cellStyle name="Style 35 55" xfId="4583"/>
    <cellStyle name="Style 35 56" xfId="4584"/>
    <cellStyle name="Style 35 57" xfId="4585"/>
    <cellStyle name="Style 35 58" xfId="4586"/>
    <cellStyle name="Style 35 59" xfId="4587"/>
    <cellStyle name="Style 35 6" xfId="4588"/>
    <cellStyle name="Style 35 60" xfId="4589"/>
    <cellStyle name="Style 35 61" xfId="4590"/>
    <cellStyle name="Style 35 62" xfId="4591"/>
    <cellStyle name="Style 35 63" xfId="4592"/>
    <cellStyle name="Style 35 64" xfId="4593"/>
    <cellStyle name="Style 35 65" xfId="4594"/>
    <cellStyle name="Style 35 66" xfId="4595"/>
    <cellStyle name="Style 35 67" xfId="4596"/>
    <cellStyle name="Style 35 68" xfId="4597"/>
    <cellStyle name="Style 35 69" xfId="4598"/>
    <cellStyle name="Style 35 7" xfId="4599"/>
    <cellStyle name="Style 35 70" xfId="4600"/>
    <cellStyle name="Style 35 71" xfId="4601"/>
    <cellStyle name="Style 35 72" xfId="4602"/>
    <cellStyle name="Style 35 73" xfId="4603"/>
    <cellStyle name="Style 35 74" xfId="4604"/>
    <cellStyle name="Style 35 75" xfId="4605"/>
    <cellStyle name="Style 35 76" xfId="4606"/>
    <cellStyle name="Style 35 77" xfId="4607"/>
    <cellStyle name="Style 35 78" xfId="4608"/>
    <cellStyle name="Style 35 79" xfId="4609"/>
    <cellStyle name="Style 35 8" xfId="4610"/>
    <cellStyle name="Style 35 80" xfId="4611"/>
    <cellStyle name="Style 35 81" xfId="4612"/>
    <cellStyle name="Style 35 82" xfId="4613"/>
    <cellStyle name="Style 35 83" xfId="4614"/>
    <cellStyle name="Style 35 84" xfId="4615"/>
    <cellStyle name="Style 35 85" xfId="4616"/>
    <cellStyle name="Style 35 86" xfId="4617"/>
    <cellStyle name="Style 35 9" xfId="4618"/>
    <cellStyle name="Style 36" xfId="4619"/>
    <cellStyle name="Style 36 10" xfId="4620"/>
    <cellStyle name="Style 36 11" xfId="4621"/>
    <cellStyle name="Style 36 12" xfId="4622"/>
    <cellStyle name="Style 36 13" xfId="4623"/>
    <cellStyle name="Style 36 14" xfId="4624"/>
    <cellStyle name="Style 36 15" xfId="4625"/>
    <cellStyle name="Style 36 16" xfId="4626"/>
    <cellStyle name="Style 36 17" xfId="4627"/>
    <cellStyle name="Style 36 18" xfId="4628"/>
    <cellStyle name="Style 36 19" xfId="4629"/>
    <cellStyle name="Style 36 2" xfId="4630"/>
    <cellStyle name="Style 36 20" xfId="4631"/>
    <cellStyle name="Style 36 21" xfId="4632"/>
    <cellStyle name="Style 36 22" xfId="4633"/>
    <cellStyle name="Style 36 23" xfId="4634"/>
    <cellStyle name="Style 36 24" xfId="4635"/>
    <cellStyle name="Style 36 25" xfId="4636"/>
    <cellStyle name="Style 36 26" xfId="4637"/>
    <cellStyle name="Style 36 27" xfId="4638"/>
    <cellStyle name="Style 36 28" xfId="4639"/>
    <cellStyle name="Style 36 29" xfId="4640"/>
    <cellStyle name="Style 36 3" xfId="4641"/>
    <cellStyle name="Style 36 30" xfId="4642"/>
    <cellStyle name="Style 36 31" xfId="4643"/>
    <cellStyle name="Style 36 32" xfId="4644"/>
    <cellStyle name="Style 36 33" xfId="4645"/>
    <cellStyle name="Style 36 34" xfId="4646"/>
    <cellStyle name="Style 36 35" xfId="4647"/>
    <cellStyle name="Style 36 36" xfId="4648"/>
    <cellStyle name="Style 36 37" xfId="4649"/>
    <cellStyle name="Style 36 38" xfId="4650"/>
    <cellStyle name="Style 36 39" xfId="4651"/>
    <cellStyle name="Style 36 4" xfId="4652"/>
    <cellStyle name="Style 36 40" xfId="4653"/>
    <cellStyle name="Style 36 41" xfId="4654"/>
    <cellStyle name="Style 36 42" xfId="4655"/>
    <cellStyle name="Style 36 43" xfId="4656"/>
    <cellStyle name="Style 36 44" xfId="4657"/>
    <cellStyle name="Style 36 45" xfId="4658"/>
    <cellStyle name="Style 36 46" xfId="4659"/>
    <cellStyle name="Style 36 47" xfId="4660"/>
    <cellStyle name="Style 36 48" xfId="4661"/>
    <cellStyle name="Style 36 49" xfId="4662"/>
    <cellStyle name="Style 36 5" xfId="4663"/>
    <cellStyle name="Style 36 50" xfId="4664"/>
    <cellStyle name="Style 36 51" xfId="4665"/>
    <cellStyle name="Style 36 52" xfId="4666"/>
    <cellStyle name="Style 36 53" xfId="4667"/>
    <cellStyle name="Style 36 54" xfId="4668"/>
    <cellStyle name="Style 36 55" xfId="4669"/>
    <cellStyle name="Style 36 56" xfId="4670"/>
    <cellStyle name="Style 36 57" xfId="4671"/>
    <cellStyle name="Style 36 58" xfId="4672"/>
    <cellStyle name="Style 36 59" xfId="4673"/>
    <cellStyle name="Style 36 6" xfId="4674"/>
    <cellStyle name="Style 36 60" xfId="4675"/>
    <cellStyle name="Style 36 61" xfId="4676"/>
    <cellStyle name="Style 36 62" xfId="4677"/>
    <cellStyle name="Style 36 63" xfId="4678"/>
    <cellStyle name="Style 36 64" xfId="4679"/>
    <cellStyle name="Style 36 65" xfId="4680"/>
    <cellStyle name="Style 36 66" xfId="4681"/>
    <cellStyle name="Style 36 67" xfId="4682"/>
    <cellStyle name="Style 36 68" xfId="4683"/>
    <cellStyle name="Style 36 69" xfId="4684"/>
    <cellStyle name="Style 36 7" xfId="4685"/>
    <cellStyle name="Style 36 70" xfId="4686"/>
    <cellStyle name="Style 36 71" xfId="4687"/>
    <cellStyle name="Style 36 72" xfId="4688"/>
    <cellStyle name="Style 36 73" xfId="4689"/>
    <cellStyle name="Style 36 74" xfId="4690"/>
    <cellStyle name="Style 36 75" xfId="4691"/>
    <cellStyle name="Style 36 76" xfId="4692"/>
    <cellStyle name="Style 36 77" xfId="4693"/>
    <cellStyle name="Style 36 78" xfId="4694"/>
    <cellStyle name="Style 36 79" xfId="4695"/>
    <cellStyle name="Style 36 8" xfId="4696"/>
    <cellStyle name="Style 36 80" xfId="4697"/>
    <cellStyle name="Style 36 81" xfId="4698"/>
    <cellStyle name="Style 36 82" xfId="4699"/>
    <cellStyle name="Style 36 83" xfId="4700"/>
    <cellStyle name="Style 36 84" xfId="4701"/>
    <cellStyle name="Style 36 85" xfId="4702"/>
    <cellStyle name="Style 36 86" xfId="4703"/>
    <cellStyle name="Style 36 9" xfId="4704"/>
    <cellStyle name="STYLE1 - Style1" xfId="4705"/>
    <cellStyle name="Sx" xfId="4706"/>
    <cellStyle name="Text - Style3" xfId="4707"/>
    <cellStyle name="Tickmark" xfId="4708"/>
    <cellStyle name="Time" xfId="4709"/>
    <cellStyle name="Title" xfId="45"/>
    <cellStyle name="To" xfId="4710"/>
    <cellStyle name="Tons" xfId="4711"/>
    <cellStyle name="Total" xfId="46"/>
    <cellStyle name="Vars - Style4" xfId="4712"/>
    <cellStyle name="VarsIn - Style5" xfId="4713"/>
    <cellStyle name="Währung [0]_laroux" xfId="4714"/>
    <cellStyle name="Währung_laroux" xfId="4715"/>
    <cellStyle name="Walutowy [0]_1" xfId="4716"/>
    <cellStyle name="Walutowy_1" xfId="4717"/>
    <cellStyle name="Warning Text" xfId="47"/>
    <cellStyle name="WIP" xfId="4718"/>
    <cellStyle name="Zero" xfId="4719"/>
    <cellStyle name="Акцент1 10" xfId="4720"/>
    <cellStyle name="Акцент1 11" xfId="4721"/>
    <cellStyle name="Акцент1 12" xfId="4722"/>
    <cellStyle name="Акцент1 13" xfId="4723"/>
    <cellStyle name="Акцент1 14" xfId="4724"/>
    <cellStyle name="Акцент1 15" xfId="4725"/>
    <cellStyle name="Акцент1 15 2" xfId="4726"/>
    <cellStyle name="Акцент1 16" xfId="4727"/>
    <cellStyle name="Акцент1 16 2" xfId="4728"/>
    <cellStyle name="Акцент1 17" xfId="4729"/>
    <cellStyle name="Акцент1 17 2" xfId="4730"/>
    <cellStyle name="Акцент1 18" xfId="4731"/>
    <cellStyle name="Акцент1 18 2" xfId="4732"/>
    <cellStyle name="Акцент1 19" xfId="4733"/>
    <cellStyle name="Акцент1 2" xfId="4734"/>
    <cellStyle name="Акцент1 2 10" xfId="4735"/>
    <cellStyle name="Акцент1 2 11" xfId="4736"/>
    <cellStyle name="Акцент1 2 12" xfId="4737"/>
    <cellStyle name="Акцент1 2 13" xfId="4738"/>
    <cellStyle name="Акцент1 2 14" xfId="4739"/>
    <cellStyle name="Акцент1 2 15" xfId="4740"/>
    <cellStyle name="Акцент1 2 16" xfId="4741"/>
    <cellStyle name="Акцент1 2 17" xfId="4742"/>
    <cellStyle name="Акцент1 2 18" xfId="4743"/>
    <cellStyle name="Акцент1 2 19" xfId="4744"/>
    <cellStyle name="Акцент1 2 2" xfId="4745"/>
    <cellStyle name="Акцент1 2 20" xfId="4746"/>
    <cellStyle name="Акцент1 2 21" xfId="4747"/>
    <cellStyle name="Акцент1 2 22" xfId="4748"/>
    <cellStyle name="Акцент1 2 23" xfId="4749"/>
    <cellStyle name="Акцент1 2 24" xfId="4750"/>
    <cellStyle name="Акцент1 2 25" xfId="4751"/>
    <cellStyle name="Акцент1 2 26" xfId="4752"/>
    <cellStyle name="Акцент1 2 27" xfId="4753"/>
    <cellStyle name="Акцент1 2 28" xfId="4754"/>
    <cellStyle name="Акцент1 2 29" xfId="4755"/>
    <cellStyle name="Акцент1 2 3" xfId="4756"/>
    <cellStyle name="Акцент1 2 30" xfId="4757"/>
    <cellStyle name="Акцент1 2 31" xfId="4758"/>
    <cellStyle name="Акцент1 2 32" xfId="4759"/>
    <cellStyle name="Акцент1 2 33" xfId="4760"/>
    <cellStyle name="Акцент1 2 34" xfId="4761"/>
    <cellStyle name="Акцент1 2 35" xfId="4762"/>
    <cellStyle name="Акцент1 2 36" xfId="4763"/>
    <cellStyle name="Акцент1 2 4" xfId="4764"/>
    <cellStyle name="Акцент1 2 5" xfId="4765"/>
    <cellStyle name="Акцент1 2 6" xfId="4766"/>
    <cellStyle name="Акцент1 2 7" xfId="4767"/>
    <cellStyle name="Акцент1 2 8" xfId="4768"/>
    <cellStyle name="Акцент1 2 9" xfId="4769"/>
    <cellStyle name="Акцент1 20" xfId="4770"/>
    <cellStyle name="Акцент1 20 2" xfId="4771"/>
    <cellStyle name="Акцент1 20 3" xfId="4772"/>
    <cellStyle name="Акцент1 20 4" xfId="4773"/>
    <cellStyle name="Акцент1 21" xfId="4774"/>
    <cellStyle name="Акцент1 21 2" xfId="4775"/>
    <cellStyle name="Акцент1 21 3" xfId="4776"/>
    <cellStyle name="Акцент1 21 4" xfId="4777"/>
    <cellStyle name="Акцент1 22" xfId="4778"/>
    <cellStyle name="Акцент1 22 2" xfId="4779"/>
    <cellStyle name="Акцент1 22 3" xfId="4780"/>
    <cellStyle name="Акцент1 22 4" xfId="4781"/>
    <cellStyle name="Акцент1 23" xfId="4782"/>
    <cellStyle name="Акцент1 24" xfId="4783"/>
    <cellStyle name="Акцент1 25" xfId="4784"/>
    <cellStyle name="Акцент1 26" xfId="4785"/>
    <cellStyle name="Акцент1 27" xfId="4786"/>
    <cellStyle name="Акцент1 28" xfId="4787"/>
    <cellStyle name="Акцент1 29" xfId="4788"/>
    <cellStyle name="Акцент1 3" xfId="4789"/>
    <cellStyle name="Акцент1 4" xfId="4790"/>
    <cellStyle name="Акцент1 5" xfId="4791"/>
    <cellStyle name="Акцент1 6" xfId="4792"/>
    <cellStyle name="Акцент1 7" xfId="4793"/>
    <cellStyle name="Акцент1 8" xfId="4794"/>
    <cellStyle name="Акцент1 9" xfId="4795"/>
    <cellStyle name="Акцент2 10" xfId="4796"/>
    <cellStyle name="Акцент2 11" xfId="4797"/>
    <cellStyle name="Акцент2 12" xfId="4798"/>
    <cellStyle name="Акцент2 13" xfId="4799"/>
    <cellStyle name="Акцент2 14" xfId="4800"/>
    <cellStyle name="Акцент2 15" xfId="4801"/>
    <cellStyle name="Акцент2 15 2" xfId="4802"/>
    <cellStyle name="Акцент2 16" xfId="4803"/>
    <cellStyle name="Акцент2 16 2" xfId="4804"/>
    <cellStyle name="Акцент2 17" xfId="4805"/>
    <cellStyle name="Акцент2 17 2" xfId="4806"/>
    <cellStyle name="Акцент2 18" xfId="4807"/>
    <cellStyle name="Акцент2 18 2" xfId="4808"/>
    <cellStyle name="Акцент2 19" xfId="4809"/>
    <cellStyle name="Акцент2 2" xfId="4810"/>
    <cellStyle name="Акцент2 2 10" xfId="4811"/>
    <cellStyle name="Акцент2 2 11" xfId="4812"/>
    <cellStyle name="Акцент2 2 12" xfId="4813"/>
    <cellStyle name="Акцент2 2 13" xfId="4814"/>
    <cellStyle name="Акцент2 2 14" xfId="4815"/>
    <cellStyle name="Акцент2 2 15" xfId="4816"/>
    <cellStyle name="Акцент2 2 16" xfId="4817"/>
    <cellStyle name="Акцент2 2 17" xfId="4818"/>
    <cellStyle name="Акцент2 2 18" xfId="4819"/>
    <cellStyle name="Акцент2 2 19" xfId="4820"/>
    <cellStyle name="Акцент2 2 2" xfId="4821"/>
    <cellStyle name="Акцент2 2 20" xfId="4822"/>
    <cellStyle name="Акцент2 2 21" xfId="4823"/>
    <cellStyle name="Акцент2 2 22" xfId="4824"/>
    <cellStyle name="Акцент2 2 23" xfId="4825"/>
    <cellStyle name="Акцент2 2 24" xfId="4826"/>
    <cellStyle name="Акцент2 2 25" xfId="4827"/>
    <cellStyle name="Акцент2 2 26" xfId="4828"/>
    <cellStyle name="Акцент2 2 27" xfId="4829"/>
    <cellStyle name="Акцент2 2 28" xfId="4830"/>
    <cellStyle name="Акцент2 2 29" xfId="4831"/>
    <cellStyle name="Акцент2 2 3" xfId="4832"/>
    <cellStyle name="Акцент2 2 30" xfId="4833"/>
    <cellStyle name="Акцент2 2 31" xfId="4834"/>
    <cellStyle name="Акцент2 2 32" xfId="4835"/>
    <cellStyle name="Акцент2 2 33" xfId="4836"/>
    <cellStyle name="Акцент2 2 34" xfId="4837"/>
    <cellStyle name="Акцент2 2 35" xfId="4838"/>
    <cellStyle name="Акцент2 2 36" xfId="4839"/>
    <cellStyle name="Акцент2 2 4" xfId="4840"/>
    <cellStyle name="Акцент2 2 5" xfId="4841"/>
    <cellStyle name="Акцент2 2 6" xfId="4842"/>
    <cellStyle name="Акцент2 2 7" xfId="4843"/>
    <cellStyle name="Акцент2 2 8" xfId="4844"/>
    <cellStyle name="Акцент2 2 9" xfId="4845"/>
    <cellStyle name="Акцент2 20" xfId="4846"/>
    <cellStyle name="Акцент2 20 2" xfId="4847"/>
    <cellStyle name="Акцент2 20 3" xfId="4848"/>
    <cellStyle name="Акцент2 20 4" xfId="4849"/>
    <cellStyle name="Акцент2 21" xfId="4850"/>
    <cellStyle name="Акцент2 21 2" xfId="4851"/>
    <cellStyle name="Акцент2 21 3" xfId="4852"/>
    <cellStyle name="Акцент2 21 4" xfId="4853"/>
    <cellStyle name="Акцент2 22" xfId="4854"/>
    <cellStyle name="Акцент2 22 2" xfId="4855"/>
    <cellStyle name="Акцент2 22 3" xfId="4856"/>
    <cellStyle name="Акцент2 22 4" xfId="4857"/>
    <cellStyle name="Акцент2 23" xfId="4858"/>
    <cellStyle name="Акцент2 24" xfId="4859"/>
    <cellStyle name="Акцент2 25" xfId="4860"/>
    <cellStyle name="Акцент2 26" xfId="4861"/>
    <cellStyle name="Акцент2 27" xfId="4862"/>
    <cellStyle name="Акцент2 28" xfId="4863"/>
    <cellStyle name="Акцент2 29" xfId="4864"/>
    <cellStyle name="Акцент2 3" xfId="4865"/>
    <cellStyle name="Акцент2 4" xfId="4866"/>
    <cellStyle name="Акцент2 5" xfId="4867"/>
    <cellStyle name="Акцент2 6" xfId="4868"/>
    <cellStyle name="Акцент2 7" xfId="4869"/>
    <cellStyle name="Акцент2 8" xfId="4870"/>
    <cellStyle name="Акцент2 9" xfId="4871"/>
    <cellStyle name="Акцент3 10" xfId="4872"/>
    <cellStyle name="Акцент3 11" xfId="4873"/>
    <cellStyle name="Акцент3 12" xfId="4874"/>
    <cellStyle name="Акцент3 13" xfId="4875"/>
    <cellStyle name="Акцент3 14" xfId="4876"/>
    <cellStyle name="Акцент3 15" xfId="4877"/>
    <cellStyle name="Акцент3 15 2" xfId="4878"/>
    <cellStyle name="Акцент3 16" xfId="4879"/>
    <cellStyle name="Акцент3 16 2" xfId="4880"/>
    <cellStyle name="Акцент3 17" xfId="4881"/>
    <cellStyle name="Акцент3 17 2" xfId="4882"/>
    <cellStyle name="Акцент3 18" xfId="4883"/>
    <cellStyle name="Акцент3 18 2" xfId="4884"/>
    <cellStyle name="Акцент3 19" xfId="4885"/>
    <cellStyle name="Акцент3 2" xfId="4886"/>
    <cellStyle name="Акцент3 2 10" xfId="4887"/>
    <cellStyle name="Акцент3 2 11" xfId="4888"/>
    <cellStyle name="Акцент3 2 12" xfId="4889"/>
    <cellStyle name="Акцент3 2 13" xfId="4890"/>
    <cellStyle name="Акцент3 2 14" xfId="4891"/>
    <cellStyle name="Акцент3 2 15" xfId="4892"/>
    <cellStyle name="Акцент3 2 16" xfId="4893"/>
    <cellStyle name="Акцент3 2 17" xfId="4894"/>
    <cellStyle name="Акцент3 2 18" xfId="4895"/>
    <cellStyle name="Акцент3 2 19" xfId="4896"/>
    <cellStyle name="Акцент3 2 2" xfId="4897"/>
    <cellStyle name="Акцент3 2 20" xfId="4898"/>
    <cellStyle name="Акцент3 2 21" xfId="4899"/>
    <cellStyle name="Акцент3 2 22" xfId="4900"/>
    <cellStyle name="Акцент3 2 23" xfId="4901"/>
    <cellStyle name="Акцент3 2 24" xfId="4902"/>
    <cellStyle name="Акцент3 2 25" xfId="4903"/>
    <cellStyle name="Акцент3 2 26" xfId="4904"/>
    <cellStyle name="Акцент3 2 27" xfId="4905"/>
    <cellStyle name="Акцент3 2 28" xfId="4906"/>
    <cellStyle name="Акцент3 2 29" xfId="4907"/>
    <cellStyle name="Акцент3 2 3" xfId="4908"/>
    <cellStyle name="Акцент3 2 30" xfId="4909"/>
    <cellStyle name="Акцент3 2 31" xfId="4910"/>
    <cellStyle name="Акцент3 2 32" xfId="4911"/>
    <cellStyle name="Акцент3 2 33" xfId="4912"/>
    <cellStyle name="Акцент3 2 34" xfId="4913"/>
    <cellStyle name="Акцент3 2 35" xfId="4914"/>
    <cellStyle name="Акцент3 2 36" xfId="4915"/>
    <cellStyle name="Акцент3 2 4" xfId="4916"/>
    <cellStyle name="Акцент3 2 5" xfId="4917"/>
    <cellStyle name="Акцент3 2 6" xfId="4918"/>
    <cellStyle name="Акцент3 2 7" xfId="4919"/>
    <cellStyle name="Акцент3 2 8" xfId="4920"/>
    <cellStyle name="Акцент3 2 9" xfId="4921"/>
    <cellStyle name="Акцент3 20" xfId="4922"/>
    <cellStyle name="Акцент3 20 2" xfId="4923"/>
    <cellStyle name="Акцент3 20 3" xfId="4924"/>
    <cellStyle name="Акцент3 20 4" xfId="4925"/>
    <cellStyle name="Акцент3 21" xfId="4926"/>
    <cellStyle name="Акцент3 21 2" xfId="4927"/>
    <cellStyle name="Акцент3 21 3" xfId="4928"/>
    <cellStyle name="Акцент3 21 4" xfId="4929"/>
    <cellStyle name="Акцент3 22" xfId="4930"/>
    <cellStyle name="Акцент3 22 2" xfId="4931"/>
    <cellStyle name="Акцент3 22 3" xfId="4932"/>
    <cellStyle name="Акцент3 22 4" xfId="4933"/>
    <cellStyle name="Акцент3 23" xfId="4934"/>
    <cellStyle name="Акцент3 24" xfId="4935"/>
    <cellStyle name="Акцент3 25" xfId="4936"/>
    <cellStyle name="Акцент3 26" xfId="4937"/>
    <cellStyle name="Акцент3 27" xfId="4938"/>
    <cellStyle name="Акцент3 28" xfId="4939"/>
    <cellStyle name="Акцент3 29" xfId="4940"/>
    <cellStyle name="Акцент3 3" xfId="4941"/>
    <cellStyle name="Акцент3 4" xfId="4942"/>
    <cellStyle name="Акцент3 5" xfId="4943"/>
    <cellStyle name="Акцент3 6" xfId="4944"/>
    <cellStyle name="Акцент3 7" xfId="4945"/>
    <cellStyle name="Акцент3 8" xfId="4946"/>
    <cellStyle name="Акцент3 9" xfId="4947"/>
    <cellStyle name="Акцент4 10" xfId="4948"/>
    <cellStyle name="Акцент4 11" xfId="4949"/>
    <cellStyle name="Акцент4 12" xfId="4950"/>
    <cellStyle name="Акцент4 13" xfId="4951"/>
    <cellStyle name="Акцент4 14" xfId="4952"/>
    <cellStyle name="Акцент4 15" xfId="4953"/>
    <cellStyle name="Акцент4 15 2" xfId="4954"/>
    <cellStyle name="Акцент4 16" xfId="4955"/>
    <cellStyle name="Акцент4 16 2" xfId="4956"/>
    <cellStyle name="Акцент4 17" xfId="4957"/>
    <cellStyle name="Акцент4 17 2" xfId="4958"/>
    <cellStyle name="Акцент4 18" xfId="4959"/>
    <cellStyle name="Акцент4 18 2" xfId="4960"/>
    <cellStyle name="Акцент4 19" xfId="4961"/>
    <cellStyle name="Акцент4 2" xfId="4962"/>
    <cellStyle name="Акцент4 2 10" xfId="4963"/>
    <cellStyle name="Акцент4 2 11" xfId="4964"/>
    <cellStyle name="Акцент4 2 12" xfId="4965"/>
    <cellStyle name="Акцент4 2 13" xfId="4966"/>
    <cellStyle name="Акцент4 2 14" xfId="4967"/>
    <cellStyle name="Акцент4 2 15" xfId="4968"/>
    <cellStyle name="Акцент4 2 16" xfId="4969"/>
    <cellStyle name="Акцент4 2 17" xfId="4970"/>
    <cellStyle name="Акцент4 2 18" xfId="4971"/>
    <cellStyle name="Акцент4 2 19" xfId="4972"/>
    <cellStyle name="Акцент4 2 2" xfId="4973"/>
    <cellStyle name="Акцент4 2 20" xfId="4974"/>
    <cellStyle name="Акцент4 2 21" xfId="4975"/>
    <cellStyle name="Акцент4 2 22" xfId="4976"/>
    <cellStyle name="Акцент4 2 23" xfId="4977"/>
    <cellStyle name="Акцент4 2 24" xfId="4978"/>
    <cellStyle name="Акцент4 2 25" xfId="4979"/>
    <cellStyle name="Акцент4 2 26" xfId="4980"/>
    <cellStyle name="Акцент4 2 27" xfId="4981"/>
    <cellStyle name="Акцент4 2 28" xfId="4982"/>
    <cellStyle name="Акцент4 2 29" xfId="4983"/>
    <cellStyle name="Акцент4 2 3" xfId="4984"/>
    <cellStyle name="Акцент4 2 30" xfId="4985"/>
    <cellStyle name="Акцент4 2 31" xfId="4986"/>
    <cellStyle name="Акцент4 2 32" xfId="4987"/>
    <cellStyle name="Акцент4 2 33" xfId="4988"/>
    <cellStyle name="Акцент4 2 34" xfId="4989"/>
    <cellStyle name="Акцент4 2 35" xfId="4990"/>
    <cellStyle name="Акцент4 2 36" xfId="4991"/>
    <cellStyle name="Акцент4 2 4" xfId="4992"/>
    <cellStyle name="Акцент4 2 5" xfId="4993"/>
    <cellStyle name="Акцент4 2 6" xfId="4994"/>
    <cellStyle name="Акцент4 2 7" xfId="4995"/>
    <cellStyle name="Акцент4 2 8" xfId="4996"/>
    <cellStyle name="Акцент4 2 9" xfId="4997"/>
    <cellStyle name="Акцент4 20" xfId="4998"/>
    <cellStyle name="Акцент4 20 2" xfId="4999"/>
    <cellStyle name="Акцент4 20 3" xfId="5000"/>
    <cellStyle name="Акцент4 20 4" xfId="5001"/>
    <cellStyle name="Акцент4 21" xfId="5002"/>
    <cellStyle name="Акцент4 21 2" xfId="5003"/>
    <cellStyle name="Акцент4 21 3" xfId="5004"/>
    <cellStyle name="Акцент4 21 4" xfId="5005"/>
    <cellStyle name="Акцент4 22" xfId="5006"/>
    <cellStyle name="Акцент4 22 2" xfId="5007"/>
    <cellStyle name="Акцент4 22 3" xfId="5008"/>
    <cellStyle name="Акцент4 22 4" xfId="5009"/>
    <cellStyle name="Акцент4 23" xfId="5010"/>
    <cellStyle name="Акцент4 24" xfId="5011"/>
    <cellStyle name="Акцент4 25" xfId="5012"/>
    <cellStyle name="Акцент4 26" xfId="5013"/>
    <cellStyle name="Акцент4 27" xfId="5014"/>
    <cellStyle name="Акцент4 28" xfId="5015"/>
    <cellStyle name="Акцент4 29" xfId="5016"/>
    <cellStyle name="Акцент4 3" xfId="5017"/>
    <cellStyle name="Акцент4 4" xfId="5018"/>
    <cellStyle name="Акцент4 5" xfId="5019"/>
    <cellStyle name="Акцент4 6" xfId="5020"/>
    <cellStyle name="Акцент4 7" xfId="5021"/>
    <cellStyle name="Акцент4 8" xfId="5022"/>
    <cellStyle name="Акцент4 9" xfId="5023"/>
    <cellStyle name="Акцент5 10" xfId="5024"/>
    <cellStyle name="Акцент5 11" xfId="5025"/>
    <cellStyle name="Акцент5 12" xfId="5026"/>
    <cellStyle name="Акцент5 13" xfId="5027"/>
    <cellStyle name="Акцент5 14" xfId="5028"/>
    <cellStyle name="Акцент5 15" xfId="5029"/>
    <cellStyle name="Акцент5 15 2" xfId="5030"/>
    <cellStyle name="Акцент5 16" xfId="5031"/>
    <cellStyle name="Акцент5 16 2" xfId="5032"/>
    <cellStyle name="Акцент5 17" xfId="5033"/>
    <cellStyle name="Акцент5 17 2" xfId="5034"/>
    <cellStyle name="Акцент5 18" xfId="5035"/>
    <cellStyle name="Акцент5 18 2" xfId="5036"/>
    <cellStyle name="Акцент5 19" xfId="5037"/>
    <cellStyle name="Акцент5 2" xfId="5038"/>
    <cellStyle name="Акцент5 2 10" xfId="5039"/>
    <cellStyle name="Акцент5 2 11" xfId="5040"/>
    <cellStyle name="Акцент5 2 12" xfId="5041"/>
    <cellStyle name="Акцент5 2 13" xfId="5042"/>
    <cellStyle name="Акцент5 2 14" xfId="5043"/>
    <cellStyle name="Акцент5 2 15" xfId="5044"/>
    <cellStyle name="Акцент5 2 16" xfId="5045"/>
    <cellStyle name="Акцент5 2 17" xfId="5046"/>
    <cellStyle name="Акцент5 2 18" xfId="5047"/>
    <cellStyle name="Акцент5 2 19" xfId="5048"/>
    <cellStyle name="Акцент5 2 2" xfId="5049"/>
    <cellStyle name="Акцент5 2 20" xfId="5050"/>
    <cellStyle name="Акцент5 2 21" xfId="5051"/>
    <cellStyle name="Акцент5 2 22" xfId="5052"/>
    <cellStyle name="Акцент5 2 23" xfId="5053"/>
    <cellStyle name="Акцент5 2 24" xfId="5054"/>
    <cellStyle name="Акцент5 2 25" xfId="5055"/>
    <cellStyle name="Акцент5 2 26" xfId="5056"/>
    <cellStyle name="Акцент5 2 27" xfId="5057"/>
    <cellStyle name="Акцент5 2 28" xfId="5058"/>
    <cellStyle name="Акцент5 2 29" xfId="5059"/>
    <cellStyle name="Акцент5 2 3" xfId="5060"/>
    <cellStyle name="Акцент5 2 30" xfId="5061"/>
    <cellStyle name="Акцент5 2 31" xfId="5062"/>
    <cellStyle name="Акцент5 2 32" xfId="5063"/>
    <cellStyle name="Акцент5 2 33" xfId="5064"/>
    <cellStyle name="Акцент5 2 34" xfId="5065"/>
    <cellStyle name="Акцент5 2 35" xfId="5066"/>
    <cellStyle name="Акцент5 2 36" xfId="5067"/>
    <cellStyle name="Акцент5 2 4" xfId="5068"/>
    <cellStyle name="Акцент5 2 5" xfId="5069"/>
    <cellStyle name="Акцент5 2 6" xfId="5070"/>
    <cellStyle name="Акцент5 2 7" xfId="5071"/>
    <cellStyle name="Акцент5 2 8" xfId="5072"/>
    <cellStyle name="Акцент5 2 9" xfId="5073"/>
    <cellStyle name="Акцент5 20" xfId="5074"/>
    <cellStyle name="Акцент5 20 2" xfId="5075"/>
    <cellStyle name="Акцент5 20 3" xfId="5076"/>
    <cellStyle name="Акцент5 20 4" xfId="5077"/>
    <cellStyle name="Акцент5 21" xfId="5078"/>
    <cellStyle name="Акцент5 21 2" xfId="5079"/>
    <cellStyle name="Акцент5 21 3" xfId="5080"/>
    <cellStyle name="Акцент5 21 4" xfId="5081"/>
    <cellStyle name="Акцент5 22" xfId="5082"/>
    <cellStyle name="Акцент5 22 2" xfId="5083"/>
    <cellStyle name="Акцент5 22 3" xfId="5084"/>
    <cellStyle name="Акцент5 22 4" xfId="5085"/>
    <cellStyle name="Акцент5 23" xfId="5086"/>
    <cellStyle name="Акцент5 24" xfId="5087"/>
    <cellStyle name="Акцент5 25" xfId="5088"/>
    <cellStyle name="Акцент5 26" xfId="5089"/>
    <cellStyle name="Акцент5 27" xfId="5090"/>
    <cellStyle name="Акцент5 28" xfId="5091"/>
    <cellStyle name="Акцент5 29" xfId="5092"/>
    <cellStyle name="Акцент5 3" xfId="5093"/>
    <cellStyle name="Акцент5 4" xfId="5094"/>
    <cellStyle name="Акцент5 5" xfId="5095"/>
    <cellStyle name="Акцент5 6" xfId="5096"/>
    <cellStyle name="Акцент5 7" xfId="5097"/>
    <cellStyle name="Акцент5 8" xfId="5098"/>
    <cellStyle name="Акцент5 9" xfId="5099"/>
    <cellStyle name="Акцент6 10" xfId="5100"/>
    <cellStyle name="Акцент6 11" xfId="5101"/>
    <cellStyle name="Акцент6 12" xfId="5102"/>
    <cellStyle name="Акцент6 13" xfId="5103"/>
    <cellStyle name="Акцент6 14" xfId="5104"/>
    <cellStyle name="Акцент6 15" xfId="5105"/>
    <cellStyle name="Акцент6 15 2" xfId="5106"/>
    <cellStyle name="Акцент6 16" xfId="5107"/>
    <cellStyle name="Акцент6 16 2" xfId="5108"/>
    <cellStyle name="Акцент6 17" xfId="5109"/>
    <cellStyle name="Акцент6 17 2" xfId="5110"/>
    <cellStyle name="Акцент6 18" xfId="5111"/>
    <cellStyle name="Акцент6 18 2" xfId="5112"/>
    <cellStyle name="Акцент6 19" xfId="5113"/>
    <cellStyle name="Акцент6 2" xfId="5114"/>
    <cellStyle name="Акцент6 2 10" xfId="5115"/>
    <cellStyle name="Акцент6 2 11" xfId="5116"/>
    <cellStyle name="Акцент6 2 12" xfId="5117"/>
    <cellStyle name="Акцент6 2 13" xfId="5118"/>
    <cellStyle name="Акцент6 2 14" xfId="5119"/>
    <cellStyle name="Акцент6 2 15" xfId="5120"/>
    <cellStyle name="Акцент6 2 16" xfId="5121"/>
    <cellStyle name="Акцент6 2 17" xfId="5122"/>
    <cellStyle name="Акцент6 2 18" xfId="5123"/>
    <cellStyle name="Акцент6 2 19" xfId="5124"/>
    <cellStyle name="Акцент6 2 2" xfId="5125"/>
    <cellStyle name="Акцент6 2 20" xfId="5126"/>
    <cellStyle name="Акцент6 2 21" xfId="5127"/>
    <cellStyle name="Акцент6 2 22" xfId="5128"/>
    <cellStyle name="Акцент6 2 23" xfId="5129"/>
    <cellStyle name="Акцент6 2 24" xfId="5130"/>
    <cellStyle name="Акцент6 2 25" xfId="5131"/>
    <cellStyle name="Акцент6 2 26" xfId="5132"/>
    <cellStyle name="Акцент6 2 27" xfId="5133"/>
    <cellStyle name="Акцент6 2 28" xfId="5134"/>
    <cellStyle name="Акцент6 2 29" xfId="5135"/>
    <cellStyle name="Акцент6 2 3" xfId="5136"/>
    <cellStyle name="Акцент6 2 30" xfId="5137"/>
    <cellStyle name="Акцент6 2 31" xfId="5138"/>
    <cellStyle name="Акцент6 2 32" xfId="5139"/>
    <cellStyle name="Акцент6 2 33" xfId="5140"/>
    <cellStyle name="Акцент6 2 34" xfId="5141"/>
    <cellStyle name="Акцент6 2 35" xfId="5142"/>
    <cellStyle name="Акцент6 2 36" xfId="5143"/>
    <cellStyle name="Акцент6 2 4" xfId="5144"/>
    <cellStyle name="Акцент6 2 5" xfId="5145"/>
    <cellStyle name="Акцент6 2 6" xfId="5146"/>
    <cellStyle name="Акцент6 2 7" xfId="5147"/>
    <cellStyle name="Акцент6 2 8" xfId="5148"/>
    <cellStyle name="Акцент6 2 9" xfId="5149"/>
    <cellStyle name="Акцент6 20" xfId="5150"/>
    <cellStyle name="Акцент6 20 2" xfId="5151"/>
    <cellStyle name="Акцент6 20 3" xfId="5152"/>
    <cellStyle name="Акцент6 20 4" xfId="5153"/>
    <cellStyle name="Акцент6 21" xfId="5154"/>
    <cellStyle name="Акцент6 21 2" xfId="5155"/>
    <cellStyle name="Акцент6 21 3" xfId="5156"/>
    <cellStyle name="Акцент6 21 4" xfId="5157"/>
    <cellStyle name="Акцент6 22" xfId="5158"/>
    <cellStyle name="Акцент6 22 2" xfId="5159"/>
    <cellStyle name="Акцент6 22 3" xfId="5160"/>
    <cellStyle name="Акцент6 22 4" xfId="5161"/>
    <cellStyle name="Акцент6 23" xfId="5162"/>
    <cellStyle name="Акцент6 24" xfId="5163"/>
    <cellStyle name="Акцент6 25" xfId="5164"/>
    <cellStyle name="Акцент6 26" xfId="5165"/>
    <cellStyle name="Акцент6 27" xfId="5166"/>
    <cellStyle name="Акцент6 28" xfId="5167"/>
    <cellStyle name="Акцент6 29" xfId="5168"/>
    <cellStyle name="Акцент6 3" xfId="5169"/>
    <cellStyle name="Акцент6 4" xfId="5170"/>
    <cellStyle name="Акцент6 5" xfId="5171"/>
    <cellStyle name="Акцент6 6" xfId="5172"/>
    <cellStyle name="Акцент6 7" xfId="5173"/>
    <cellStyle name="Акцент6 8" xfId="5174"/>
    <cellStyle name="Акцент6 9" xfId="5175"/>
    <cellStyle name="Баланс ИПК &quot;ШАРК&quot; (в рублях)" xfId="5176"/>
    <cellStyle name="Ввод  10" xfId="5177"/>
    <cellStyle name="Ввод  11" xfId="5178"/>
    <cellStyle name="Ввод  12" xfId="5179"/>
    <cellStyle name="Ввод  13" xfId="5180"/>
    <cellStyle name="Ввод  14" xfId="5181"/>
    <cellStyle name="Ввод  15" xfId="5182"/>
    <cellStyle name="Ввод  15 2" xfId="5183"/>
    <cellStyle name="Ввод  16" xfId="5184"/>
    <cellStyle name="Ввод  16 2" xfId="5185"/>
    <cellStyle name="Ввод  17" xfId="5186"/>
    <cellStyle name="Ввод  17 2" xfId="5187"/>
    <cellStyle name="Ввод  18" xfId="5188"/>
    <cellStyle name="Ввод  18 2" xfId="5189"/>
    <cellStyle name="Ввод  19" xfId="5190"/>
    <cellStyle name="Ввод  2" xfId="5191"/>
    <cellStyle name="Ввод  2 10" xfId="5192"/>
    <cellStyle name="Ввод  2 11" xfId="5193"/>
    <cellStyle name="Ввод  2 12" xfId="5194"/>
    <cellStyle name="Ввод  2 13" xfId="5195"/>
    <cellStyle name="Ввод  2 14" xfId="5196"/>
    <cellStyle name="Ввод  2 15" xfId="5197"/>
    <cellStyle name="Ввод  2 16" xfId="5198"/>
    <cellStyle name="Ввод  2 17" xfId="5199"/>
    <cellStyle name="Ввод  2 18" xfId="5200"/>
    <cellStyle name="Ввод  2 19" xfId="5201"/>
    <cellStyle name="Ввод  2 2" xfId="5202"/>
    <cellStyle name="Ввод  2 20" xfId="5203"/>
    <cellStyle name="Ввод  2 21" xfId="5204"/>
    <cellStyle name="Ввод  2 22" xfId="5205"/>
    <cellStyle name="Ввод  2 23" xfId="5206"/>
    <cellStyle name="Ввод  2 24" xfId="5207"/>
    <cellStyle name="Ввод  2 25" xfId="5208"/>
    <cellStyle name="Ввод  2 26" xfId="5209"/>
    <cellStyle name="Ввод  2 27" xfId="5210"/>
    <cellStyle name="Ввод  2 28" xfId="5211"/>
    <cellStyle name="Ввод  2 29" xfId="5212"/>
    <cellStyle name="Ввод  2 3" xfId="5213"/>
    <cellStyle name="Ввод  2 30" xfId="5214"/>
    <cellStyle name="Ввод  2 31" xfId="5215"/>
    <cellStyle name="Ввод  2 32" xfId="5216"/>
    <cellStyle name="Ввод  2 33" xfId="5217"/>
    <cellStyle name="Ввод  2 34" xfId="5218"/>
    <cellStyle name="Ввод  2 35" xfId="5219"/>
    <cellStyle name="Ввод  2 36" xfId="5220"/>
    <cellStyle name="Ввод  2 4" xfId="5221"/>
    <cellStyle name="Ввод  2 5" xfId="5222"/>
    <cellStyle name="Ввод  2 6" xfId="5223"/>
    <cellStyle name="Ввод  2 7" xfId="5224"/>
    <cellStyle name="Ввод  2 8" xfId="5225"/>
    <cellStyle name="Ввод  2 9" xfId="5226"/>
    <cellStyle name="Ввод  20" xfId="5227"/>
    <cellStyle name="Ввод  20 2" xfId="5228"/>
    <cellStyle name="Ввод  20 3" xfId="5229"/>
    <cellStyle name="Ввод  20 4" xfId="5230"/>
    <cellStyle name="Ввод  21" xfId="5231"/>
    <cellStyle name="Ввод  21 2" xfId="5232"/>
    <cellStyle name="Ввод  21 3" xfId="5233"/>
    <cellStyle name="Ввод  21 4" xfId="5234"/>
    <cellStyle name="Ввод  22" xfId="5235"/>
    <cellStyle name="Ввод  22 2" xfId="5236"/>
    <cellStyle name="Ввод  22 3" xfId="5237"/>
    <cellStyle name="Ввод  22 4" xfId="5238"/>
    <cellStyle name="Ввод  23" xfId="5239"/>
    <cellStyle name="Ввод  24" xfId="5240"/>
    <cellStyle name="Ввод  25" xfId="5241"/>
    <cellStyle name="Ввод  26" xfId="5242"/>
    <cellStyle name="Ввод  27" xfId="5243"/>
    <cellStyle name="Ввод  28" xfId="5244"/>
    <cellStyle name="Ввод  29" xfId="5245"/>
    <cellStyle name="Ввод  3" xfId="5246"/>
    <cellStyle name="Ввод  4" xfId="5247"/>
    <cellStyle name="Ввод  5" xfId="5248"/>
    <cellStyle name="Ввод  6" xfId="5249"/>
    <cellStyle name="Ввод  7" xfId="5250"/>
    <cellStyle name="Ввод  8" xfId="5251"/>
    <cellStyle name="Ввод  9" xfId="5252"/>
    <cellStyle name="Вывод 10" xfId="5253"/>
    <cellStyle name="Вывод 11" xfId="5254"/>
    <cellStyle name="Вывод 12" xfId="5255"/>
    <cellStyle name="Вывод 13" xfId="5256"/>
    <cellStyle name="Вывод 14" xfId="5257"/>
    <cellStyle name="Вывод 15" xfId="5258"/>
    <cellStyle name="Вывод 15 2" xfId="5259"/>
    <cellStyle name="Вывод 16" xfId="5260"/>
    <cellStyle name="Вывод 16 2" xfId="5261"/>
    <cellStyle name="Вывод 17" xfId="5262"/>
    <cellStyle name="Вывод 17 2" xfId="5263"/>
    <cellStyle name="Вывод 18" xfId="5264"/>
    <cellStyle name="Вывод 18 2" xfId="5265"/>
    <cellStyle name="Вывод 19" xfId="5266"/>
    <cellStyle name="Вывод 2" xfId="5267"/>
    <cellStyle name="Вывод 2 10" xfId="5268"/>
    <cellStyle name="Вывод 2 11" xfId="5269"/>
    <cellStyle name="Вывод 2 12" xfId="5270"/>
    <cellStyle name="Вывод 2 13" xfId="5271"/>
    <cellStyle name="Вывод 2 14" xfId="5272"/>
    <cellStyle name="Вывод 2 15" xfId="5273"/>
    <cellStyle name="Вывод 2 16" xfId="5274"/>
    <cellStyle name="Вывод 2 17" xfId="5275"/>
    <cellStyle name="Вывод 2 18" xfId="5276"/>
    <cellStyle name="Вывод 2 19" xfId="5277"/>
    <cellStyle name="Вывод 2 2" xfId="5278"/>
    <cellStyle name="Вывод 2 20" xfId="5279"/>
    <cellStyle name="Вывод 2 21" xfId="5280"/>
    <cellStyle name="Вывод 2 22" xfId="5281"/>
    <cellStyle name="Вывод 2 23" xfId="5282"/>
    <cellStyle name="Вывод 2 24" xfId="5283"/>
    <cellStyle name="Вывод 2 25" xfId="5284"/>
    <cellStyle name="Вывод 2 26" xfId="5285"/>
    <cellStyle name="Вывод 2 27" xfId="5286"/>
    <cellStyle name="Вывод 2 28" xfId="5287"/>
    <cellStyle name="Вывод 2 29" xfId="5288"/>
    <cellStyle name="Вывод 2 3" xfId="5289"/>
    <cellStyle name="Вывод 2 30" xfId="5290"/>
    <cellStyle name="Вывод 2 31" xfId="5291"/>
    <cellStyle name="Вывод 2 32" xfId="5292"/>
    <cellStyle name="Вывод 2 33" xfId="5293"/>
    <cellStyle name="Вывод 2 34" xfId="5294"/>
    <cellStyle name="Вывод 2 35" xfId="5295"/>
    <cellStyle name="Вывод 2 36" xfId="5296"/>
    <cellStyle name="Вывод 2 4" xfId="5297"/>
    <cellStyle name="Вывод 2 5" xfId="5298"/>
    <cellStyle name="Вывод 2 6" xfId="5299"/>
    <cellStyle name="Вывод 2 7" xfId="5300"/>
    <cellStyle name="Вывод 2 8" xfId="5301"/>
    <cellStyle name="Вывод 2 9" xfId="5302"/>
    <cellStyle name="Вывод 20" xfId="5303"/>
    <cellStyle name="Вывод 20 2" xfId="5304"/>
    <cellStyle name="Вывод 20 3" xfId="5305"/>
    <cellStyle name="Вывод 20 4" xfId="5306"/>
    <cellStyle name="Вывод 21" xfId="5307"/>
    <cellStyle name="Вывод 21 2" xfId="5308"/>
    <cellStyle name="Вывод 21 3" xfId="5309"/>
    <cellStyle name="Вывод 21 4" xfId="5310"/>
    <cellStyle name="Вывод 22" xfId="5311"/>
    <cellStyle name="Вывод 22 2" xfId="5312"/>
    <cellStyle name="Вывод 22 3" xfId="5313"/>
    <cellStyle name="Вывод 22 4" xfId="5314"/>
    <cellStyle name="Вывод 23" xfId="5315"/>
    <cellStyle name="Вывод 24" xfId="5316"/>
    <cellStyle name="Вывод 25" xfId="5317"/>
    <cellStyle name="Вывод 26" xfId="5318"/>
    <cellStyle name="Вывод 27" xfId="5319"/>
    <cellStyle name="Вывод 28" xfId="5320"/>
    <cellStyle name="Вывод 29" xfId="5321"/>
    <cellStyle name="Вывод 3" xfId="5322"/>
    <cellStyle name="Вывод 4" xfId="5323"/>
    <cellStyle name="Вывод 5" xfId="5324"/>
    <cellStyle name="Вывод 6" xfId="5325"/>
    <cellStyle name="Вывод 7" xfId="5326"/>
    <cellStyle name="Вывод 8" xfId="5327"/>
    <cellStyle name="Вывод 9" xfId="5328"/>
    <cellStyle name="Вычисление 10" xfId="5329"/>
    <cellStyle name="Вычисление 11" xfId="5330"/>
    <cellStyle name="Вычисление 12" xfId="5331"/>
    <cellStyle name="Вычисление 13" xfId="5332"/>
    <cellStyle name="Вычисление 14" xfId="5333"/>
    <cellStyle name="Вычисление 15" xfId="5334"/>
    <cellStyle name="Вычисление 15 2" xfId="5335"/>
    <cellStyle name="Вычисление 16" xfId="5336"/>
    <cellStyle name="Вычисление 16 2" xfId="5337"/>
    <cellStyle name="Вычисление 17" xfId="5338"/>
    <cellStyle name="Вычисление 17 2" xfId="5339"/>
    <cellStyle name="Вычисление 18" xfId="5340"/>
    <cellStyle name="Вычисление 18 2" xfId="5341"/>
    <cellStyle name="Вычисление 19" xfId="5342"/>
    <cellStyle name="Вычисление 2" xfId="5343"/>
    <cellStyle name="Вычисление 2 10" xfId="5344"/>
    <cellStyle name="Вычисление 2 11" xfId="5345"/>
    <cellStyle name="Вычисление 2 12" xfId="5346"/>
    <cellStyle name="Вычисление 2 13" xfId="5347"/>
    <cellStyle name="Вычисление 2 14" xfId="5348"/>
    <cellStyle name="Вычисление 2 15" xfId="5349"/>
    <cellStyle name="Вычисление 2 16" xfId="5350"/>
    <cellStyle name="Вычисление 2 17" xfId="5351"/>
    <cellStyle name="Вычисление 2 18" xfId="5352"/>
    <cellStyle name="Вычисление 2 19" xfId="5353"/>
    <cellStyle name="Вычисление 2 2" xfId="5354"/>
    <cellStyle name="Вычисление 2 20" xfId="5355"/>
    <cellStyle name="Вычисление 2 21" xfId="5356"/>
    <cellStyle name="Вычисление 2 22" xfId="5357"/>
    <cellStyle name="Вычисление 2 23" xfId="5358"/>
    <cellStyle name="Вычисление 2 24" xfId="5359"/>
    <cellStyle name="Вычисление 2 25" xfId="5360"/>
    <cellStyle name="Вычисление 2 26" xfId="5361"/>
    <cellStyle name="Вычисление 2 27" xfId="5362"/>
    <cellStyle name="Вычисление 2 28" xfId="5363"/>
    <cellStyle name="Вычисление 2 29" xfId="5364"/>
    <cellStyle name="Вычисление 2 3" xfId="5365"/>
    <cellStyle name="Вычисление 2 30" xfId="5366"/>
    <cellStyle name="Вычисление 2 31" xfId="5367"/>
    <cellStyle name="Вычисление 2 32" xfId="5368"/>
    <cellStyle name="Вычисление 2 33" xfId="5369"/>
    <cellStyle name="Вычисление 2 34" xfId="5370"/>
    <cellStyle name="Вычисление 2 35" xfId="5371"/>
    <cellStyle name="Вычисление 2 36" xfId="5372"/>
    <cellStyle name="Вычисление 2 4" xfId="5373"/>
    <cellStyle name="Вычисление 2 5" xfId="5374"/>
    <cellStyle name="Вычисление 2 6" xfId="5375"/>
    <cellStyle name="Вычисление 2 7" xfId="5376"/>
    <cellStyle name="Вычисление 2 8" xfId="5377"/>
    <cellStyle name="Вычисление 2 9" xfId="5378"/>
    <cellStyle name="Вычисление 20" xfId="5379"/>
    <cellStyle name="Вычисление 20 2" xfId="5380"/>
    <cellStyle name="Вычисление 20 3" xfId="5381"/>
    <cellStyle name="Вычисление 20 4" xfId="5382"/>
    <cellStyle name="Вычисление 21" xfId="5383"/>
    <cellStyle name="Вычисление 21 2" xfId="5384"/>
    <cellStyle name="Вычисление 21 3" xfId="5385"/>
    <cellStyle name="Вычисление 21 4" xfId="5386"/>
    <cellStyle name="Вычисление 22" xfId="5387"/>
    <cellStyle name="Вычисление 22 2" xfId="5388"/>
    <cellStyle name="Вычисление 22 3" xfId="5389"/>
    <cellStyle name="Вычисление 22 4" xfId="5390"/>
    <cellStyle name="Вычисление 23" xfId="5391"/>
    <cellStyle name="Вычисление 24" xfId="5392"/>
    <cellStyle name="Вычисление 25" xfId="5393"/>
    <cellStyle name="Вычисление 26" xfId="5394"/>
    <cellStyle name="Вычисление 27" xfId="5395"/>
    <cellStyle name="Вычисление 28" xfId="5396"/>
    <cellStyle name="Вычисление 29" xfId="5397"/>
    <cellStyle name="Вычисление 3" xfId="5398"/>
    <cellStyle name="Вычисление 4" xfId="5399"/>
    <cellStyle name="Вычисление 5" xfId="5400"/>
    <cellStyle name="Вычисление 6" xfId="5401"/>
    <cellStyle name="Вычисление 7" xfId="5402"/>
    <cellStyle name="Вычисление 8" xfId="5403"/>
    <cellStyle name="Вычисление 9" xfId="5404"/>
    <cellStyle name="Заголовок 1 10" xfId="5405"/>
    <cellStyle name="Заголовок 1 11" xfId="5406"/>
    <cellStyle name="Заголовок 1 12" xfId="5407"/>
    <cellStyle name="Заголовок 1 13" xfId="5408"/>
    <cellStyle name="Заголовок 1 14" xfId="5409"/>
    <cellStyle name="Заголовок 1 15" xfId="5410"/>
    <cellStyle name="Заголовок 1 15 2" xfId="5411"/>
    <cellStyle name="Заголовок 1 16" xfId="5412"/>
    <cellStyle name="Заголовок 1 16 2" xfId="5413"/>
    <cellStyle name="Заголовок 1 17" xfId="5414"/>
    <cellStyle name="Заголовок 1 17 2" xfId="5415"/>
    <cellStyle name="Заголовок 1 18" xfId="5416"/>
    <cellStyle name="Заголовок 1 18 2" xfId="5417"/>
    <cellStyle name="Заголовок 1 19" xfId="5418"/>
    <cellStyle name="Заголовок 1 2" xfId="5419"/>
    <cellStyle name="Заголовок 1 2 10" xfId="5420"/>
    <cellStyle name="Заголовок 1 2 11" xfId="5421"/>
    <cellStyle name="Заголовок 1 2 12" xfId="5422"/>
    <cellStyle name="Заголовок 1 2 13" xfId="5423"/>
    <cellStyle name="Заголовок 1 2 14" xfId="5424"/>
    <cellStyle name="Заголовок 1 2 15" xfId="5425"/>
    <cellStyle name="Заголовок 1 2 16" xfId="5426"/>
    <cellStyle name="Заголовок 1 2 17" xfId="5427"/>
    <cellStyle name="Заголовок 1 2 18" xfId="5428"/>
    <cellStyle name="Заголовок 1 2 19" xfId="5429"/>
    <cellStyle name="Заголовок 1 2 2" xfId="5430"/>
    <cellStyle name="Заголовок 1 2 20" xfId="5431"/>
    <cellStyle name="Заголовок 1 2 21" xfId="5432"/>
    <cellStyle name="Заголовок 1 2 22" xfId="5433"/>
    <cellStyle name="Заголовок 1 2 23" xfId="5434"/>
    <cellStyle name="Заголовок 1 2 24" xfId="5435"/>
    <cellStyle name="Заголовок 1 2 25" xfId="5436"/>
    <cellStyle name="Заголовок 1 2 26" xfId="5437"/>
    <cellStyle name="Заголовок 1 2 27" xfId="5438"/>
    <cellStyle name="Заголовок 1 2 28" xfId="5439"/>
    <cellStyle name="Заголовок 1 2 29" xfId="5440"/>
    <cellStyle name="Заголовок 1 2 3" xfId="5441"/>
    <cellStyle name="Заголовок 1 2 30" xfId="5442"/>
    <cellStyle name="Заголовок 1 2 31" xfId="5443"/>
    <cellStyle name="Заголовок 1 2 32" xfId="5444"/>
    <cellStyle name="Заголовок 1 2 33" xfId="5445"/>
    <cellStyle name="Заголовок 1 2 34" xfId="5446"/>
    <cellStyle name="Заголовок 1 2 35" xfId="5447"/>
    <cellStyle name="Заголовок 1 2 36" xfId="5448"/>
    <cellStyle name="Заголовок 1 2 4" xfId="5449"/>
    <cellStyle name="Заголовок 1 2 5" xfId="5450"/>
    <cellStyle name="Заголовок 1 2 6" xfId="5451"/>
    <cellStyle name="Заголовок 1 2 7" xfId="5452"/>
    <cellStyle name="Заголовок 1 2 8" xfId="5453"/>
    <cellStyle name="Заголовок 1 2 9" xfId="5454"/>
    <cellStyle name="Заголовок 1 20" xfId="5455"/>
    <cellStyle name="Заголовок 1 20 2" xfId="5456"/>
    <cellStyle name="Заголовок 1 20 3" xfId="5457"/>
    <cellStyle name="Заголовок 1 20 4" xfId="5458"/>
    <cellStyle name="Заголовок 1 21" xfId="5459"/>
    <cellStyle name="Заголовок 1 21 2" xfId="5460"/>
    <cellStyle name="Заголовок 1 21 3" xfId="5461"/>
    <cellStyle name="Заголовок 1 21 4" xfId="5462"/>
    <cellStyle name="Заголовок 1 22" xfId="5463"/>
    <cellStyle name="Заголовок 1 22 2" xfId="5464"/>
    <cellStyle name="Заголовок 1 22 3" xfId="5465"/>
    <cellStyle name="Заголовок 1 22 4" xfId="5466"/>
    <cellStyle name="Заголовок 1 23" xfId="5467"/>
    <cellStyle name="Заголовок 1 24" xfId="5468"/>
    <cellStyle name="Заголовок 1 25" xfId="5469"/>
    <cellStyle name="Заголовок 1 26" xfId="5470"/>
    <cellStyle name="Заголовок 1 27" xfId="5471"/>
    <cellStyle name="Заголовок 1 28" xfId="5472"/>
    <cellStyle name="Заголовок 1 29" xfId="5473"/>
    <cellStyle name="Заголовок 1 3" xfId="5474"/>
    <cellStyle name="Заголовок 1 4" xfId="5475"/>
    <cellStyle name="Заголовок 1 5" xfId="5476"/>
    <cellStyle name="Заголовок 1 6" xfId="5477"/>
    <cellStyle name="Заголовок 1 7" xfId="5478"/>
    <cellStyle name="Заголовок 1 8" xfId="5479"/>
    <cellStyle name="Заголовок 1 9" xfId="5480"/>
    <cellStyle name="Заголовок 2 10" xfId="5481"/>
    <cellStyle name="Заголовок 2 11" xfId="5482"/>
    <cellStyle name="Заголовок 2 12" xfId="5483"/>
    <cellStyle name="Заголовок 2 13" xfId="5484"/>
    <cellStyle name="Заголовок 2 14" xfId="5485"/>
    <cellStyle name="Заголовок 2 15" xfId="5486"/>
    <cellStyle name="Заголовок 2 15 2" xfId="5487"/>
    <cellStyle name="Заголовок 2 16" xfId="5488"/>
    <cellStyle name="Заголовок 2 16 2" xfId="5489"/>
    <cellStyle name="Заголовок 2 17" xfId="5490"/>
    <cellStyle name="Заголовок 2 17 2" xfId="5491"/>
    <cellStyle name="Заголовок 2 18" xfId="5492"/>
    <cellStyle name="Заголовок 2 18 2" xfId="5493"/>
    <cellStyle name="Заголовок 2 19" xfId="5494"/>
    <cellStyle name="Заголовок 2 2" xfId="5495"/>
    <cellStyle name="Заголовок 2 2 10" xfId="5496"/>
    <cellStyle name="Заголовок 2 2 11" xfId="5497"/>
    <cellStyle name="Заголовок 2 2 12" xfId="5498"/>
    <cellStyle name="Заголовок 2 2 13" xfId="5499"/>
    <cellStyle name="Заголовок 2 2 14" xfId="5500"/>
    <cellStyle name="Заголовок 2 2 15" xfId="5501"/>
    <cellStyle name="Заголовок 2 2 16" xfId="5502"/>
    <cellStyle name="Заголовок 2 2 17" xfId="5503"/>
    <cellStyle name="Заголовок 2 2 18" xfId="5504"/>
    <cellStyle name="Заголовок 2 2 19" xfId="5505"/>
    <cellStyle name="Заголовок 2 2 2" xfId="5506"/>
    <cellStyle name="Заголовок 2 2 20" xfId="5507"/>
    <cellStyle name="Заголовок 2 2 21" xfId="5508"/>
    <cellStyle name="Заголовок 2 2 22" xfId="5509"/>
    <cellStyle name="Заголовок 2 2 23" xfId="5510"/>
    <cellStyle name="Заголовок 2 2 24" xfId="5511"/>
    <cellStyle name="Заголовок 2 2 25" xfId="5512"/>
    <cellStyle name="Заголовок 2 2 26" xfId="5513"/>
    <cellStyle name="Заголовок 2 2 27" xfId="5514"/>
    <cellStyle name="Заголовок 2 2 28" xfId="5515"/>
    <cellStyle name="Заголовок 2 2 29" xfId="5516"/>
    <cellStyle name="Заголовок 2 2 3" xfId="5517"/>
    <cellStyle name="Заголовок 2 2 30" xfId="5518"/>
    <cellStyle name="Заголовок 2 2 31" xfId="5519"/>
    <cellStyle name="Заголовок 2 2 32" xfId="5520"/>
    <cellStyle name="Заголовок 2 2 33" xfId="5521"/>
    <cellStyle name="Заголовок 2 2 34" xfId="5522"/>
    <cellStyle name="Заголовок 2 2 35" xfId="5523"/>
    <cellStyle name="Заголовок 2 2 36" xfId="5524"/>
    <cellStyle name="Заголовок 2 2 4" xfId="5525"/>
    <cellStyle name="Заголовок 2 2 5" xfId="5526"/>
    <cellStyle name="Заголовок 2 2 6" xfId="5527"/>
    <cellStyle name="Заголовок 2 2 7" xfId="5528"/>
    <cellStyle name="Заголовок 2 2 8" xfId="5529"/>
    <cellStyle name="Заголовок 2 2 9" xfId="5530"/>
    <cellStyle name="Заголовок 2 20" xfId="5531"/>
    <cellStyle name="Заголовок 2 20 2" xfId="5532"/>
    <cellStyle name="Заголовок 2 20 3" xfId="5533"/>
    <cellStyle name="Заголовок 2 20 4" xfId="5534"/>
    <cellStyle name="Заголовок 2 21" xfId="5535"/>
    <cellStyle name="Заголовок 2 21 2" xfId="5536"/>
    <cellStyle name="Заголовок 2 21 3" xfId="5537"/>
    <cellStyle name="Заголовок 2 21 4" xfId="5538"/>
    <cellStyle name="Заголовок 2 22" xfId="5539"/>
    <cellStyle name="Заголовок 2 22 2" xfId="5540"/>
    <cellStyle name="Заголовок 2 22 3" xfId="5541"/>
    <cellStyle name="Заголовок 2 22 4" xfId="5542"/>
    <cellStyle name="Заголовок 2 23" xfId="5543"/>
    <cellStyle name="Заголовок 2 24" xfId="5544"/>
    <cellStyle name="Заголовок 2 25" xfId="5545"/>
    <cellStyle name="Заголовок 2 26" xfId="5546"/>
    <cellStyle name="Заголовок 2 27" xfId="5547"/>
    <cellStyle name="Заголовок 2 28" xfId="5548"/>
    <cellStyle name="Заголовок 2 29" xfId="5549"/>
    <cellStyle name="Заголовок 2 3" xfId="5550"/>
    <cellStyle name="Заголовок 2 4" xfId="5551"/>
    <cellStyle name="Заголовок 2 5" xfId="5552"/>
    <cellStyle name="Заголовок 2 6" xfId="5553"/>
    <cellStyle name="Заголовок 2 7" xfId="5554"/>
    <cellStyle name="Заголовок 2 8" xfId="5555"/>
    <cellStyle name="Заголовок 2 9" xfId="5556"/>
    <cellStyle name="Заголовок 3 10" xfId="5557"/>
    <cellStyle name="Заголовок 3 11" xfId="5558"/>
    <cellStyle name="Заголовок 3 12" xfId="5559"/>
    <cellStyle name="Заголовок 3 13" xfId="5560"/>
    <cellStyle name="Заголовок 3 14" xfId="5561"/>
    <cellStyle name="Заголовок 3 15" xfId="5562"/>
    <cellStyle name="Заголовок 3 15 2" xfId="5563"/>
    <cellStyle name="Заголовок 3 16" xfId="5564"/>
    <cellStyle name="Заголовок 3 16 2" xfId="5565"/>
    <cellStyle name="Заголовок 3 17" xfId="5566"/>
    <cellStyle name="Заголовок 3 17 2" xfId="5567"/>
    <cellStyle name="Заголовок 3 18" xfId="5568"/>
    <cellStyle name="Заголовок 3 18 2" xfId="5569"/>
    <cellStyle name="Заголовок 3 19" xfId="5570"/>
    <cellStyle name="Заголовок 3 2" xfId="5571"/>
    <cellStyle name="Заголовок 3 2 10" xfId="5572"/>
    <cellStyle name="Заголовок 3 2 11" xfId="5573"/>
    <cellStyle name="Заголовок 3 2 12" xfId="5574"/>
    <cellStyle name="Заголовок 3 2 13" xfId="5575"/>
    <cellStyle name="Заголовок 3 2 14" xfId="5576"/>
    <cellStyle name="Заголовок 3 2 15" xfId="5577"/>
    <cellStyle name="Заголовок 3 2 16" xfId="5578"/>
    <cellStyle name="Заголовок 3 2 17" xfId="5579"/>
    <cellStyle name="Заголовок 3 2 18" xfId="5580"/>
    <cellStyle name="Заголовок 3 2 19" xfId="5581"/>
    <cellStyle name="Заголовок 3 2 2" xfId="5582"/>
    <cellStyle name="Заголовок 3 2 20" xfId="5583"/>
    <cellStyle name="Заголовок 3 2 21" xfId="5584"/>
    <cellStyle name="Заголовок 3 2 22" xfId="5585"/>
    <cellStyle name="Заголовок 3 2 23" xfId="5586"/>
    <cellStyle name="Заголовок 3 2 24" xfId="5587"/>
    <cellStyle name="Заголовок 3 2 25" xfId="5588"/>
    <cellStyle name="Заголовок 3 2 26" xfId="5589"/>
    <cellStyle name="Заголовок 3 2 27" xfId="5590"/>
    <cellStyle name="Заголовок 3 2 28" xfId="5591"/>
    <cellStyle name="Заголовок 3 2 29" xfId="5592"/>
    <cellStyle name="Заголовок 3 2 3" xfId="5593"/>
    <cellStyle name="Заголовок 3 2 30" xfId="5594"/>
    <cellStyle name="Заголовок 3 2 31" xfId="5595"/>
    <cellStyle name="Заголовок 3 2 32" xfId="5596"/>
    <cellStyle name="Заголовок 3 2 33" xfId="5597"/>
    <cellStyle name="Заголовок 3 2 34" xfId="5598"/>
    <cellStyle name="Заголовок 3 2 35" xfId="5599"/>
    <cellStyle name="Заголовок 3 2 36" xfId="5600"/>
    <cellStyle name="Заголовок 3 2 4" xfId="5601"/>
    <cellStyle name="Заголовок 3 2 5" xfId="5602"/>
    <cellStyle name="Заголовок 3 2 6" xfId="5603"/>
    <cellStyle name="Заголовок 3 2 7" xfId="5604"/>
    <cellStyle name="Заголовок 3 2 8" xfId="5605"/>
    <cellStyle name="Заголовок 3 2 9" xfId="5606"/>
    <cellStyle name="Заголовок 3 20" xfId="5607"/>
    <cellStyle name="Заголовок 3 20 2" xfId="5608"/>
    <cellStyle name="Заголовок 3 20 3" xfId="5609"/>
    <cellStyle name="Заголовок 3 20 4" xfId="5610"/>
    <cellStyle name="Заголовок 3 21" xfId="5611"/>
    <cellStyle name="Заголовок 3 21 2" xfId="5612"/>
    <cellStyle name="Заголовок 3 21 3" xfId="5613"/>
    <cellStyle name="Заголовок 3 21 4" xfId="5614"/>
    <cellStyle name="Заголовок 3 22" xfId="5615"/>
    <cellStyle name="Заголовок 3 22 2" xfId="5616"/>
    <cellStyle name="Заголовок 3 22 3" xfId="5617"/>
    <cellStyle name="Заголовок 3 22 4" xfId="5618"/>
    <cellStyle name="Заголовок 3 23" xfId="5619"/>
    <cellStyle name="Заголовок 3 24" xfId="5620"/>
    <cellStyle name="Заголовок 3 25" xfId="5621"/>
    <cellStyle name="Заголовок 3 26" xfId="5622"/>
    <cellStyle name="Заголовок 3 27" xfId="5623"/>
    <cellStyle name="Заголовок 3 28" xfId="5624"/>
    <cellStyle name="Заголовок 3 29" xfId="5625"/>
    <cellStyle name="Заголовок 3 3" xfId="5626"/>
    <cellStyle name="Заголовок 3 4" xfId="5627"/>
    <cellStyle name="Заголовок 3 5" xfId="5628"/>
    <cellStyle name="Заголовок 3 6" xfId="5629"/>
    <cellStyle name="Заголовок 3 7" xfId="5630"/>
    <cellStyle name="Заголовок 3 8" xfId="5631"/>
    <cellStyle name="Заголовок 3 9" xfId="5632"/>
    <cellStyle name="Заголовок 4 10" xfId="5633"/>
    <cellStyle name="Заголовок 4 11" xfId="5634"/>
    <cellStyle name="Заголовок 4 12" xfId="5635"/>
    <cellStyle name="Заголовок 4 13" xfId="5636"/>
    <cellStyle name="Заголовок 4 14" xfId="5637"/>
    <cellStyle name="Заголовок 4 15" xfId="5638"/>
    <cellStyle name="Заголовок 4 15 2" xfId="5639"/>
    <cellStyle name="Заголовок 4 16" xfId="5640"/>
    <cellStyle name="Заголовок 4 16 2" xfId="5641"/>
    <cellStyle name="Заголовок 4 17" xfId="5642"/>
    <cellStyle name="Заголовок 4 17 2" xfId="5643"/>
    <cellStyle name="Заголовок 4 18" xfId="5644"/>
    <cellStyle name="Заголовок 4 18 2" xfId="5645"/>
    <cellStyle name="Заголовок 4 19" xfId="5646"/>
    <cellStyle name="Заголовок 4 2" xfId="5647"/>
    <cellStyle name="Заголовок 4 2 10" xfId="5648"/>
    <cellStyle name="Заголовок 4 2 11" xfId="5649"/>
    <cellStyle name="Заголовок 4 2 12" xfId="5650"/>
    <cellStyle name="Заголовок 4 2 13" xfId="5651"/>
    <cellStyle name="Заголовок 4 2 14" xfId="5652"/>
    <cellStyle name="Заголовок 4 2 15" xfId="5653"/>
    <cellStyle name="Заголовок 4 2 16" xfId="5654"/>
    <cellStyle name="Заголовок 4 2 17" xfId="5655"/>
    <cellStyle name="Заголовок 4 2 18" xfId="5656"/>
    <cellStyle name="Заголовок 4 2 19" xfId="5657"/>
    <cellStyle name="Заголовок 4 2 2" xfId="5658"/>
    <cellStyle name="Заголовок 4 2 20" xfId="5659"/>
    <cellStyle name="Заголовок 4 2 21" xfId="5660"/>
    <cellStyle name="Заголовок 4 2 22" xfId="5661"/>
    <cellStyle name="Заголовок 4 2 23" xfId="5662"/>
    <cellStyle name="Заголовок 4 2 24" xfId="5663"/>
    <cellStyle name="Заголовок 4 2 25" xfId="5664"/>
    <cellStyle name="Заголовок 4 2 26" xfId="5665"/>
    <cellStyle name="Заголовок 4 2 27" xfId="5666"/>
    <cellStyle name="Заголовок 4 2 28" xfId="5667"/>
    <cellStyle name="Заголовок 4 2 29" xfId="5668"/>
    <cellStyle name="Заголовок 4 2 3" xfId="5669"/>
    <cellStyle name="Заголовок 4 2 30" xfId="5670"/>
    <cellStyle name="Заголовок 4 2 31" xfId="5671"/>
    <cellStyle name="Заголовок 4 2 32" xfId="5672"/>
    <cellStyle name="Заголовок 4 2 33" xfId="5673"/>
    <cellStyle name="Заголовок 4 2 34" xfId="5674"/>
    <cellStyle name="Заголовок 4 2 35" xfId="5675"/>
    <cellStyle name="Заголовок 4 2 36" xfId="5676"/>
    <cellStyle name="Заголовок 4 2 4" xfId="5677"/>
    <cellStyle name="Заголовок 4 2 5" xfId="5678"/>
    <cellStyle name="Заголовок 4 2 6" xfId="5679"/>
    <cellStyle name="Заголовок 4 2 7" xfId="5680"/>
    <cellStyle name="Заголовок 4 2 8" xfId="5681"/>
    <cellStyle name="Заголовок 4 2 9" xfId="5682"/>
    <cellStyle name="Заголовок 4 20" xfId="5683"/>
    <cellStyle name="Заголовок 4 20 2" xfId="5684"/>
    <cellStyle name="Заголовок 4 20 3" xfId="5685"/>
    <cellStyle name="Заголовок 4 20 4" xfId="5686"/>
    <cellStyle name="Заголовок 4 21" xfId="5687"/>
    <cellStyle name="Заголовок 4 21 2" xfId="5688"/>
    <cellStyle name="Заголовок 4 21 3" xfId="5689"/>
    <cellStyle name="Заголовок 4 21 4" xfId="5690"/>
    <cellStyle name="Заголовок 4 22" xfId="5691"/>
    <cellStyle name="Заголовок 4 22 2" xfId="5692"/>
    <cellStyle name="Заголовок 4 22 3" xfId="5693"/>
    <cellStyle name="Заголовок 4 22 4" xfId="5694"/>
    <cellStyle name="Заголовок 4 23" xfId="5695"/>
    <cellStyle name="Заголовок 4 24" xfId="5696"/>
    <cellStyle name="Заголовок 4 25" xfId="5697"/>
    <cellStyle name="Заголовок 4 26" xfId="5698"/>
    <cellStyle name="Заголовок 4 27" xfId="5699"/>
    <cellStyle name="Заголовок 4 28" xfId="5700"/>
    <cellStyle name="Заголовок 4 29" xfId="5701"/>
    <cellStyle name="Заголовок 4 3" xfId="5702"/>
    <cellStyle name="Заголовок 4 4" xfId="5703"/>
    <cellStyle name="Заголовок 4 5" xfId="5704"/>
    <cellStyle name="Заголовок 4 6" xfId="5705"/>
    <cellStyle name="Заголовок 4 7" xfId="5706"/>
    <cellStyle name="Заголовок 4 8" xfId="5707"/>
    <cellStyle name="Заголовок 4 9" xfId="5708"/>
    <cellStyle name="Итог 10" xfId="5709"/>
    <cellStyle name="Итог 11" xfId="5710"/>
    <cellStyle name="Итог 12" xfId="5711"/>
    <cellStyle name="Итог 13" xfId="5712"/>
    <cellStyle name="Итог 14" xfId="5713"/>
    <cellStyle name="Итог 15" xfId="5714"/>
    <cellStyle name="Итог 15 2" xfId="5715"/>
    <cellStyle name="Итог 16" xfId="5716"/>
    <cellStyle name="Итог 16 2" xfId="5717"/>
    <cellStyle name="Итог 17" xfId="5718"/>
    <cellStyle name="Итог 17 2" xfId="5719"/>
    <cellStyle name="Итог 18" xfId="5720"/>
    <cellStyle name="Итог 18 2" xfId="5721"/>
    <cellStyle name="Итог 19" xfId="5722"/>
    <cellStyle name="Итог 2" xfId="5723"/>
    <cellStyle name="Итог 2 10" xfId="5724"/>
    <cellStyle name="Итог 2 11" xfId="5725"/>
    <cellStyle name="Итог 2 12" xfId="5726"/>
    <cellStyle name="Итог 2 13" xfId="5727"/>
    <cellStyle name="Итог 2 14" xfId="5728"/>
    <cellStyle name="Итог 2 15" xfId="5729"/>
    <cellStyle name="Итог 2 16" xfId="5730"/>
    <cellStyle name="Итог 2 17" xfId="5731"/>
    <cellStyle name="Итог 2 18" xfId="5732"/>
    <cellStyle name="Итог 2 19" xfId="5733"/>
    <cellStyle name="Итог 2 2" xfId="5734"/>
    <cellStyle name="Итог 2 20" xfId="5735"/>
    <cellStyle name="Итог 2 21" xfId="5736"/>
    <cellStyle name="Итог 2 22" xfId="5737"/>
    <cellStyle name="Итог 2 23" xfId="5738"/>
    <cellStyle name="Итог 2 24" xfId="5739"/>
    <cellStyle name="Итог 2 25" xfId="5740"/>
    <cellStyle name="Итог 2 26" xfId="5741"/>
    <cellStyle name="Итог 2 27" xfId="5742"/>
    <cellStyle name="Итог 2 28" xfId="5743"/>
    <cellStyle name="Итог 2 29" xfId="5744"/>
    <cellStyle name="Итог 2 3" xfId="5745"/>
    <cellStyle name="Итог 2 30" xfId="5746"/>
    <cellStyle name="Итог 2 31" xfId="5747"/>
    <cellStyle name="Итог 2 32" xfId="5748"/>
    <cellStyle name="Итог 2 33" xfId="5749"/>
    <cellStyle name="Итог 2 34" xfId="5750"/>
    <cellStyle name="Итог 2 35" xfId="5751"/>
    <cellStyle name="Итог 2 36" xfId="5752"/>
    <cellStyle name="Итог 2 4" xfId="5753"/>
    <cellStyle name="Итог 2 5" xfId="5754"/>
    <cellStyle name="Итог 2 6" xfId="5755"/>
    <cellStyle name="Итог 2 7" xfId="5756"/>
    <cellStyle name="Итог 2 8" xfId="5757"/>
    <cellStyle name="Итог 2 9" xfId="5758"/>
    <cellStyle name="Итог 20" xfId="5759"/>
    <cellStyle name="Итог 20 2" xfId="5760"/>
    <cellStyle name="Итог 20 3" xfId="5761"/>
    <cellStyle name="Итог 20 4" xfId="5762"/>
    <cellStyle name="Итог 21" xfId="5763"/>
    <cellStyle name="Итог 21 2" xfId="5764"/>
    <cellStyle name="Итог 21 3" xfId="5765"/>
    <cellStyle name="Итог 21 4" xfId="5766"/>
    <cellStyle name="Итог 22" xfId="5767"/>
    <cellStyle name="Итог 22 2" xfId="5768"/>
    <cellStyle name="Итог 22 3" xfId="5769"/>
    <cellStyle name="Итог 22 4" xfId="5770"/>
    <cellStyle name="Итог 23" xfId="5771"/>
    <cellStyle name="Итог 24" xfId="5772"/>
    <cellStyle name="Итог 25" xfId="5773"/>
    <cellStyle name="Итог 26" xfId="5774"/>
    <cellStyle name="Итог 27" xfId="5775"/>
    <cellStyle name="Итог 28" xfId="5776"/>
    <cellStyle name="Итог 29" xfId="5777"/>
    <cellStyle name="Итог 3" xfId="5778"/>
    <cellStyle name="Итог 4" xfId="5779"/>
    <cellStyle name="Итог 5" xfId="5780"/>
    <cellStyle name="Итог 6" xfId="5781"/>
    <cellStyle name="Итог 7" xfId="5782"/>
    <cellStyle name="Итог 8" xfId="5783"/>
    <cellStyle name="Итог 9" xfId="5784"/>
    <cellStyle name="КАНДАГАЧ тел3-33-96" xfId="48"/>
    <cellStyle name="КАНДАГАЧ тел3-33-96 2" xfId="5785"/>
    <cellStyle name="КАНДАГАЧ тел3-33-96 2 10" xfId="5786"/>
    <cellStyle name="КАНДАГАЧ тел3-33-96 2 11" xfId="5787"/>
    <cellStyle name="КАНДАГАЧ тел3-33-96 2 12" xfId="5788"/>
    <cellStyle name="КАНДАГАЧ тел3-33-96 2 13" xfId="5789"/>
    <cellStyle name="КАНДАГАЧ тел3-33-96 2 14" xfId="5790"/>
    <cellStyle name="КАНДАГАЧ тел3-33-96 2 15" xfId="5791"/>
    <cellStyle name="КАНДАГАЧ тел3-33-96 2 16" xfId="5792"/>
    <cellStyle name="КАНДАГАЧ тел3-33-96 2 17" xfId="5793"/>
    <cellStyle name="КАНДАГАЧ тел3-33-96 2 18" xfId="5794"/>
    <cellStyle name="КАНДАГАЧ тел3-33-96 2 19" xfId="5795"/>
    <cellStyle name="КАНДАГАЧ тел3-33-96 2 2" xfId="5796"/>
    <cellStyle name="КАНДАГАЧ тел3-33-96 2 20" xfId="5797"/>
    <cellStyle name="КАНДАГАЧ тел3-33-96 2 21" xfId="5798"/>
    <cellStyle name="КАНДАГАЧ тел3-33-96 2 22" xfId="5799"/>
    <cellStyle name="КАНДАГАЧ тел3-33-96 2 23" xfId="5800"/>
    <cellStyle name="КАНДАГАЧ тел3-33-96 2 24" xfId="5801"/>
    <cellStyle name="КАНДАГАЧ тел3-33-96 2 25" xfId="5802"/>
    <cellStyle name="КАНДАГАЧ тел3-33-96 2 26" xfId="5803"/>
    <cellStyle name="КАНДАГАЧ тел3-33-96 2 27" xfId="5804"/>
    <cellStyle name="КАНДАГАЧ тел3-33-96 2 28" xfId="5805"/>
    <cellStyle name="КАНДАГАЧ тел3-33-96 2 29" xfId="5806"/>
    <cellStyle name="КАНДАГАЧ тел3-33-96 2 3" xfId="5807"/>
    <cellStyle name="КАНДАГАЧ тел3-33-96 2 30" xfId="5808"/>
    <cellStyle name="КАНДАГАЧ тел3-33-96 2 31" xfId="5809"/>
    <cellStyle name="КАНДАГАЧ тел3-33-96 2 32" xfId="5810"/>
    <cellStyle name="КАНДАГАЧ тел3-33-96 2 33" xfId="5811"/>
    <cellStyle name="КАНДАГАЧ тел3-33-96 2 34" xfId="5812"/>
    <cellStyle name="КАНДАГАЧ тел3-33-96 2 35" xfId="5813"/>
    <cellStyle name="КАНДАГАЧ тел3-33-96 2 36" xfId="5814"/>
    <cellStyle name="КАНДАГАЧ тел3-33-96 2 37" xfId="5815"/>
    <cellStyle name="КАНДАГАЧ тел3-33-96 2 38" xfId="5816"/>
    <cellStyle name="КАНДАГАЧ тел3-33-96 2 39" xfId="5817"/>
    <cellStyle name="КАНДАГАЧ тел3-33-96 2 4" xfId="5818"/>
    <cellStyle name="КАНДАГАЧ тел3-33-96 2 40" xfId="5819"/>
    <cellStyle name="КАНДАГАЧ тел3-33-96 2 41" xfId="5820"/>
    <cellStyle name="КАНДАГАЧ тел3-33-96 2 42" xfId="5821"/>
    <cellStyle name="КАНДАГАЧ тел3-33-96 2 43" xfId="5822"/>
    <cellStyle name="КАНДАГАЧ тел3-33-96 2 44" xfId="5823"/>
    <cellStyle name="КАНДАГАЧ тел3-33-96 2 45" xfId="5824"/>
    <cellStyle name="КАНДАГАЧ тел3-33-96 2 46" xfId="5825"/>
    <cellStyle name="КАНДАГАЧ тел3-33-96 2 47" xfId="5826"/>
    <cellStyle name="КАНДАГАЧ тел3-33-96 2 48" xfId="5827"/>
    <cellStyle name="КАНДАГАЧ тел3-33-96 2 49" xfId="5828"/>
    <cellStyle name="КАНДАГАЧ тел3-33-96 2 5" xfId="5829"/>
    <cellStyle name="КАНДАГАЧ тел3-33-96 2 50" xfId="5830"/>
    <cellStyle name="КАНДАГАЧ тел3-33-96 2 51" xfId="5831"/>
    <cellStyle name="КАНДАГАЧ тел3-33-96 2 52" xfId="5832"/>
    <cellStyle name="КАНДАГАЧ тел3-33-96 2 53" xfId="5833"/>
    <cellStyle name="КАНДАГАЧ тел3-33-96 2 54" xfId="5834"/>
    <cellStyle name="КАНДАГАЧ тел3-33-96 2 55" xfId="5835"/>
    <cellStyle name="КАНДАГАЧ тел3-33-96 2 56" xfId="5836"/>
    <cellStyle name="КАНДАГАЧ тел3-33-96 2 57" xfId="5837"/>
    <cellStyle name="КАНДАГАЧ тел3-33-96 2 58" xfId="5838"/>
    <cellStyle name="КАНДАГАЧ тел3-33-96 2 59" xfId="5839"/>
    <cellStyle name="КАНДАГАЧ тел3-33-96 2 6" xfId="5840"/>
    <cellStyle name="КАНДАГАЧ тел3-33-96 2 60" xfId="5841"/>
    <cellStyle name="КАНДАГАЧ тел3-33-96 2 61" xfId="5842"/>
    <cellStyle name="КАНДАГАЧ тел3-33-96 2 62" xfId="5843"/>
    <cellStyle name="КАНДАГАЧ тел3-33-96 2 63" xfId="5844"/>
    <cellStyle name="КАНДАГАЧ тел3-33-96 2 64" xfId="5845"/>
    <cellStyle name="КАНДАГАЧ тел3-33-96 2 65" xfId="5846"/>
    <cellStyle name="КАНДАГАЧ тел3-33-96 2 66" xfId="5847"/>
    <cellStyle name="КАНДАГАЧ тел3-33-96 2 67" xfId="5848"/>
    <cellStyle name="КАНДАГАЧ тел3-33-96 2 68" xfId="5849"/>
    <cellStyle name="КАНДАГАЧ тел3-33-96 2 69" xfId="5850"/>
    <cellStyle name="КАНДАГАЧ тел3-33-96 2 7" xfId="5851"/>
    <cellStyle name="КАНДАГАЧ тел3-33-96 2 70" xfId="5852"/>
    <cellStyle name="КАНДАГАЧ тел3-33-96 2 71" xfId="5853"/>
    <cellStyle name="КАНДАГАЧ тел3-33-96 2 72" xfId="5854"/>
    <cellStyle name="КАНДАГАЧ тел3-33-96 2 73" xfId="5855"/>
    <cellStyle name="КАНДАГАЧ тел3-33-96 2 74" xfId="5856"/>
    <cellStyle name="КАНДАГАЧ тел3-33-96 2 75" xfId="5857"/>
    <cellStyle name="КАНДАГАЧ тел3-33-96 2 76" xfId="5858"/>
    <cellStyle name="КАНДАГАЧ тел3-33-96 2 77" xfId="5859"/>
    <cellStyle name="КАНДАГАЧ тел3-33-96 2 78" xfId="5860"/>
    <cellStyle name="КАНДАГАЧ тел3-33-96 2 79" xfId="5861"/>
    <cellStyle name="КАНДАГАЧ тел3-33-96 2 8" xfId="5862"/>
    <cellStyle name="КАНДАГАЧ тел3-33-96 2 80" xfId="5863"/>
    <cellStyle name="КАНДАГАЧ тел3-33-96 2 81" xfId="5864"/>
    <cellStyle name="КАНДАГАЧ тел3-33-96 2 82" xfId="5865"/>
    <cellStyle name="КАНДАГАЧ тел3-33-96 2 83" xfId="5866"/>
    <cellStyle name="КАНДАГАЧ тел3-33-96 2 84" xfId="5867"/>
    <cellStyle name="КАНДАГАЧ тел3-33-96 2 85" xfId="5868"/>
    <cellStyle name="КАНДАГАЧ тел3-33-96 2 86" xfId="5869"/>
    <cellStyle name="КАНДАГАЧ тел3-33-96 2 9" xfId="5870"/>
    <cellStyle name="КАНДАГАЧ тел3-33-96_ДТЖ_Модель бюджета на 2009 гвариант2(без учета премии сотрудникам)" xfId="5871"/>
    <cellStyle name="Контрольная ячейка 10" xfId="5872"/>
    <cellStyle name="Контрольная ячейка 11" xfId="5873"/>
    <cellStyle name="Контрольная ячейка 12" xfId="5874"/>
    <cellStyle name="Контрольная ячейка 13" xfId="5875"/>
    <cellStyle name="Контрольная ячейка 14" xfId="5876"/>
    <cellStyle name="Контрольная ячейка 15" xfId="5877"/>
    <cellStyle name="Контрольная ячейка 15 2" xfId="5878"/>
    <cellStyle name="Контрольная ячейка 16" xfId="5879"/>
    <cellStyle name="Контрольная ячейка 16 2" xfId="5880"/>
    <cellStyle name="Контрольная ячейка 17" xfId="5881"/>
    <cellStyle name="Контрольная ячейка 17 2" xfId="5882"/>
    <cellStyle name="Контрольная ячейка 18" xfId="5883"/>
    <cellStyle name="Контрольная ячейка 18 2" xfId="5884"/>
    <cellStyle name="Контрольная ячейка 19" xfId="5885"/>
    <cellStyle name="Контрольная ячейка 2" xfId="5886"/>
    <cellStyle name="Контрольная ячейка 2 10" xfId="5887"/>
    <cellStyle name="Контрольная ячейка 2 11" xfId="5888"/>
    <cellStyle name="Контрольная ячейка 2 12" xfId="5889"/>
    <cellStyle name="Контрольная ячейка 2 13" xfId="5890"/>
    <cellStyle name="Контрольная ячейка 2 14" xfId="5891"/>
    <cellStyle name="Контрольная ячейка 2 15" xfId="5892"/>
    <cellStyle name="Контрольная ячейка 2 16" xfId="5893"/>
    <cellStyle name="Контрольная ячейка 2 17" xfId="5894"/>
    <cellStyle name="Контрольная ячейка 2 18" xfId="5895"/>
    <cellStyle name="Контрольная ячейка 2 19" xfId="5896"/>
    <cellStyle name="Контрольная ячейка 2 2" xfId="5897"/>
    <cellStyle name="Контрольная ячейка 2 20" xfId="5898"/>
    <cellStyle name="Контрольная ячейка 2 21" xfId="5899"/>
    <cellStyle name="Контрольная ячейка 2 22" xfId="5900"/>
    <cellStyle name="Контрольная ячейка 2 23" xfId="5901"/>
    <cellStyle name="Контрольная ячейка 2 24" xfId="5902"/>
    <cellStyle name="Контрольная ячейка 2 25" xfId="5903"/>
    <cellStyle name="Контрольная ячейка 2 26" xfId="5904"/>
    <cellStyle name="Контрольная ячейка 2 27" xfId="5905"/>
    <cellStyle name="Контрольная ячейка 2 28" xfId="5906"/>
    <cellStyle name="Контрольная ячейка 2 29" xfId="5907"/>
    <cellStyle name="Контрольная ячейка 2 3" xfId="5908"/>
    <cellStyle name="Контрольная ячейка 2 30" xfId="5909"/>
    <cellStyle name="Контрольная ячейка 2 31" xfId="5910"/>
    <cellStyle name="Контрольная ячейка 2 32" xfId="5911"/>
    <cellStyle name="Контрольная ячейка 2 33" xfId="5912"/>
    <cellStyle name="Контрольная ячейка 2 34" xfId="5913"/>
    <cellStyle name="Контрольная ячейка 2 35" xfId="5914"/>
    <cellStyle name="Контрольная ячейка 2 36" xfId="5915"/>
    <cellStyle name="Контрольная ячейка 2 4" xfId="5916"/>
    <cellStyle name="Контрольная ячейка 2 5" xfId="5917"/>
    <cellStyle name="Контрольная ячейка 2 6" xfId="5918"/>
    <cellStyle name="Контрольная ячейка 2 7" xfId="5919"/>
    <cellStyle name="Контрольная ячейка 2 8" xfId="5920"/>
    <cellStyle name="Контрольная ячейка 2 9" xfId="5921"/>
    <cellStyle name="Контрольная ячейка 20" xfId="5922"/>
    <cellStyle name="Контрольная ячейка 20 2" xfId="5923"/>
    <cellStyle name="Контрольная ячейка 20 3" xfId="5924"/>
    <cellStyle name="Контрольная ячейка 20 4" xfId="5925"/>
    <cellStyle name="Контрольная ячейка 21" xfId="5926"/>
    <cellStyle name="Контрольная ячейка 21 2" xfId="5927"/>
    <cellStyle name="Контрольная ячейка 21 3" xfId="5928"/>
    <cellStyle name="Контрольная ячейка 21 4" xfId="5929"/>
    <cellStyle name="Контрольная ячейка 22" xfId="5930"/>
    <cellStyle name="Контрольная ячейка 22 2" xfId="5931"/>
    <cellStyle name="Контрольная ячейка 22 3" xfId="5932"/>
    <cellStyle name="Контрольная ячейка 22 4" xfId="5933"/>
    <cellStyle name="Контрольная ячейка 23" xfId="5934"/>
    <cellStyle name="Контрольная ячейка 24" xfId="5935"/>
    <cellStyle name="Контрольная ячейка 25" xfId="5936"/>
    <cellStyle name="Контрольная ячейка 26" xfId="5937"/>
    <cellStyle name="Контрольная ячейка 27" xfId="5938"/>
    <cellStyle name="Контрольная ячейка 28" xfId="5939"/>
    <cellStyle name="Контрольная ячейка 29" xfId="5940"/>
    <cellStyle name="Контрольная ячейка 3" xfId="5941"/>
    <cellStyle name="Контрольная ячейка 4" xfId="5942"/>
    <cellStyle name="Контрольная ячейка 5" xfId="5943"/>
    <cellStyle name="Контрольная ячейка 6" xfId="5944"/>
    <cellStyle name="Контрольная ячейка 7" xfId="5945"/>
    <cellStyle name="Контрольная ячейка 8" xfId="5946"/>
    <cellStyle name="Контрольная ячейка 9" xfId="5947"/>
    <cellStyle name="Название 10" xfId="5948"/>
    <cellStyle name="Название 11" xfId="5949"/>
    <cellStyle name="Название 12" xfId="5950"/>
    <cellStyle name="Название 13" xfId="5951"/>
    <cellStyle name="Название 14" xfId="5952"/>
    <cellStyle name="Название 15" xfId="5953"/>
    <cellStyle name="Название 15 2" xfId="5954"/>
    <cellStyle name="Название 16" xfId="5955"/>
    <cellStyle name="Название 16 2" xfId="5956"/>
    <cellStyle name="Название 17" xfId="5957"/>
    <cellStyle name="Название 17 2" xfId="5958"/>
    <cellStyle name="Название 18" xfId="5959"/>
    <cellStyle name="Название 18 2" xfId="5960"/>
    <cellStyle name="Название 19" xfId="5961"/>
    <cellStyle name="Название 2" xfId="5962"/>
    <cellStyle name="Название 2 10" xfId="5963"/>
    <cellStyle name="Название 2 11" xfId="5964"/>
    <cellStyle name="Название 2 12" xfId="5965"/>
    <cellStyle name="Название 2 13" xfId="5966"/>
    <cellStyle name="Название 2 14" xfId="5967"/>
    <cellStyle name="Название 2 15" xfId="5968"/>
    <cellStyle name="Название 2 16" xfId="5969"/>
    <cellStyle name="Название 2 17" xfId="5970"/>
    <cellStyle name="Название 2 18" xfId="5971"/>
    <cellStyle name="Название 2 19" xfId="5972"/>
    <cellStyle name="Название 2 2" xfId="5973"/>
    <cellStyle name="Название 2 20" xfId="5974"/>
    <cellStyle name="Название 2 21" xfId="5975"/>
    <cellStyle name="Название 2 22" xfId="5976"/>
    <cellStyle name="Название 2 23" xfId="5977"/>
    <cellStyle name="Название 2 24" xfId="5978"/>
    <cellStyle name="Название 2 25" xfId="5979"/>
    <cellStyle name="Название 2 26" xfId="5980"/>
    <cellStyle name="Название 2 27" xfId="5981"/>
    <cellStyle name="Название 2 28" xfId="5982"/>
    <cellStyle name="Название 2 29" xfId="5983"/>
    <cellStyle name="Название 2 3" xfId="5984"/>
    <cellStyle name="Название 2 30" xfId="5985"/>
    <cellStyle name="Название 2 31" xfId="5986"/>
    <cellStyle name="Название 2 32" xfId="5987"/>
    <cellStyle name="Название 2 33" xfId="5988"/>
    <cellStyle name="Название 2 34" xfId="5989"/>
    <cellStyle name="Название 2 35" xfId="5990"/>
    <cellStyle name="Название 2 36" xfId="5991"/>
    <cellStyle name="Название 2 4" xfId="5992"/>
    <cellStyle name="Название 2 5" xfId="5993"/>
    <cellStyle name="Название 2 6" xfId="5994"/>
    <cellStyle name="Название 2 7" xfId="5995"/>
    <cellStyle name="Название 2 8" xfId="5996"/>
    <cellStyle name="Название 2 9" xfId="5997"/>
    <cellStyle name="Название 20" xfId="5998"/>
    <cellStyle name="Название 20 2" xfId="5999"/>
    <cellStyle name="Название 20 3" xfId="6000"/>
    <cellStyle name="Название 20 4" xfId="6001"/>
    <cellStyle name="Название 21" xfId="6002"/>
    <cellStyle name="Название 21 2" xfId="6003"/>
    <cellStyle name="Название 21 3" xfId="6004"/>
    <cellStyle name="Название 21 4" xfId="6005"/>
    <cellStyle name="Название 22" xfId="6006"/>
    <cellStyle name="Название 22 2" xfId="6007"/>
    <cellStyle name="Название 22 3" xfId="6008"/>
    <cellStyle name="Название 22 4" xfId="6009"/>
    <cellStyle name="Название 23" xfId="6010"/>
    <cellStyle name="Название 24" xfId="6011"/>
    <cellStyle name="Название 25" xfId="6012"/>
    <cellStyle name="Название 26" xfId="6013"/>
    <cellStyle name="Название 27" xfId="6014"/>
    <cellStyle name="Название 28" xfId="6015"/>
    <cellStyle name="Название 29" xfId="6016"/>
    <cellStyle name="Название 3" xfId="6017"/>
    <cellStyle name="Название 4" xfId="6018"/>
    <cellStyle name="Название 5" xfId="6019"/>
    <cellStyle name="Название 6" xfId="6020"/>
    <cellStyle name="Название 7" xfId="6021"/>
    <cellStyle name="Название 8" xfId="6022"/>
    <cellStyle name="Название 9" xfId="6023"/>
    <cellStyle name="Нейтральный 10" xfId="6024"/>
    <cellStyle name="Нейтральный 11" xfId="6025"/>
    <cellStyle name="Нейтральный 12" xfId="6026"/>
    <cellStyle name="Нейтральный 13" xfId="6027"/>
    <cellStyle name="Нейтральный 14" xfId="6028"/>
    <cellStyle name="Нейтральный 15" xfId="6029"/>
    <cellStyle name="Нейтральный 15 2" xfId="6030"/>
    <cellStyle name="Нейтральный 16" xfId="6031"/>
    <cellStyle name="Нейтральный 16 2" xfId="6032"/>
    <cellStyle name="Нейтральный 17" xfId="6033"/>
    <cellStyle name="Нейтральный 17 2" xfId="6034"/>
    <cellStyle name="Нейтральный 18" xfId="6035"/>
    <cellStyle name="Нейтральный 18 2" xfId="6036"/>
    <cellStyle name="Нейтральный 19" xfId="6037"/>
    <cellStyle name="Нейтральный 2" xfId="6038"/>
    <cellStyle name="Нейтральный 2 10" xfId="6039"/>
    <cellStyle name="Нейтральный 2 11" xfId="6040"/>
    <cellStyle name="Нейтральный 2 12" xfId="6041"/>
    <cellStyle name="Нейтральный 2 13" xfId="6042"/>
    <cellStyle name="Нейтральный 2 14" xfId="6043"/>
    <cellStyle name="Нейтральный 2 15" xfId="6044"/>
    <cellStyle name="Нейтральный 2 16" xfId="6045"/>
    <cellStyle name="Нейтральный 2 17" xfId="6046"/>
    <cellStyle name="Нейтральный 2 18" xfId="6047"/>
    <cellStyle name="Нейтральный 2 19" xfId="6048"/>
    <cellStyle name="Нейтральный 2 2" xfId="6049"/>
    <cellStyle name="Нейтральный 2 20" xfId="6050"/>
    <cellStyle name="Нейтральный 2 21" xfId="6051"/>
    <cellStyle name="Нейтральный 2 22" xfId="6052"/>
    <cellStyle name="Нейтральный 2 23" xfId="6053"/>
    <cellStyle name="Нейтральный 2 24" xfId="6054"/>
    <cellStyle name="Нейтральный 2 25" xfId="6055"/>
    <cellStyle name="Нейтральный 2 26" xfId="6056"/>
    <cellStyle name="Нейтральный 2 27" xfId="6057"/>
    <cellStyle name="Нейтральный 2 28" xfId="6058"/>
    <cellStyle name="Нейтральный 2 29" xfId="6059"/>
    <cellStyle name="Нейтральный 2 3" xfId="6060"/>
    <cellStyle name="Нейтральный 2 30" xfId="6061"/>
    <cellStyle name="Нейтральный 2 31" xfId="6062"/>
    <cellStyle name="Нейтральный 2 32" xfId="6063"/>
    <cellStyle name="Нейтральный 2 33" xfId="6064"/>
    <cellStyle name="Нейтральный 2 34" xfId="6065"/>
    <cellStyle name="Нейтральный 2 35" xfId="6066"/>
    <cellStyle name="Нейтральный 2 36" xfId="6067"/>
    <cellStyle name="Нейтральный 2 4" xfId="6068"/>
    <cellStyle name="Нейтральный 2 5" xfId="6069"/>
    <cellStyle name="Нейтральный 2 6" xfId="6070"/>
    <cellStyle name="Нейтральный 2 7" xfId="6071"/>
    <cellStyle name="Нейтральный 2 8" xfId="6072"/>
    <cellStyle name="Нейтральный 2 9" xfId="6073"/>
    <cellStyle name="Нейтральный 20" xfId="6074"/>
    <cellStyle name="Нейтральный 20 2" xfId="6075"/>
    <cellStyle name="Нейтральный 20 3" xfId="6076"/>
    <cellStyle name="Нейтральный 20 4" xfId="6077"/>
    <cellStyle name="Нейтральный 21" xfId="6078"/>
    <cellStyle name="Нейтральный 21 2" xfId="6079"/>
    <cellStyle name="Нейтральный 21 3" xfId="6080"/>
    <cellStyle name="Нейтральный 21 4" xfId="6081"/>
    <cellStyle name="Нейтральный 22" xfId="6082"/>
    <cellStyle name="Нейтральный 22 2" xfId="6083"/>
    <cellStyle name="Нейтральный 22 3" xfId="6084"/>
    <cellStyle name="Нейтральный 22 4" xfId="6085"/>
    <cellStyle name="Нейтральный 23" xfId="6086"/>
    <cellStyle name="Нейтральный 24" xfId="6087"/>
    <cellStyle name="Нейтральный 25" xfId="6088"/>
    <cellStyle name="Нейтральный 26" xfId="6089"/>
    <cellStyle name="Нейтральный 27" xfId="6090"/>
    <cellStyle name="Нейтральный 28" xfId="6091"/>
    <cellStyle name="Нейтральный 29" xfId="6092"/>
    <cellStyle name="Нейтральный 3" xfId="6093"/>
    <cellStyle name="Нейтральный 4" xfId="6094"/>
    <cellStyle name="Нейтральный 5" xfId="6095"/>
    <cellStyle name="Нейтральный 6" xfId="6096"/>
    <cellStyle name="Нейтральный 7" xfId="6097"/>
    <cellStyle name="Нейтральный 8" xfId="6098"/>
    <cellStyle name="Нейтральный 9" xfId="6099"/>
    <cellStyle name="Обычный" xfId="0" builtinId="0"/>
    <cellStyle name="Обычный 10" xfId="49"/>
    <cellStyle name="Обычный 10 2" xfId="50"/>
    <cellStyle name="Обычный 10 3" xfId="51"/>
    <cellStyle name="Обычный 10 4" xfId="52"/>
    <cellStyle name="Обычный 11" xfId="6100"/>
    <cellStyle name="Обычный 11 10" xfId="6101"/>
    <cellStyle name="Обычный 11 10 2" xfId="6102"/>
    <cellStyle name="Обычный 11 10 3" xfId="6103"/>
    <cellStyle name="Обычный 11 11" xfId="6104"/>
    <cellStyle name="Обычный 11 11 2" xfId="6105"/>
    <cellStyle name="Обычный 11 11 3" xfId="6106"/>
    <cellStyle name="Обычный 11 12" xfId="6107"/>
    <cellStyle name="Обычный 11 12 2" xfId="6108"/>
    <cellStyle name="Обычный 11 12 3" xfId="6109"/>
    <cellStyle name="Обычный 11 13" xfId="6110"/>
    <cellStyle name="Обычный 11 13 2" xfId="6111"/>
    <cellStyle name="Обычный 11 13 3" xfId="6112"/>
    <cellStyle name="Обычный 11 14" xfId="6113"/>
    <cellStyle name="Обычный 11 14 2" xfId="6114"/>
    <cellStyle name="Обычный 11 14 3" xfId="6115"/>
    <cellStyle name="Обычный 11 15" xfId="6116"/>
    <cellStyle name="Обычный 11 15 2" xfId="6117"/>
    <cellStyle name="Обычный 11 15 3" xfId="6118"/>
    <cellStyle name="Обычный 11 16" xfId="6119"/>
    <cellStyle name="Обычный 11 16 2" xfId="6120"/>
    <cellStyle name="Обычный 11 16 3" xfId="6121"/>
    <cellStyle name="Обычный 11 17" xfId="6122"/>
    <cellStyle name="Обычный 11 17 2" xfId="6123"/>
    <cellStyle name="Обычный 11 17 3" xfId="6124"/>
    <cellStyle name="Обычный 11 18" xfId="6125"/>
    <cellStyle name="Обычный 11 18 2" xfId="6126"/>
    <cellStyle name="Обычный 11 18 3" xfId="6127"/>
    <cellStyle name="Обычный 11 19" xfId="6128"/>
    <cellStyle name="Обычный 11 19 2" xfId="6129"/>
    <cellStyle name="Обычный 11 19 3" xfId="6130"/>
    <cellStyle name="Обычный 11 2" xfId="6131"/>
    <cellStyle name="Обычный 11 2 10" xfId="6132"/>
    <cellStyle name="Обычный 11 2 10 2" xfId="6133"/>
    <cellStyle name="Обычный 11 2 10 3" xfId="6134"/>
    <cellStyle name="Обычный 11 2 11" xfId="6135"/>
    <cellStyle name="Обычный 11 2 11 2" xfId="6136"/>
    <cellStyle name="Обычный 11 2 11 3" xfId="6137"/>
    <cellStyle name="Обычный 11 2 12" xfId="6138"/>
    <cellStyle name="Обычный 11 2 12 2" xfId="6139"/>
    <cellStyle name="Обычный 11 2 12 3" xfId="6140"/>
    <cellStyle name="Обычный 11 2 13" xfId="6141"/>
    <cellStyle name="Обычный 11 2 13 2" xfId="6142"/>
    <cellStyle name="Обычный 11 2 13 3" xfId="6143"/>
    <cellStyle name="Обычный 11 2 14" xfId="6144"/>
    <cellStyle name="Обычный 11 2 14 2" xfId="6145"/>
    <cellStyle name="Обычный 11 2 14 3" xfId="6146"/>
    <cellStyle name="Обычный 11 2 15" xfId="6147"/>
    <cellStyle name="Обычный 11 2 15 2" xfId="6148"/>
    <cellStyle name="Обычный 11 2 15 3" xfId="6149"/>
    <cellStyle name="Обычный 11 2 16" xfId="6150"/>
    <cellStyle name="Обычный 11 2 16 2" xfId="6151"/>
    <cellStyle name="Обычный 11 2 16 3" xfId="6152"/>
    <cellStyle name="Обычный 11 2 17" xfId="6153"/>
    <cellStyle name="Обычный 11 2 17 2" xfId="6154"/>
    <cellStyle name="Обычный 11 2 17 3" xfId="6155"/>
    <cellStyle name="Обычный 11 2 18" xfId="6156"/>
    <cellStyle name="Обычный 11 2 18 2" xfId="6157"/>
    <cellStyle name="Обычный 11 2 18 3" xfId="6158"/>
    <cellStyle name="Обычный 11 2 19" xfId="6159"/>
    <cellStyle name="Обычный 11 2 19 2" xfId="6160"/>
    <cellStyle name="Обычный 11 2 19 3" xfId="6161"/>
    <cellStyle name="Обычный 11 2 2" xfId="6162"/>
    <cellStyle name="Обычный 11 2 2 2" xfId="6163"/>
    <cellStyle name="Обычный 11 2 2 3" xfId="6164"/>
    <cellStyle name="Обычный 11 2 20" xfId="6165"/>
    <cellStyle name="Обычный 11 2 20 2" xfId="6166"/>
    <cellStyle name="Обычный 11 2 20 3" xfId="6167"/>
    <cellStyle name="Обычный 11 2 21" xfId="6168"/>
    <cellStyle name="Обычный 11 2 21 2" xfId="6169"/>
    <cellStyle name="Обычный 11 2 21 3" xfId="6170"/>
    <cellStyle name="Обычный 11 2 22" xfId="6171"/>
    <cellStyle name="Обычный 11 2 22 2" xfId="6172"/>
    <cellStyle name="Обычный 11 2 22 3" xfId="6173"/>
    <cellStyle name="Обычный 11 2 23" xfId="6174"/>
    <cellStyle name="Обычный 11 2 23 2" xfId="6175"/>
    <cellStyle name="Обычный 11 2 23 3" xfId="6176"/>
    <cellStyle name="Обычный 11 2 24" xfId="6177"/>
    <cellStyle name="Обычный 11 2 24 2" xfId="6178"/>
    <cellStyle name="Обычный 11 2 24 3" xfId="6179"/>
    <cellStyle name="Обычный 11 2 25" xfId="6180"/>
    <cellStyle name="Обычный 11 2 25 2" xfId="6181"/>
    <cellStyle name="Обычный 11 2 25 3" xfId="6182"/>
    <cellStyle name="Обычный 11 2 26" xfId="6183"/>
    <cellStyle name="Обычный 11 2 26 2" xfId="6184"/>
    <cellStyle name="Обычный 11 2 26 3" xfId="6185"/>
    <cellStyle name="Обычный 11 2 27" xfId="6186"/>
    <cellStyle name="Обычный 11 2 27 2" xfId="6187"/>
    <cellStyle name="Обычный 11 2 27 3" xfId="6188"/>
    <cellStyle name="Обычный 11 2 28" xfId="6189"/>
    <cellStyle name="Обычный 11 2 28 2" xfId="6190"/>
    <cellStyle name="Обычный 11 2 28 3" xfId="6191"/>
    <cellStyle name="Обычный 11 2 29" xfId="6192"/>
    <cellStyle name="Обычный 11 2 29 2" xfId="6193"/>
    <cellStyle name="Обычный 11 2 29 3" xfId="6194"/>
    <cellStyle name="Обычный 11 2 3" xfId="6195"/>
    <cellStyle name="Обычный 11 2 3 2" xfId="6196"/>
    <cellStyle name="Обычный 11 2 3 3" xfId="6197"/>
    <cellStyle name="Обычный 11 2 30" xfId="6198"/>
    <cellStyle name="Обычный 11 2 30 2" xfId="6199"/>
    <cellStyle name="Обычный 11 2 30 3" xfId="6200"/>
    <cellStyle name="Обычный 11 2 31" xfId="6201"/>
    <cellStyle name="Обычный 11 2 31 2" xfId="6202"/>
    <cellStyle name="Обычный 11 2 31 3" xfId="6203"/>
    <cellStyle name="Обычный 11 2 32" xfId="6204"/>
    <cellStyle name="Обычный 11 2 32 2" xfId="6205"/>
    <cellStyle name="Обычный 11 2 32 3" xfId="6206"/>
    <cellStyle name="Обычный 11 2 33" xfId="6207"/>
    <cellStyle name="Обычный 11 2 33 2" xfId="6208"/>
    <cellStyle name="Обычный 11 2 33 3" xfId="6209"/>
    <cellStyle name="Обычный 11 2 34" xfId="6210"/>
    <cellStyle name="Обычный 11 2 34 2" xfId="6211"/>
    <cellStyle name="Обычный 11 2 34 3" xfId="6212"/>
    <cellStyle name="Обычный 11 2 35" xfId="6213"/>
    <cellStyle name="Обычный 11 2 35 2" xfId="6214"/>
    <cellStyle name="Обычный 11 2 35 3" xfId="6215"/>
    <cellStyle name="Обычный 11 2 36" xfId="6216"/>
    <cellStyle name="Обычный 11 2 36 2" xfId="6217"/>
    <cellStyle name="Обычный 11 2 36 3" xfId="6218"/>
    <cellStyle name="Обычный 11 2 37" xfId="6219"/>
    <cellStyle name="Обычный 11 2 37 2" xfId="6220"/>
    <cellStyle name="Обычный 11 2 37 3" xfId="6221"/>
    <cellStyle name="Обычный 11 2 38" xfId="6222"/>
    <cellStyle name="Обычный 11 2 38 2" xfId="6223"/>
    <cellStyle name="Обычный 11 2 38 3" xfId="6224"/>
    <cellStyle name="Обычный 11 2 39" xfId="6225"/>
    <cellStyle name="Обычный 11 2 39 2" xfId="6226"/>
    <cellStyle name="Обычный 11 2 39 3" xfId="6227"/>
    <cellStyle name="Обычный 11 2 4" xfId="6228"/>
    <cellStyle name="Обычный 11 2 4 2" xfId="6229"/>
    <cellStyle name="Обычный 11 2 4 3" xfId="6230"/>
    <cellStyle name="Обычный 11 2 40" xfId="6231"/>
    <cellStyle name="Обычный 11 2 40 2" xfId="6232"/>
    <cellStyle name="Обычный 11 2 40 3" xfId="6233"/>
    <cellStyle name="Обычный 11 2 41" xfId="6234"/>
    <cellStyle name="Обычный 11 2 41 2" xfId="6235"/>
    <cellStyle name="Обычный 11 2 41 3" xfId="6236"/>
    <cellStyle name="Обычный 11 2 42" xfId="6237"/>
    <cellStyle name="Обычный 11 2 42 2" xfId="6238"/>
    <cellStyle name="Обычный 11 2 42 3" xfId="6239"/>
    <cellStyle name="Обычный 11 2 43" xfId="6240"/>
    <cellStyle name="Обычный 11 2 43 2" xfId="6241"/>
    <cellStyle name="Обычный 11 2 43 3" xfId="6242"/>
    <cellStyle name="Обычный 11 2 44" xfId="6243"/>
    <cellStyle name="Обычный 11 2 44 2" xfId="6244"/>
    <cellStyle name="Обычный 11 2 44 3" xfId="6245"/>
    <cellStyle name="Обычный 11 2 45" xfId="6246"/>
    <cellStyle name="Обычный 11 2 45 2" xfId="6247"/>
    <cellStyle name="Обычный 11 2 45 3" xfId="6248"/>
    <cellStyle name="Обычный 11 2 46" xfId="6249"/>
    <cellStyle name="Обычный 11 2 46 2" xfId="6250"/>
    <cellStyle name="Обычный 11 2 46 3" xfId="6251"/>
    <cellStyle name="Обычный 11 2 47" xfId="6252"/>
    <cellStyle name="Обычный 11 2 47 2" xfId="6253"/>
    <cellStyle name="Обычный 11 2 47 3" xfId="6254"/>
    <cellStyle name="Обычный 11 2 48" xfId="6255"/>
    <cellStyle name="Обычный 11 2 48 2" xfId="6256"/>
    <cellStyle name="Обычный 11 2 48 3" xfId="6257"/>
    <cellStyle name="Обычный 11 2 49" xfId="6258"/>
    <cellStyle name="Обычный 11 2 49 2" xfId="6259"/>
    <cellStyle name="Обычный 11 2 49 3" xfId="6260"/>
    <cellStyle name="Обычный 11 2 5" xfId="6261"/>
    <cellStyle name="Обычный 11 2 5 2" xfId="6262"/>
    <cellStyle name="Обычный 11 2 5 3" xfId="6263"/>
    <cellStyle name="Обычный 11 2 50" xfId="6264"/>
    <cellStyle name="Обычный 11 2 50 2" xfId="6265"/>
    <cellStyle name="Обычный 11 2 50 3" xfId="6266"/>
    <cellStyle name="Обычный 11 2 51" xfId="6267"/>
    <cellStyle name="Обычный 11 2 51 2" xfId="6268"/>
    <cellStyle name="Обычный 11 2 51 3" xfId="6269"/>
    <cellStyle name="Обычный 11 2 52" xfId="6270"/>
    <cellStyle name="Обычный 11 2 52 2" xfId="6271"/>
    <cellStyle name="Обычный 11 2 52 3" xfId="6272"/>
    <cellStyle name="Обычный 11 2 53" xfId="6273"/>
    <cellStyle name="Обычный 11 2 53 2" xfId="6274"/>
    <cellStyle name="Обычный 11 2 53 3" xfId="6275"/>
    <cellStyle name="Обычный 11 2 54" xfId="6276"/>
    <cellStyle name="Обычный 11 2 54 2" xfId="6277"/>
    <cellStyle name="Обычный 11 2 54 3" xfId="6278"/>
    <cellStyle name="Обычный 11 2 55" xfId="6279"/>
    <cellStyle name="Обычный 11 2 55 2" xfId="6280"/>
    <cellStyle name="Обычный 11 2 55 3" xfId="6281"/>
    <cellStyle name="Обычный 11 2 56" xfId="6282"/>
    <cellStyle name="Обычный 11 2 56 2" xfId="6283"/>
    <cellStyle name="Обычный 11 2 56 3" xfId="6284"/>
    <cellStyle name="Обычный 11 2 57" xfId="6285"/>
    <cellStyle name="Обычный 11 2 57 2" xfId="6286"/>
    <cellStyle name="Обычный 11 2 57 3" xfId="6287"/>
    <cellStyle name="Обычный 11 2 58" xfId="6288"/>
    <cellStyle name="Обычный 11 2 58 2" xfId="6289"/>
    <cellStyle name="Обычный 11 2 58 3" xfId="6290"/>
    <cellStyle name="Обычный 11 2 59" xfId="6291"/>
    <cellStyle name="Обычный 11 2 59 2" xfId="6292"/>
    <cellStyle name="Обычный 11 2 59 3" xfId="6293"/>
    <cellStyle name="Обычный 11 2 6" xfId="6294"/>
    <cellStyle name="Обычный 11 2 6 2" xfId="6295"/>
    <cellStyle name="Обычный 11 2 6 3" xfId="6296"/>
    <cellStyle name="Обычный 11 2 60" xfId="6297"/>
    <cellStyle name="Обычный 11 2 60 2" xfId="6298"/>
    <cellStyle name="Обычный 11 2 60 3" xfId="6299"/>
    <cellStyle name="Обычный 11 2 61" xfId="6300"/>
    <cellStyle name="Обычный 11 2 61 2" xfId="6301"/>
    <cellStyle name="Обычный 11 2 61 3" xfId="6302"/>
    <cellStyle name="Обычный 11 2 62" xfId="6303"/>
    <cellStyle name="Обычный 11 2 62 2" xfId="6304"/>
    <cellStyle name="Обычный 11 2 62 3" xfId="6305"/>
    <cellStyle name="Обычный 11 2 63" xfId="6306"/>
    <cellStyle name="Обычный 11 2 63 2" xfId="6307"/>
    <cellStyle name="Обычный 11 2 63 3" xfId="6308"/>
    <cellStyle name="Обычный 11 2 64" xfId="6309"/>
    <cellStyle name="Обычный 11 2 65" xfId="6310"/>
    <cellStyle name="Обычный 11 2 7" xfId="6311"/>
    <cellStyle name="Обычный 11 2 7 2" xfId="6312"/>
    <cellStyle name="Обычный 11 2 7 3" xfId="6313"/>
    <cellStyle name="Обычный 11 2 8" xfId="6314"/>
    <cellStyle name="Обычный 11 2 8 2" xfId="6315"/>
    <cellStyle name="Обычный 11 2 8 3" xfId="6316"/>
    <cellStyle name="Обычный 11 2 9" xfId="6317"/>
    <cellStyle name="Обычный 11 2 9 2" xfId="6318"/>
    <cellStyle name="Обычный 11 2 9 3" xfId="6319"/>
    <cellStyle name="Обычный 11 20" xfId="6320"/>
    <cellStyle name="Обычный 11 20 2" xfId="6321"/>
    <cellStyle name="Обычный 11 20 3" xfId="6322"/>
    <cellStyle name="Обычный 11 21" xfId="6323"/>
    <cellStyle name="Обычный 11 21 2" xfId="6324"/>
    <cellStyle name="Обычный 11 21 3" xfId="6325"/>
    <cellStyle name="Обычный 11 22" xfId="6326"/>
    <cellStyle name="Обычный 11 22 2" xfId="6327"/>
    <cellStyle name="Обычный 11 22 3" xfId="6328"/>
    <cellStyle name="Обычный 11 23" xfId="6329"/>
    <cellStyle name="Обычный 11 23 2" xfId="6330"/>
    <cellStyle name="Обычный 11 23 3" xfId="6331"/>
    <cellStyle name="Обычный 11 24" xfId="6332"/>
    <cellStyle name="Обычный 11 24 2" xfId="6333"/>
    <cellStyle name="Обычный 11 24 3" xfId="6334"/>
    <cellStyle name="Обычный 11 25" xfId="6335"/>
    <cellStyle name="Обычный 11 25 2" xfId="6336"/>
    <cellStyle name="Обычный 11 25 3" xfId="6337"/>
    <cellStyle name="Обычный 11 26" xfId="6338"/>
    <cellStyle name="Обычный 11 26 2" xfId="6339"/>
    <cellStyle name="Обычный 11 26 3" xfId="6340"/>
    <cellStyle name="Обычный 11 27" xfId="6341"/>
    <cellStyle name="Обычный 11 27 2" xfId="6342"/>
    <cellStyle name="Обычный 11 27 3" xfId="6343"/>
    <cellStyle name="Обычный 11 28" xfId="6344"/>
    <cellStyle name="Обычный 11 28 2" xfId="6345"/>
    <cellStyle name="Обычный 11 28 3" xfId="6346"/>
    <cellStyle name="Обычный 11 29" xfId="6347"/>
    <cellStyle name="Обычный 11 29 2" xfId="6348"/>
    <cellStyle name="Обычный 11 29 3" xfId="6349"/>
    <cellStyle name="Обычный 11 3" xfId="6350"/>
    <cellStyle name="Обычный 11 3 10" xfId="6351"/>
    <cellStyle name="Обычный 11 3 10 2" xfId="6352"/>
    <cellStyle name="Обычный 11 3 10 3" xfId="6353"/>
    <cellStyle name="Обычный 11 3 11" xfId="6354"/>
    <cellStyle name="Обычный 11 3 11 2" xfId="6355"/>
    <cellStyle name="Обычный 11 3 11 3" xfId="6356"/>
    <cellStyle name="Обычный 11 3 12" xfId="6357"/>
    <cellStyle name="Обычный 11 3 12 2" xfId="6358"/>
    <cellStyle name="Обычный 11 3 12 3" xfId="6359"/>
    <cellStyle name="Обычный 11 3 13" xfId="6360"/>
    <cellStyle name="Обычный 11 3 13 2" xfId="6361"/>
    <cellStyle name="Обычный 11 3 13 3" xfId="6362"/>
    <cellStyle name="Обычный 11 3 14" xfId="6363"/>
    <cellStyle name="Обычный 11 3 14 2" xfId="6364"/>
    <cellStyle name="Обычный 11 3 14 3" xfId="6365"/>
    <cellStyle name="Обычный 11 3 15" xfId="6366"/>
    <cellStyle name="Обычный 11 3 15 2" xfId="6367"/>
    <cellStyle name="Обычный 11 3 15 3" xfId="6368"/>
    <cellStyle name="Обычный 11 3 16" xfId="6369"/>
    <cellStyle name="Обычный 11 3 16 2" xfId="6370"/>
    <cellStyle name="Обычный 11 3 16 3" xfId="6371"/>
    <cellStyle name="Обычный 11 3 17" xfId="6372"/>
    <cellStyle name="Обычный 11 3 17 2" xfId="6373"/>
    <cellStyle name="Обычный 11 3 17 3" xfId="6374"/>
    <cellStyle name="Обычный 11 3 18" xfId="6375"/>
    <cellStyle name="Обычный 11 3 18 2" xfId="6376"/>
    <cellStyle name="Обычный 11 3 18 3" xfId="6377"/>
    <cellStyle name="Обычный 11 3 19" xfId="6378"/>
    <cellStyle name="Обычный 11 3 19 2" xfId="6379"/>
    <cellStyle name="Обычный 11 3 19 3" xfId="6380"/>
    <cellStyle name="Обычный 11 3 2" xfId="6381"/>
    <cellStyle name="Обычный 11 3 2 2" xfId="6382"/>
    <cellStyle name="Обычный 11 3 2 3" xfId="6383"/>
    <cellStyle name="Обычный 11 3 20" xfId="6384"/>
    <cellStyle name="Обычный 11 3 20 2" xfId="6385"/>
    <cellStyle name="Обычный 11 3 20 3" xfId="6386"/>
    <cellStyle name="Обычный 11 3 21" xfId="6387"/>
    <cellStyle name="Обычный 11 3 21 2" xfId="6388"/>
    <cellStyle name="Обычный 11 3 21 3" xfId="6389"/>
    <cellStyle name="Обычный 11 3 22" xfId="6390"/>
    <cellStyle name="Обычный 11 3 22 2" xfId="6391"/>
    <cellStyle name="Обычный 11 3 22 3" xfId="6392"/>
    <cellStyle name="Обычный 11 3 23" xfId="6393"/>
    <cellStyle name="Обычный 11 3 23 2" xfId="6394"/>
    <cellStyle name="Обычный 11 3 23 3" xfId="6395"/>
    <cellStyle name="Обычный 11 3 24" xfId="6396"/>
    <cellStyle name="Обычный 11 3 24 2" xfId="6397"/>
    <cellStyle name="Обычный 11 3 24 3" xfId="6398"/>
    <cellStyle name="Обычный 11 3 25" xfId="6399"/>
    <cellStyle name="Обычный 11 3 25 2" xfId="6400"/>
    <cellStyle name="Обычный 11 3 25 3" xfId="6401"/>
    <cellStyle name="Обычный 11 3 26" xfId="6402"/>
    <cellStyle name="Обычный 11 3 26 2" xfId="6403"/>
    <cellStyle name="Обычный 11 3 26 3" xfId="6404"/>
    <cellStyle name="Обычный 11 3 27" xfId="6405"/>
    <cellStyle name="Обычный 11 3 27 2" xfId="6406"/>
    <cellStyle name="Обычный 11 3 27 3" xfId="6407"/>
    <cellStyle name="Обычный 11 3 28" xfId="6408"/>
    <cellStyle name="Обычный 11 3 28 2" xfId="6409"/>
    <cellStyle name="Обычный 11 3 28 3" xfId="6410"/>
    <cellStyle name="Обычный 11 3 29" xfId="6411"/>
    <cellStyle name="Обычный 11 3 29 2" xfId="6412"/>
    <cellStyle name="Обычный 11 3 29 3" xfId="6413"/>
    <cellStyle name="Обычный 11 3 3" xfId="6414"/>
    <cellStyle name="Обычный 11 3 3 2" xfId="6415"/>
    <cellStyle name="Обычный 11 3 3 3" xfId="6416"/>
    <cellStyle name="Обычный 11 3 30" xfId="6417"/>
    <cellStyle name="Обычный 11 3 30 2" xfId="6418"/>
    <cellStyle name="Обычный 11 3 30 3" xfId="6419"/>
    <cellStyle name="Обычный 11 3 31" xfId="6420"/>
    <cellStyle name="Обычный 11 3 31 2" xfId="6421"/>
    <cellStyle name="Обычный 11 3 31 3" xfId="6422"/>
    <cellStyle name="Обычный 11 3 32" xfId="6423"/>
    <cellStyle name="Обычный 11 3 32 2" xfId="6424"/>
    <cellStyle name="Обычный 11 3 32 3" xfId="6425"/>
    <cellStyle name="Обычный 11 3 33" xfId="6426"/>
    <cellStyle name="Обычный 11 3 33 2" xfId="6427"/>
    <cellStyle name="Обычный 11 3 33 3" xfId="6428"/>
    <cellStyle name="Обычный 11 3 34" xfId="6429"/>
    <cellStyle name="Обычный 11 3 34 2" xfId="6430"/>
    <cellStyle name="Обычный 11 3 34 3" xfId="6431"/>
    <cellStyle name="Обычный 11 3 35" xfId="6432"/>
    <cellStyle name="Обычный 11 3 35 2" xfId="6433"/>
    <cellStyle name="Обычный 11 3 35 3" xfId="6434"/>
    <cellStyle name="Обычный 11 3 36" xfId="6435"/>
    <cellStyle name="Обычный 11 3 36 2" xfId="6436"/>
    <cellStyle name="Обычный 11 3 36 3" xfId="6437"/>
    <cellStyle name="Обычный 11 3 37" xfId="6438"/>
    <cellStyle name="Обычный 11 3 37 2" xfId="6439"/>
    <cellStyle name="Обычный 11 3 37 3" xfId="6440"/>
    <cellStyle name="Обычный 11 3 38" xfId="6441"/>
    <cellStyle name="Обычный 11 3 38 2" xfId="6442"/>
    <cellStyle name="Обычный 11 3 38 3" xfId="6443"/>
    <cellStyle name="Обычный 11 3 39" xfId="6444"/>
    <cellStyle name="Обычный 11 3 39 2" xfId="6445"/>
    <cellStyle name="Обычный 11 3 39 3" xfId="6446"/>
    <cellStyle name="Обычный 11 3 4" xfId="6447"/>
    <cellStyle name="Обычный 11 3 4 2" xfId="6448"/>
    <cellStyle name="Обычный 11 3 4 3" xfId="6449"/>
    <cellStyle name="Обычный 11 3 40" xfId="6450"/>
    <cellStyle name="Обычный 11 3 40 2" xfId="6451"/>
    <cellStyle name="Обычный 11 3 40 3" xfId="6452"/>
    <cellStyle name="Обычный 11 3 41" xfId="6453"/>
    <cellStyle name="Обычный 11 3 41 2" xfId="6454"/>
    <cellStyle name="Обычный 11 3 41 3" xfId="6455"/>
    <cellStyle name="Обычный 11 3 42" xfId="6456"/>
    <cellStyle name="Обычный 11 3 42 2" xfId="6457"/>
    <cellStyle name="Обычный 11 3 42 3" xfId="6458"/>
    <cellStyle name="Обычный 11 3 43" xfId="6459"/>
    <cellStyle name="Обычный 11 3 43 2" xfId="6460"/>
    <cellStyle name="Обычный 11 3 43 3" xfId="6461"/>
    <cellStyle name="Обычный 11 3 44" xfId="6462"/>
    <cellStyle name="Обычный 11 3 44 2" xfId="6463"/>
    <cellStyle name="Обычный 11 3 44 3" xfId="6464"/>
    <cellStyle name="Обычный 11 3 45" xfId="6465"/>
    <cellStyle name="Обычный 11 3 45 2" xfId="6466"/>
    <cellStyle name="Обычный 11 3 45 3" xfId="6467"/>
    <cellStyle name="Обычный 11 3 46" xfId="6468"/>
    <cellStyle name="Обычный 11 3 46 2" xfId="6469"/>
    <cellStyle name="Обычный 11 3 46 3" xfId="6470"/>
    <cellStyle name="Обычный 11 3 47" xfId="6471"/>
    <cellStyle name="Обычный 11 3 47 2" xfId="6472"/>
    <cellStyle name="Обычный 11 3 47 3" xfId="6473"/>
    <cellStyle name="Обычный 11 3 48" xfId="6474"/>
    <cellStyle name="Обычный 11 3 48 2" xfId="6475"/>
    <cellStyle name="Обычный 11 3 48 3" xfId="6476"/>
    <cellStyle name="Обычный 11 3 49" xfId="6477"/>
    <cellStyle name="Обычный 11 3 49 2" xfId="6478"/>
    <cellStyle name="Обычный 11 3 49 3" xfId="6479"/>
    <cellStyle name="Обычный 11 3 5" xfId="6480"/>
    <cellStyle name="Обычный 11 3 5 2" xfId="6481"/>
    <cellStyle name="Обычный 11 3 5 3" xfId="6482"/>
    <cellStyle name="Обычный 11 3 50" xfId="6483"/>
    <cellStyle name="Обычный 11 3 50 2" xfId="6484"/>
    <cellStyle name="Обычный 11 3 50 3" xfId="6485"/>
    <cellStyle name="Обычный 11 3 51" xfId="6486"/>
    <cellStyle name="Обычный 11 3 51 2" xfId="6487"/>
    <cellStyle name="Обычный 11 3 51 3" xfId="6488"/>
    <cellStyle name="Обычный 11 3 52" xfId="6489"/>
    <cellStyle name="Обычный 11 3 52 2" xfId="6490"/>
    <cellStyle name="Обычный 11 3 52 3" xfId="6491"/>
    <cellStyle name="Обычный 11 3 53" xfId="6492"/>
    <cellStyle name="Обычный 11 3 53 2" xfId="6493"/>
    <cellStyle name="Обычный 11 3 53 3" xfId="6494"/>
    <cellStyle name="Обычный 11 3 54" xfId="6495"/>
    <cellStyle name="Обычный 11 3 54 2" xfId="6496"/>
    <cellStyle name="Обычный 11 3 54 3" xfId="6497"/>
    <cellStyle name="Обычный 11 3 55" xfId="6498"/>
    <cellStyle name="Обычный 11 3 55 2" xfId="6499"/>
    <cellStyle name="Обычный 11 3 55 3" xfId="6500"/>
    <cellStyle name="Обычный 11 3 56" xfId="6501"/>
    <cellStyle name="Обычный 11 3 56 2" xfId="6502"/>
    <cellStyle name="Обычный 11 3 56 3" xfId="6503"/>
    <cellStyle name="Обычный 11 3 57" xfId="6504"/>
    <cellStyle name="Обычный 11 3 57 2" xfId="6505"/>
    <cellStyle name="Обычный 11 3 57 3" xfId="6506"/>
    <cellStyle name="Обычный 11 3 58" xfId="6507"/>
    <cellStyle name="Обычный 11 3 58 2" xfId="6508"/>
    <cellStyle name="Обычный 11 3 58 3" xfId="6509"/>
    <cellStyle name="Обычный 11 3 59" xfId="6510"/>
    <cellStyle name="Обычный 11 3 59 2" xfId="6511"/>
    <cellStyle name="Обычный 11 3 59 3" xfId="6512"/>
    <cellStyle name="Обычный 11 3 6" xfId="6513"/>
    <cellStyle name="Обычный 11 3 6 2" xfId="6514"/>
    <cellStyle name="Обычный 11 3 6 3" xfId="6515"/>
    <cellStyle name="Обычный 11 3 60" xfId="6516"/>
    <cellStyle name="Обычный 11 3 60 2" xfId="6517"/>
    <cellStyle name="Обычный 11 3 60 3" xfId="6518"/>
    <cellStyle name="Обычный 11 3 61" xfId="6519"/>
    <cellStyle name="Обычный 11 3 61 2" xfId="6520"/>
    <cellStyle name="Обычный 11 3 61 3" xfId="6521"/>
    <cellStyle name="Обычный 11 3 62" xfId="6522"/>
    <cellStyle name="Обычный 11 3 62 2" xfId="6523"/>
    <cellStyle name="Обычный 11 3 62 3" xfId="6524"/>
    <cellStyle name="Обычный 11 3 63" xfId="6525"/>
    <cellStyle name="Обычный 11 3 63 2" xfId="6526"/>
    <cellStyle name="Обычный 11 3 63 3" xfId="6527"/>
    <cellStyle name="Обычный 11 3 64" xfId="6528"/>
    <cellStyle name="Обычный 11 3 65" xfId="6529"/>
    <cellStyle name="Обычный 11 3 7" xfId="6530"/>
    <cellStyle name="Обычный 11 3 7 2" xfId="6531"/>
    <cellStyle name="Обычный 11 3 7 3" xfId="6532"/>
    <cellStyle name="Обычный 11 3 8" xfId="6533"/>
    <cellStyle name="Обычный 11 3 8 2" xfId="6534"/>
    <cellStyle name="Обычный 11 3 8 3" xfId="6535"/>
    <cellStyle name="Обычный 11 3 9" xfId="6536"/>
    <cellStyle name="Обычный 11 3 9 2" xfId="6537"/>
    <cellStyle name="Обычный 11 3 9 3" xfId="6538"/>
    <cellStyle name="Обычный 11 30" xfId="6539"/>
    <cellStyle name="Обычный 11 30 2" xfId="6540"/>
    <cellStyle name="Обычный 11 30 3" xfId="6541"/>
    <cellStyle name="Обычный 11 31" xfId="6542"/>
    <cellStyle name="Обычный 11 31 2" xfId="6543"/>
    <cellStyle name="Обычный 11 31 3" xfId="6544"/>
    <cellStyle name="Обычный 11 32" xfId="6545"/>
    <cellStyle name="Обычный 11 32 2" xfId="6546"/>
    <cellStyle name="Обычный 11 32 3" xfId="6547"/>
    <cellStyle name="Обычный 11 33" xfId="6548"/>
    <cellStyle name="Обычный 11 33 2" xfId="6549"/>
    <cellStyle name="Обычный 11 33 3" xfId="6550"/>
    <cellStyle name="Обычный 11 34" xfId="6551"/>
    <cellStyle name="Обычный 11 34 2" xfId="6552"/>
    <cellStyle name="Обычный 11 34 3" xfId="6553"/>
    <cellStyle name="Обычный 11 35" xfId="6554"/>
    <cellStyle name="Обычный 11 35 2" xfId="6555"/>
    <cellStyle name="Обычный 11 35 3" xfId="6556"/>
    <cellStyle name="Обычный 11 36" xfId="6557"/>
    <cellStyle name="Обычный 11 36 2" xfId="6558"/>
    <cellStyle name="Обычный 11 36 3" xfId="6559"/>
    <cellStyle name="Обычный 11 37" xfId="6560"/>
    <cellStyle name="Обычный 11 37 2" xfId="6561"/>
    <cellStyle name="Обычный 11 37 3" xfId="6562"/>
    <cellStyle name="Обычный 11 38" xfId="6563"/>
    <cellStyle name="Обычный 11 38 2" xfId="6564"/>
    <cellStyle name="Обычный 11 38 3" xfId="6565"/>
    <cellStyle name="Обычный 11 39" xfId="6566"/>
    <cellStyle name="Обычный 11 39 2" xfId="6567"/>
    <cellStyle name="Обычный 11 39 3" xfId="6568"/>
    <cellStyle name="Обычный 11 4" xfId="6569"/>
    <cellStyle name="Обычный 11 4 10" xfId="6570"/>
    <cellStyle name="Обычный 11 4 10 2" xfId="6571"/>
    <cellStyle name="Обычный 11 4 10 3" xfId="6572"/>
    <cellStyle name="Обычный 11 4 11" xfId="6573"/>
    <cellStyle name="Обычный 11 4 11 2" xfId="6574"/>
    <cellStyle name="Обычный 11 4 11 3" xfId="6575"/>
    <cellStyle name="Обычный 11 4 12" xfId="6576"/>
    <cellStyle name="Обычный 11 4 12 2" xfId="6577"/>
    <cellStyle name="Обычный 11 4 12 3" xfId="6578"/>
    <cellStyle name="Обычный 11 4 13" xfId="6579"/>
    <cellStyle name="Обычный 11 4 13 2" xfId="6580"/>
    <cellStyle name="Обычный 11 4 13 3" xfId="6581"/>
    <cellStyle name="Обычный 11 4 14" xfId="6582"/>
    <cellStyle name="Обычный 11 4 14 2" xfId="6583"/>
    <cellStyle name="Обычный 11 4 14 3" xfId="6584"/>
    <cellStyle name="Обычный 11 4 15" xfId="6585"/>
    <cellStyle name="Обычный 11 4 15 2" xfId="6586"/>
    <cellStyle name="Обычный 11 4 15 3" xfId="6587"/>
    <cellStyle name="Обычный 11 4 16" xfId="6588"/>
    <cellStyle name="Обычный 11 4 16 2" xfId="6589"/>
    <cellStyle name="Обычный 11 4 16 3" xfId="6590"/>
    <cellStyle name="Обычный 11 4 17" xfId="6591"/>
    <cellStyle name="Обычный 11 4 17 2" xfId="6592"/>
    <cellStyle name="Обычный 11 4 17 3" xfId="6593"/>
    <cellStyle name="Обычный 11 4 18" xfId="6594"/>
    <cellStyle name="Обычный 11 4 18 2" xfId="6595"/>
    <cellStyle name="Обычный 11 4 18 3" xfId="6596"/>
    <cellStyle name="Обычный 11 4 19" xfId="6597"/>
    <cellStyle name="Обычный 11 4 19 2" xfId="6598"/>
    <cellStyle name="Обычный 11 4 19 3" xfId="6599"/>
    <cellStyle name="Обычный 11 4 2" xfId="6600"/>
    <cellStyle name="Обычный 11 4 2 2" xfId="6601"/>
    <cellStyle name="Обычный 11 4 2 3" xfId="6602"/>
    <cellStyle name="Обычный 11 4 20" xfId="6603"/>
    <cellStyle name="Обычный 11 4 20 2" xfId="6604"/>
    <cellStyle name="Обычный 11 4 20 3" xfId="6605"/>
    <cellStyle name="Обычный 11 4 21" xfId="6606"/>
    <cellStyle name="Обычный 11 4 21 2" xfId="6607"/>
    <cellStyle name="Обычный 11 4 21 3" xfId="6608"/>
    <cellStyle name="Обычный 11 4 22" xfId="6609"/>
    <cellStyle name="Обычный 11 4 22 2" xfId="6610"/>
    <cellStyle name="Обычный 11 4 22 3" xfId="6611"/>
    <cellStyle name="Обычный 11 4 23" xfId="6612"/>
    <cellStyle name="Обычный 11 4 23 2" xfId="6613"/>
    <cellStyle name="Обычный 11 4 23 3" xfId="6614"/>
    <cellStyle name="Обычный 11 4 24" xfId="6615"/>
    <cellStyle name="Обычный 11 4 24 2" xfId="6616"/>
    <cellStyle name="Обычный 11 4 24 3" xfId="6617"/>
    <cellStyle name="Обычный 11 4 25" xfId="6618"/>
    <cellStyle name="Обычный 11 4 25 2" xfId="6619"/>
    <cellStyle name="Обычный 11 4 25 3" xfId="6620"/>
    <cellStyle name="Обычный 11 4 26" xfId="6621"/>
    <cellStyle name="Обычный 11 4 26 2" xfId="6622"/>
    <cellStyle name="Обычный 11 4 26 3" xfId="6623"/>
    <cellStyle name="Обычный 11 4 27" xfId="6624"/>
    <cellStyle name="Обычный 11 4 27 2" xfId="6625"/>
    <cellStyle name="Обычный 11 4 27 3" xfId="6626"/>
    <cellStyle name="Обычный 11 4 28" xfId="6627"/>
    <cellStyle name="Обычный 11 4 28 2" xfId="6628"/>
    <cellStyle name="Обычный 11 4 28 3" xfId="6629"/>
    <cellStyle name="Обычный 11 4 29" xfId="6630"/>
    <cellStyle name="Обычный 11 4 29 2" xfId="6631"/>
    <cellStyle name="Обычный 11 4 29 3" xfId="6632"/>
    <cellStyle name="Обычный 11 4 3" xfId="6633"/>
    <cellStyle name="Обычный 11 4 3 2" xfId="6634"/>
    <cellStyle name="Обычный 11 4 3 3" xfId="6635"/>
    <cellStyle name="Обычный 11 4 30" xfId="6636"/>
    <cellStyle name="Обычный 11 4 30 2" xfId="6637"/>
    <cellStyle name="Обычный 11 4 30 3" xfId="6638"/>
    <cellStyle name="Обычный 11 4 31" xfId="6639"/>
    <cellStyle name="Обычный 11 4 31 2" xfId="6640"/>
    <cellStyle name="Обычный 11 4 31 3" xfId="6641"/>
    <cellStyle name="Обычный 11 4 32" xfId="6642"/>
    <cellStyle name="Обычный 11 4 32 2" xfId="6643"/>
    <cellStyle name="Обычный 11 4 32 3" xfId="6644"/>
    <cellStyle name="Обычный 11 4 33" xfId="6645"/>
    <cellStyle name="Обычный 11 4 33 2" xfId="6646"/>
    <cellStyle name="Обычный 11 4 33 3" xfId="6647"/>
    <cellStyle name="Обычный 11 4 34" xfId="6648"/>
    <cellStyle name="Обычный 11 4 34 2" xfId="6649"/>
    <cellStyle name="Обычный 11 4 34 3" xfId="6650"/>
    <cellStyle name="Обычный 11 4 35" xfId="6651"/>
    <cellStyle name="Обычный 11 4 35 2" xfId="6652"/>
    <cellStyle name="Обычный 11 4 35 3" xfId="6653"/>
    <cellStyle name="Обычный 11 4 36" xfId="6654"/>
    <cellStyle name="Обычный 11 4 36 2" xfId="6655"/>
    <cellStyle name="Обычный 11 4 36 3" xfId="6656"/>
    <cellStyle name="Обычный 11 4 37" xfId="6657"/>
    <cellStyle name="Обычный 11 4 37 2" xfId="6658"/>
    <cellStyle name="Обычный 11 4 37 3" xfId="6659"/>
    <cellStyle name="Обычный 11 4 38" xfId="6660"/>
    <cellStyle name="Обычный 11 4 38 2" xfId="6661"/>
    <cellStyle name="Обычный 11 4 38 3" xfId="6662"/>
    <cellStyle name="Обычный 11 4 39" xfId="6663"/>
    <cellStyle name="Обычный 11 4 39 2" xfId="6664"/>
    <cellStyle name="Обычный 11 4 39 3" xfId="6665"/>
    <cellStyle name="Обычный 11 4 4" xfId="6666"/>
    <cellStyle name="Обычный 11 4 4 2" xfId="6667"/>
    <cellStyle name="Обычный 11 4 4 3" xfId="6668"/>
    <cellStyle name="Обычный 11 4 40" xfId="6669"/>
    <cellStyle name="Обычный 11 4 40 2" xfId="6670"/>
    <cellStyle name="Обычный 11 4 40 3" xfId="6671"/>
    <cellStyle name="Обычный 11 4 41" xfId="6672"/>
    <cellStyle name="Обычный 11 4 41 2" xfId="6673"/>
    <cellStyle name="Обычный 11 4 41 3" xfId="6674"/>
    <cellStyle name="Обычный 11 4 42" xfId="6675"/>
    <cellStyle name="Обычный 11 4 42 2" xfId="6676"/>
    <cellStyle name="Обычный 11 4 42 3" xfId="6677"/>
    <cellStyle name="Обычный 11 4 43" xfId="6678"/>
    <cellStyle name="Обычный 11 4 43 2" xfId="6679"/>
    <cellStyle name="Обычный 11 4 43 3" xfId="6680"/>
    <cellStyle name="Обычный 11 4 44" xfId="6681"/>
    <cellStyle name="Обычный 11 4 44 2" xfId="6682"/>
    <cellStyle name="Обычный 11 4 44 3" xfId="6683"/>
    <cellStyle name="Обычный 11 4 45" xfId="6684"/>
    <cellStyle name="Обычный 11 4 45 2" xfId="6685"/>
    <cellStyle name="Обычный 11 4 45 3" xfId="6686"/>
    <cellStyle name="Обычный 11 4 46" xfId="6687"/>
    <cellStyle name="Обычный 11 4 46 2" xfId="6688"/>
    <cellStyle name="Обычный 11 4 46 3" xfId="6689"/>
    <cellStyle name="Обычный 11 4 47" xfId="6690"/>
    <cellStyle name="Обычный 11 4 47 2" xfId="6691"/>
    <cellStyle name="Обычный 11 4 47 3" xfId="6692"/>
    <cellStyle name="Обычный 11 4 48" xfId="6693"/>
    <cellStyle name="Обычный 11 4 48 2" xfId="6694"/>
    <cellStyle name="Обычный 11 4 48 3" xfId="6695"/>
    <cellStyle name="Обычный 11 4 49" xfId="6696"/>
    <cellStyle name="Обычный 11 4 49 2" xfId="6697"/>
    <cellStyle name="Обычный 11 4 49 3" xfId="6698"/>
    <cellStyle name="Обычный 11 4 5" xfId="6699"/>
    <cellStyle name="Обычный 11 4 5 2" xfId="6700"/>
    <cellStyle name="Обычный 11 4 5 3" xfId="6701"/>
    <cellStyle name="Обычный 11 4 50" xfId="6702"/>
    <cellStyle name="Обычный 11 4 50 2" xfId="6703"/>
    <cellStyle name="Обычный 11 4 50 3" xfId="6704"/>
    <cellStyle name="Обычный 11 4 51" xfId="6705"/>
    <cellStyle name="Обычный 11 4 51 2" xfId="6706"/>
    <cellStyle name="Обычный 11 4 51 3" xfId="6707"/>
    <cellStyle name="Обычный 11 4 52" xfId="6708"/>
    <cellStyle name="Обычный 11 4 52 2" xfId="6709"/>
    <cellStyle name="Обычный 11 4 52 3" xfId="6710"/>
    <cellStyle name="Обычный 11 4 53" xfId="6711"/>
    <cellStyle name="Обычный 11 4 53 2" xfId="6712"/>
    <cellStyle name="Обычный 11 4 53 3" xfId="6713"/>
    <cellStyle name="Обычный 11 4 54" xfId="6714"/>
    <cellStyle name="Обычный 11 4 54 2" xfId="6715"/>
    <cellStyle name="Обычный 11 4 54 3" xfId="6716"/>
    <cellStyle name="Обычный 11 4 55" xfId="6717"/>
    <cellStyle name="Обычный 11 4 55 2" xfId="6718"/>
    <cellStyle name="Обычный 11 4 55 3" xfId="6719"/>
    <cellStyle name="Обычный 11 4 56" xfId="6720"/>
    <cellStyle name="Обычный 11 4 56 2" xfId="6721"/>
    <cellStyle name="Обычный 11 4 56 3" xfId="6722"/>
    <cellStyle name="Обычный 11 4 57" xfId="6723"/>
    <cellStyle name="Обычный 11 4 57 2" xfId="6724"/>
    <cellStyle name="Обычный 11 4 57 3" xfId="6725"/>
    <cellStyle name="Обычный 11 4 58" xfId="6726"/>
    <cellStyle name="Обычный 11 4 58 2" xfId="6727"/>
    <cellStyle name="Обычный 11 4 58 3" xfId="6728"/>
    <cellStyle name="Обычный 11 4 59" xfId="6729"/>
    <cellStyle name="Обычный 11 4 59 2" xfId="6730"/>
    <cellStyle name="Обычный 11 4 59 3" xfId="6731"/>
    <cellStyle name="Обычный 11 4 6" xfId="6732"/>
    <cellStyle name="Обычный 11 4 6 2" xfId="6733"/>
    <cellStyle name="Обычный 11 4 6 3" xfId="6734"/>
    <cellStyle name="Обычный 11 4 60" xfId="6735"/>
    <cellStyle name="Обычный 11 4 60 2" xfId="6736"/>
    <cellStyle name="Обычный 11 4 60 3" xfId="6737"/>
    <cellStyle name="Обычный 11 4 61" xfId="6738"/>
    <cellStyle name="Обычный 11 4 61 2" xfId="6739"/>
    <cellStyle name="Обычный 11 4 61 3" xfId="6740"/>
    <cellStyle name="Обычный 11 4 62" xfId="6741"/>
    <cellStyle name="Обычный 11 4 62 2" xfId="6742"/>
    <cellStyle name="Обычный 11 4 62 3" xfId="6743"/>
    <cellStyle name="Обычный 11 4 63" xfId="6744"/>
    <cellStyle name="Обычный 11 4 63 2" xfId="6745"/>
    <cellStyle name="Обычный 11 4 63 3" xfId="6746"/>
    <cellStyle name="Обычный 11 4 64" xfId="6747"/>
    <cellStyle name="Обычный 11 4 65" xfId="6748"/>
    <cellStyle name="Обычный 11 4 7" xfId="6749"/>
    <cellStyle name="Обычный 11 4 7 2" xfId="6750"/>
    <cellStyle name="Обычный 11 4 7 3" xfId="6751"/>
    <cellStyle name="Обычный 11 4 8" xfId="6752"/>
    <cellStyle name="Обычный 11 4 8 2" xfId="6753"/>
    <cellStyle name="Обычный 11 4 8 3" xfId="6754"/>
    <cellStyle name="Обычный 11 4 9" xfId="6755"/>
    <cellStyle name="Обычный 11 4 9 2" xfId="6756"/>
    <cellStyle name="Обычный 11 4 9 3" xfId="6757"/>
    <cellStyle name="Обычный 11 40" xfId="6758"/>
    <cellStyle name="Обычный 11 40 2" xfId="6759"/>
    <cellStyle name="Обычный 11 40 3" xfId="6760"/>
    <cellStyle name="Обычный 11 41" xfId="6761"/>
    <cellStyle name="Обычный 11 41 2" xfId="6762"/>
    <cellStyle name="Обычный 11 41 3" xfId="6763"/>
    <cellStyle name="Обычный 11 42" xfId="6764"/>
    <cellStyle name="Обычный 11 42 2" xfId="6765"/>
    <cellStyle name="Обычный 11 42 3" xfId="6766"/>
    <cellStyle name="Обычный 11 43" xfId="6767"/>
    <cellStyle name="Обычный 11 43 2" xfId="6768"/>
    <cellStyle name="Обычный 11 43 3" xfId="6769"/>
    <cellStyle name="Обычный 11 44" xfId="6770"/>
    <cellStyle name="Обычный 11 44 2" xfId="6771"/>
    <cellStyle name="Обычный 11 44 3" xfId="6772"/>
    <cellStyle name="Обычный 11 45" xfId="6773"/>
    <cellStyle name="Обычный 11 45 2" xfId="6774"/>
    <cellStyle name="Обычный 11 45 3" xfId="6775"/>
    <cellStyle name="Обычный 11 46" xfId="6776"/>
    <cellStyle name="Обычный 11 46 2" xfId="6777"/>
    <cellStyle name="Обычный 11 46 3" xfId="6778"/>
    <cellStyle name="Обычный 11 47" xfId="6779"/>
    <cellStyle name="Обычный 11 47 2" xfId="6780"/>
    <cellStyle name="Обычный 11 47 3" xfId="6781"/>
    <cellStyle name="Обычный 11 48" xfId="6782"/>
    <cellStyle name="Обычный 11 48 2" xfId="6783"/>
    <cellStyle name="Обычный 11 48 3" xfId="6784"/>
    <cellStyle name="Обычный 11 49" xfId="6785"/>
    <cellStyle name="Обычный 11 49 2" xfId="6786"/>
    <cellStyle name="Обычный 11 49 3" xfId="6787"/>
    <cellStyle name="Обычный 11 5" xfId="6788"/>
    <cellStyle name="Обычный 11 5 10" xfId="6789"/>
    <cellStyle name="Обычный 11 5 10 2" xfId="6790"/>
    <cellStyle name="Обычный 11 5 10 3" xfId="6791"/>
    <cellStyle name="Обычный 11 5 11" xfId="6792"/>
    <cellStyle name="Обычный 11 5 11 2" xfId="6793"/>
    <cellStyle name="Обычный 11 5 11 3" xfId="6794"/>
    <cellStyle name="Обычный 11 5 12" xfId="6795"/>
    <cellStyle name="Обычный 11 5 12 2" xfId="6796"/>
    <cellStyle name="Обычный 11 5 12 3" xfId="6797"/>
    <cellStyle name="Обычный 11 5 13" xfId="6798"/>
    <cellStyle name="Обычный 11 5 13 2" xfId="6799"/>
    <cellStyle name="Обычный 11 5 13 3" xfId="6800"/>
    <cellStyle name="Обычный 11 5 14" xfId="6801"/>
    <cellStyle name="Обычный 11 5 14 2" xfId="6802"/>
    <cellStyle name="Обычный 11 5 14 3" xfId="6803"/>
    <cellStyle name="Обычный 11 5 15" xfId="6804"/>
    <cellStyle name="Обычный 11 5 15 2" xfId="6805"/>
    <cellStyle name="Обычный 11 5 15 3" xfId="6806"/>
    <cellStyle name="Обычный 11 5 16" xfId="6807"/>
    <cellStyle name="Обычный 11 5 16 2" xfId="6808"/>
    <cellStyle name="Обычный 11 5 16 3" xfId="6809"/>
    <cellStyle name="Обычный 11 5 17" xfId="6810"/>
    <cellStyle name="Обычный 11 5 17 2" xfId="6811"/>
    <cellStyle name="Обычный 11 5 17 3" xfId="6812"/>
    <cellStyle name="Обычный 11 5 18" xfId="6813"/>
    <cellStyle name="Обычный 11 5 18 2" xfId="6814"/>
    <cellStyle name="Обычный 11 5 18 3" xfId="6815"/>
    <cellStyle name="Обычный 11 5 19" xfId="6816"/>
    <cellStyle name="Обычный 11 5 19 2" xfId="6817"/>
    <cellStyle name="Обычный 11 5 19 3" xfId="6818"/>
    <cellStyle name="Обычный 11 5 2" xfId="6819"/>
    <cellStyle name="Обычный 11 5 2 2" xfId="6820"/>
    <cellStyle name="Обычный 11 5 2 3" xfId="6821"/>
    <cellStyle name="Обычный 11 5 20" xfId="6822"/>
    <cellStyle name="Обычный 11 5 20 2" xfId="6823"/>
    <cellStyle name="Обычный 11 5 20 3" xfId="6824"/>
    <cellStyle name="Обычный 11 5 21" xfId="6825"/>
    <cellStyle name="Обычный 11 5 21 2" xfId="6826"/>
    <cellStyle name="Обычный 11 5 21 3" xfId="6827"/>
    <cellStyle name="Обычный 11 5 22" xfId="6828"/>
    <cellStyle name="Обычный 11 5 22 2" xfId="6829"/>
    <cellStyle name="Обычный 11 5 22 3" xfId="6830"/>
    <cellStyle name="Обычный 11 5 23" xfId="6831"/>
    <cellStyle name="Обычный 11 5 23 2" xfId="6832"/>
    <cellStyle name="Обычный 11 5 23 3" xfId="6833"/>
    <cellStyle name="Обычный 11 5 24" xfId="6834"/>
    <cellStyle name="Обычный 11 5 24 2" xfId="6835"/>
    <cellStyle name="Обычный 11 5 24 3" xfId="6836"/>
    <cellStyle name="Обычный 11 5 25" xfId="6837"/>
    <cellStyle name="Обычный 11 5 25 2" xfId="6838"/>
    <cellStyle name="Обычный 11 5 25 3" xfId="6839"/>
    <cellStyle name="Обычный 11 5 26" xfId="6840"/>
    <cellStyle name="Обычный 11 5 26 2" xfId="6841"/>
    <cellStyle name="Обычный 11 5 26 3" xfId="6842"/>
    <cellStyle name="Обычный 11 5 27" xfId="6843"/>
    <cellStyle name="Обычный 11 5 27 2" xfId="6844"/>
    <cellStyle name="Обычный 11 5 27 3" xfId="6845"/>
    <cellStyle name="Обычный 11 5 28" xfId="6846"/>
    <cellStyle name="Обычный 11 5 28 2" xfId="6847"/>
    <cellStyle name="Обычный 11 5 28 3" xfId="6848"/>
    <cellStyle name="Обычный 11 5 29" xfId="6849"/>
    <cellStyle name="Обычный 11 5 29 2" xfId="6850"/>
    <cellStyle name="Обычный 11 5 29 3" xfId="6851"/>
    <cellStyle name="Обычный 11 5 3" xfId="6852"/>
    <cellStyle name="Обычный 11 5 3 2" xfId="6853"/>
    <cellStyle name="Обычный 11 5 3 3" xfId="6854"/>
    <cellStyle name="Обычный 11 5 30" xfId="6855"/>
    <cellStyle name="Обычный 11 5 30 2" xfId="6856"/>
    <cellStyle name="Обычный 11 5 30 3" xfId="6857"/>
    <cellStyle name="Обычный 11 5 31" xfId="6858"/>
    <cellStyle name="Обычный 11 5 31 2" xfId="6859"/>
    <cellStyle name="Обычный 11 5 31 3" xfId="6860"/>
    <cellStyle name="Обычный 11 5 32" xfId="6861"/>
    <cellStyle name="Обычный 11 5 32 2" xfId="6862"/>
    <cellStyle name="Обычный 11 5 32 3" xfId="6863"/>
    <cellStyle name="Обычный 11 5 33" xfId="6864"/>
    <cellStyle name="Обычный 11 5 33 2" xfId="6865"/>
    <cellStyle name="Обычный 11 5 33 3" xfId="6866"/>
    <cellStyle name="Обычный 11 5 34" xfId="6867"/>
    <cellStyle name="Обычный 11 5 34 2" xfId="6868"/>
    <cellStyle name="Обычный 11 5 34 3" xfId="6869"/>
    <cellStyle name="Обычный 11 5 35" xfId="6870"/>
    <cellStyle name="Обычный 11 5 35 2" xfId="6871"/>
    <cellStyle name="Обычный 11 5 35 3" xfId="6872"/>
    <cellStyle name="Обычный 11 5 36" xfId="6873"/>
    <cellStyle name="Обычный 11 5 36 2" xfId="6874"/>
    <cellStyle name="Обычный 11 5 36 3" xfId="6875"/>
    <cellStyle name="Обычный 11 5 37" xfId="6876"/>
    <cellStyle name="Обычный 11 5 37 2" xfId="6877"/>
    <cellStyle name="Обычный 11 5 37 3" xfId="6878"/>
    <cellStyle name="Обычный 11 5 38" xfId="6879"/>
    <cellStyle name="Обычный 11 5 38 2" xfId="6880"/>
    <cellStyle name="Обычный 11 5 38 3" xfId="6881"/>
    <cellStyle name="Обычный 11 5 39" xfId="6882"/>
    <cellStyle name="Обычный 11 5 39 2" xfId="6883"/>
    <cellStyle name="Обычный 11 5 39 3" xfId="6884"/>
    <cellStyle name="Обычный 11 5 4" xfId="6885"/>
    <cellStyle name="Обычный 11 5 4 2" xfId="6886"/>
    <cellStyle name="Обычный 11 5 4 3" xfId="6887"/>
    <cellStyle name="Обычный 11 5 40" xfId="6888"/>
    <cellStyle name="Обычный 11 5 40 2" xfId="6889"/>
    <cellStyle name="Обычный 11 5 40 3" xfId="6890"/>
    <cellStyle name="Обычный 11 5 41" xfId="6891"/>
    <cellStyle name="Обычный 11 5 41 2" xfId="6892"/>
    <cellStyle name="Обычный 11 5 41 3" xfId="6893"/>
    <cellStyle name="Обычный 11 5 42" xfId="6894"/>
    <cellStyle name="Обычный 11 5 42 2" xfId="6895"/>
    <cellStyle name="Обычный 11 5 42 3" xfId="6896"/>
    <cellStyle name="Обычный 11 5 43" xfId="6897"/>
    <cellStyle name="Обычный 11 5 43 2" xfId="6898"/>
    <cellStyle name="Обычный 11 5 43 3" xfId="6899"/>
    <cellStyle name="Обычный 11 5 44" xfId="6900"/>
    <cellStyle name="Обычный 11 5 44 2" xfId="6901"/>
    <cellStyle name="Обычный 11 5 44 3" xfId="6902"/>
    <cellStyle name="Обычный 11 5 45" xfId="6903"/>
    <cellStyle name="Обычный 11 5 45 2" xfId="6904"/>
    <cellStyle name="Обычный 11 5 45 3" xfId="6905"/>
    <cellStyle name="Обычный 11 5 46" xfId="6906"/>
    <cellStyle name="Обычный 11 5 46 2" xfId="6907"/>
    <cellStyle name="Обычный 11 5 46 3" xfId="6908"/>
    <cellStyle name="Обычный 11 5 47" xfId="6909"/>
    <cellStyle name="Обычный 11 5 47 2" xfId="6910"/>
    <cellStyle name="Обычный 11 5 47 3" xfId="6911"/>
    <cellStyle name="Обычный 11 5 48" xfId="6912"/>
    <cellStyle name="Обычный 11 5 48 2" xfId="6913"/>
    <cellStyle name="Обычный 11 5 48 3" xfId="6914"/>
    <cellStyle name="Обычный 11 5 49" xfId="6915"/>
    <cellStyle name="Обычный 11 5 49 2" xfId="6916"/>
    <cellStyle name="Обычный 11 5 49 3" xfId="6917"/>
    <cellStyle name="Обычный 11 5 5" xfId="6918"/>
    <cellStyle name="Обычный 11 5 5 2" xfId="6919"/>
    <cellStyle name="Обычный 11 5 5 3" xfId="6920"/>
    <cellStyle name="Обычный 11 5 50" xfId="6921"/>
    <cellStyle name="Обычный 11 5 50 2" xfId="6922"/>
    <cellStyle name="Обычный 11 5 50 3" xfId="6923"/>
    <cellStyle name="Обычный 11 5 51" xfId="6924"/>
    <cellStyle name="Обычный 11 5 51 2" xfId="6925"/>
    <cellStyle name="Обычный 11 5 51 3" xfId="6926"/>
    <cellStyle name="Обычный 11 5 52" xfId="6927"/>
    <cellStyle name="Обычный 11 5 52 2" xfId="6928"/>
    <cellStyle name="Обычный 11 5 52 3" xfId="6929"/>
    <cellStyle name="Обычный 11 5 53" xfId="6930"/>
    <cellStyle name="Обычный 11 5 53 2" xfId="6931"/>
    <cellStyle name="Обычный 11 5 53 3" xfId="6932"/>
    <cellStyle name="Обычный 11 5 54" xfId="6933"/>
    <cellStyle name="Обычный 11 5 54 2" xfId="6934"/>
    <cellStyle name="Обычный 11 5 54 3" xfId="6935"/>
    <cellStyle name="Обычный 11 5 55" xfId="6936"/>
    <cellStyle name="Обычный 11 5 55 2" xfId="6937"/>
    <cellStyle name="Обычный 11 5 55 3" xfId="6938"/>
    <cellStyle name="Обычный 11 5 56" xfId="6939"/>
    <cellStyle name="Обычный 11 5 56 2" xfId="6940"/>
    <cellStyle name="Обычный 11 5 56 3" xfId="6941"/>
    <cellStyle name="Обычный 11 5 57" xfId="6942"/>
    <cellStyle name="Обычный 11 5 57 2" xfId="6943"/>
    <cellStyle name="Обычный 11 5 57 3" xfId="6944"/>
    <cellStyle name="Обычный 11 5 58" xfId="6945"/>
    <cellStyle name="Обычный 11 5 58 2" xfId="6946"/>
    <cellStyle name="Обычный 11 5 58 3" xfId="6947"/>
    <cellStyle name="Обычный 11 5 59" xfId="6948"/>
    <cellStyle name="Обычный 11 5 59 2" xfId="6949"/>
    <cellStyle name="Обычный 11 5 59 3" xfId="6950"/>
    <cellStyle name="Обычный 11 5 6" xfId="6951"/>
    <cellStyle name="Обычный 11 5 6 2" xfId="6952"/>
    <cellStyle name="Обычный 11 5 6 3" xfId="6953"/>
    <cellStyle name="Обычный 11 5 60" xfId="6954"/>
    <cellStyle name="Обычный 11 5 60 2" xfId="6955"/>
    <cellStyle name="Обычный 11 5 60 3" xfId="6956"/>
    <cellStyle name="Обычный 11 5 61" xfId="6957"/>
    <cellStyle name="Обычный 11 5 61 2" xfId="6958"/>
    <cellStyle name="Обычный 11 5 61 3" xfId="6959"/>
    <cellStyle name="Обычный 11 5 62" xfId="6960"/>
    <cellStyle name="Обычный 11 5 62 2" xfId="6961"/>
    <cellStyle name="Обычный 11 5 62 3" xfId="6962"/>
    <cellStyle name="Обычный 11 5 63" xfId="6963"/>
    <cellStyle name="Обычный 11 5 63 2" xfId="6964"/>
    <cellStyle name="Обычный 11 5 63 3" xfId="6965"/>
    <cellStyle name="Обычный 11 5 64" xfId="6966"/>
    <cellStyle name="Обычный 11 5 65" xfId="6967"/>
    <cellStyle name="Обычный 11 5 7" xfId="6968"/>
    <cellStyle name="Обычный 11 5 7 2" xfId="6969"/>
    <cellStyle name="Обычный 11 5 7 3" xfId="6970"/>
    <cellStyle name="Обычный 11 5 8" xfId="6971"/>
    <cellStyle name="Обычный 11 5 8 2" xfId="6972"/>
    <cellStyle name="Обычный 11 5 8 3" xfId="6973"/>
    <cellStyle name="Обычный 11 5 9" xfId="6974"/>
    <cellStyle name="Обычный 11 5 9 2" xfId="6975"/>
    <cellStyle name="Обычный 11 5 9 3" xfId="6976"/>
    <cellStyle name="Обычный 11 50" xfId="6977"/>
    <cellStyle name="Обычный 11 50 2" xfId="6978"/>
    <cellStyle name="Обычный 11 50 3" xfId="6979"/>
    <cellStyle name="Обычный 11 51" xfId="6980"/>
    <cellStyle name="Обычный 11 51 2" xfId="6981"/>
    <cellStyle name="Обычный 11 51 3" xfId="6982"/>
    <cellStyle name="Обычный 11 52" xfId="6983"/>
    <cellStyle name="Обычный 11 52 2" xfId="6984"/>
    <cellStyle name="Обычный 11 52 3" xfId="6985"/>
    <cellStyle name="Обычный 11 53" xfId="6986"/>
    <cellStyle name="Обычный 11 53 2" xfId="6987"/>
    <cellStyle name="Обычный 11 53 3" xfId="6988"/>
    <cellStyle name="Обычный 11 54" xfId="6989"/>
    <cellStyle name="Обычный 11 54 2" xfId="6990"/>
    <cellStyle name="Обычный 11 54 3" xfId="6991"/>
    <cellStyle name="Обычный 11 55" xfId="6992"/>
    <cellStyle name="Обычный 11 55 2" xfId="6993"/>
    <cellStyle name="Обычный 11 55 3" xfId="6994"/>
    <cellStyle name="Обычный 11 56" xfId="6995"/>
    <cellStyle name="Обычный 11 56 2" xfId="6996"/>
    <cellStyle name="Обычный 11 56 3" xfId="6997"/>
    <cellStyle name="Обычный 11 57" xfId="6998"/>
    <cellStyle name="Обычный 11 57 2" xfId="6999"/>
    <cellStyle name="Обычный 11 57 3" xfId="7000"/>
    <cellStyle name="Обычный 11 58" xfId="7001"/>
    <cellStyle name="Обычный 11 58 2" xfId="7002"/>
    <cellStyle name="Обычный 11 58 3" xfId="7003"/>
    <cellStyle name="Обычный 11 59" xfId="7004"/>
    <cellStyle name="Обычный 11 59 2" xfId="7005"/>
    <cellStyle name="Обычный 11 59 3" xfId="7006"/>
    <cellStyle name="Обычный 11 6" xfId="7007"/>
    <cellStyle name="Обычный 11 6 10" xfId="7008"/>
    <cellStyle name="Обычный 11 6 10 2" xfId="7009"/>
    <cellStyle name="Обычный 11 6 10 3" xfId="7010"/>
    <cellStyle name="Обычный 11 6 11" xfId="7011"/>
    <cellStyle name="Обычный 11 6 11 2" xfId="7012"/>
    <cellStyle name="Обычный 11 6 11 3" xfId="7013"/>
    <cellStyle name="Обычный 11 6 12" xfId="7014"/>
    <cellStyle name="Обычный 11 6 12 2" xfId="7015"/>
    <cellStyle name="Обычный 11 6 12 3" xfId="7016"/>
    <cellStyle name="Обычный 11 6 13" xfId="7017"/>
    <cellStyle name="Обычный 11 6 13 2" xfId="7018"/>
    <cellStyle name="Обычный 11 6 13 3" xfId="7019"/>
    <cellStyle name="Обычный 11 6 14" xfId="7020"/>
    <cellStyle name="Обычный 11 6 14 2" xfId="7021"/>
    <cellStyle name="Обычный 11 6 14 3" xfId="7022"/>
    <cellStyle name="Обычный 11 6 15" xfId="7023"/>
    <cellStyle name="Обычный 11 6 15 2" xfId="7024"/>
    <cellStyle name="Обычный 11 6 15 3" xfId="7025"/>
    <cellStyle name="Обычный 11 6 16" xfId="7026"/>
    <cellStyle name="Обычный 11 6 16 2" xfId="7027"/>
    <cellStyle name="Обычный 11 6 16 3" xfId="7028"/>
    <cellStyle name="Обычный 11 6 17" xfId="7029"/>
    <cellStyle name="Обычный 11 6 17 2" xfId="7030"/>
    <cellStyle name="Обычный 11 6 17 3" xfId="7031"/>
    <cellStyle name="Обычный 11 6 18" xfId="7032"/>
    <cellStyle name="Обычный 11 6 18 2" xfId="7033"/>
    <cellStyle name="Обычный 11 6 18 3" xfId="7034"/>
    <cellStyle name="Обычный 11 6 19" xfId="7035"/>
    <cellStyle name="Обычный 11 6 19 2" xfId="7036"/>
    <cellStyle name="Обычный 11 6 19 3" xfId="7037"/>
    <cellStyle name="Обычный 11 6 2" xfId="7038"/>
    <cellStyle name="Обычный 11 6 2 2" xfId="7039"/>
    <cellStyle name="Обычный 11 6 2 3" xfId="7040"/>
    <cellStyle name="Обычный 11 6 20" xfId="7041"/>
    <cellStyle name="Обычный 11 6 20 2" xfId="7042"/>
    <cellStyle name="Обычный 11 6 20 3" xfId="7043"/>
    <cellStyle name="Обычный 11 6 21" xfId="7044"/>
    <cellStyle name="Обычный 11 6 21 2" xfId="7045"/>
    <cellStyle name="Обычный 11 6 21 3" xfId="7046"/>
    <cellStyle name="Обычный 11 6 22" xfId="7047"/>
    <cellStyle name="Обычный 11 6 22 2" xfId="7048"/>
    <cellStyle name="Обычный 11 6 22 3" xfId="7049"/>
    <cellStyle name="Обычный 11 6 23" xfId="7050"/>
    <cellStyle name="Обычный 11 6 23 2" xfId="7051"/>
    <cellStyle name="Обычный 11 6 23 3" xfId="7052"/>
    <cellStyle name="Обычный 11 6 24" xfId="7053"/>
    <cellStyle name="Обычный 11 6 24 2" xfId="7054"/>
    <cellStyle name="Обычный 11 6 24 3" xfId="7055"/>
    <cellStyle name="Обычный 11 6 25" xfId="7056"/>
    <cellStyle name="Обычный 11 6 25 2" xfId="7057"/>
    <cellStyle name="Обычный 11 6 25 3" xfId="7058"/>
    <cellStyle name="Обычный 11 6 26" xfId="7059"/>
    <cellStyle name="Обычный 11 6 26 2" xfId="7060"/>
    <cellStyle name="Обычный 11 6 26 3" xfId="7061"/>
    <cellStyle name="Обычный 11 6 27" xfId="7062"/>
    <cellStyle name="Обычный 11 6 27 2" xfId="7063"/>
    <cellStyle name="Обычный 11 6 27 3" xfId="7064"/>
    <cellStyle name="Обычный 11 6 28" xfId="7065"/>
    <cellStyle name="Обычный 11 6 28 2" xfId="7066"/>
    <cellStyle name="Обычный 11 6 28 3" xfId="7067"/>
    <cellStyle name="Обычный 11 6 29" xfId="7068"/>
    <cellStyle name="Обычный 11 6 29 2" xfId="7069"/>
    <cellStyle name="Обычный 11 6 29 3" xfId="7070"/>
    <cellStyle name="Обычный 11 6 3" xfId="7071"/>
    <cellStyle name="Обычный 11 6 3 2" xfId="7072"/>
    <cellStyle name="Обычный 11 6 3 3" xfId="7073"/>
    <cellStyle name="Обычный 11 6 30" xfId="7074"/>
    <cellStyle name="Обычный 11 6 30 2" xfId="7075"/>
    <cellStyle name="Обычный 11 6 30 3" xfId="7076"/>
    <cellStyle name="Обычный 11 6 31" xfId="7077"/>
    <cellStyle name="Обычный 11 6 31 2" xfId="7078"/>
    <cellStyle name="Обычный 11 6 31 3" xfId="7079"/>
    <cellStyle name="Обычный 11 6 32" xfId="7080"/>
    <cellStyle name="Обычный 11 6 32 2" xfId="7081"/>
    <cellStyle name="Обычный 11 6 32 3" xfId="7082"/>
    <cellStyle name="Обычный 11 6 33" xfId="7083"/>
    <cellStyle name="Обычный 11 6 33 2" xfId="7084"/>
    <cellStyle name="Обычный 11 6 33 3" xfId="7085"/>
    <cellStyle name="Обычный 11 6 34" xfId="7086"/>
    <cellStyle name="Обычный 11 6 34 2" xfId="7087"/>
    <cellStyle name="Обычный 11 6 34 3" xfId="7088"/>
    <cellStyle name="Обычный 11 6 35" xfId="7089"/>
    <cellStyle name="Обычный 11 6 35 2" xfId="7090"/>
    <cellStyle name="Обычный 11 6 35 3" xfId="7091"/>
    <cellStyle name="Обычный 11 6 36" xfId="7092"/>
    <cellStyle name="Обычный 11 6 36 2" xfId="7093"/>
    <cellStyle name="Обычный 11 6 36 3" xfId="7094"/>
    <cellStyle name="Обычный 11 6 37" xfId="7095"/>
    <cellStyle name="Обычный 11 6 37 2" xfId="7096"/>
    <cellStyle name="Обычный 11 6 37 3" xfId="7097"/>
    <cellStyle name="Обычный 11 6 38" xfId="7098"/>
    <cellStyle name="Обычный 11 6 38 2" xfId="7099"/>
    <cellStyle name="Обычный 11 6 38 3" xfId="7100"/>
    <cellStyle name="Обычный 11 6 39" xfId="7101"/>
    <cellStyle name="Обычный 11 6 39 2" xfId="7102"/>
    <cellStyle name="Обычный 11 6 39 3" xfId="7103"/>
    <cellStyle name="Обычный 11 6 4" xfId="7104"/>
    <cellStyle name="Обычный 11 6 4 2" xfId="7105"/>
    <cellStyle name="Обычный 11 6 4 3" xfId="7106"/>
    <cellStyle name="Обычный 11 6 40" xfId="7107"/>
    <cellStyle name="Обычный 11 6 40 2" xfId="7108"/>
    <cellStyle name="Обычный 11 6 40 3" xfId="7109"/>
    <cellStyle name="Обычный 11 6 41" xfId="7110"/>
    <cellStyle name="Обычный 11 6 41 2" xfId="7111"/>
    <cellStyle name="Обычный 11 6 41 3" xfId="7112"/>
    <cellStyle name="Обычный 11 6 42" xfId="7113"/>
    <cellStyle name="Обычный 11 6 42 2" xfId="7114"/>
    <cellStyle name="Обычный 11 6 42 3" xfId="7115"/>
    <cellStyle name="Обычный 11 6 43" xfId="7116"/>
    <cellStyle name="Обычный 11 6 43 2" xfId="7117"/>
    <cellStyle name="Обычный 11 6 43 3" xfId="7118"/>
    <cellStyle name="Обычный 11 6 44" xfId="7119"/>
    <cellStyle name="Обычный 11 6 44 2" xfId="7120"/>
    <cellStyle name="Обычный 11 6 44 3" xfId="7121"/>
    <cellStyle name="Обычный 11 6 45" xfId="7122"/>
    <cellStyle name="Обычный 11 6 45 2" xfId="7123"/>
    <cellStyle name="Обычный 11 6 45 3" xfId="7124"/>
    <cellStyle name="Обычный 11 6 46" xfId="7125"/>
    <cellStyle name="Обычный 11 6 46 2" xfId="7126"/>
    <cellStyle name="Обычный 11 6 46 3" xfId="7127"/>
    <cellStyle name="Обычный 11 6 47" xfId="7128"/>
    <cellStyle name="Обычный 11 6 47 2" xfId="7129"/>
    <cellStyle name="Обычный 11 6 47 3" xfId="7130"/>
    <cellStyle name="Обычный 11 6 48" xfId="7131"/>
    <cellStyle name="Обычный 11 6 48 2" xfId="7132"/>
    <cellStyle name="Обычный 11 6 48 3" xfId="7133"/>
    <cellStyle name="Обычный 11 6 49" xfId="7134"/>
    <cellStyle name="Обычный 11 6 49 2" xfId="7135"/>
    <cellStyle name="Обычный 11 6 49 3" xfId="7136"/>
    <cellStyle name="Обычный 11 6 5" xfId="7137"/>
    <cellStyle name="Обычный 11 6 5 2" xfId="7138"/>
    <cellStyle name="Обычный 11 6 5 3" xfId="7139"/>
    <cellStyle name="Обычный 11 6 50" xfId="7140"/>
    <cellStyle name="Обычный 11 6 50 2" xfId="7141"/>
    <cellStyle name="Обычный 11 6 50 3" xfId="7142"/>
    <cellStyle name="Обычный 11 6 51" xfId="7143"/>
    <cellStyle name="Обычный 11 6 51 2" xfId="7144"/>
    <cellStyle name="Обычный 11 6 51 3" xfId="7145"/>
    <cellStyle name="Обычный 11 6 52" xfId="7146"/>
    <cellStyle name="Обычный 11 6 52 2" xfId="7147"/>
    <cellStyle name="Обычный 11 6 52 3" xfId="7148"/>
    <cellStyle name="Обычный 11 6 53" xfId="7149"/>
    <cellStyle name="Обычный 11 6 53 2" xfId="7150"/>
    <cellStyle name="Обычный 11 6 53 3" xfId="7151"/>
    <cellStyle name="Обычный 11 6 54" xfId="7152"/>
    <cellStyle name="Обычный 11 6 54 2" xfId="7153"/>
    <cellStyle name="Обычный 11 6 54 3" xfId="7154"/>
    <cellStyle name="Обычный 11 6 55" xfId="7155"/>
    <cellStyle name="Обычный 11 6 55 2" xfId="7156"/>
    <cellStyle name="Обычный 11 6 55 3" xfId="7157"/>
    <cellStyle name="Обычный 11 6 56" xfId="7158"/>
    <cellStyle name="Обычный 11 6 56 2" xfId="7159"/>
    <cellStyle name="Обычный 11 6 56 3" xfId="7160"/>
    <cellStyle name="Обычный 11 6 57" xfId="7161"/>
    <cellStyle name="Обычный 11 6 57 2" xfId="7162"/>
    <cellStyle name="Обычный 11 6 57 3" xfId="7163"/>
    <cellStyle name="Обычный 11 6 58" xfId="7164"/>
    <cellStyle name="Обычный 11 6 58 2" xfId="7165"/>
    <cellStyle name="Обычный 11 6 58 3" xfId="7166"/>
    <cellStyle name="Обычный 11 6 59" xfId="7167"/>
    <cellStyle name="Обычный 11 6 59 2" xfId="7168"/>
    <cellStyle name="Обычный 11 6 59 3" xfId="7169"/>
    <cellStyle name="Обычный 11 6 6" xfId="7170"/>
    <cellStyle name="Обычный 11 6 6 2" xfId="7171"/>
    <cellStyle name="Обычный 11 6 6 3" xfId="7172"/>
    <cellStyle name="Обычный 11 6 60" xfId="7173"/>
    <cellStyle name="Обычный 11 6 60 2" xfId="7174"/>
    <cellStyle name="Обычный 11 6 60 3" xfId="7175"/>
    <cellStyle name="Обычный 11 6 61" xfId="7176"/>
    <cellStyle name="Обычный 11 6 61 2" xfId="7177"/>
    <cellStyle name="Обычный 11 6 61 3" xfId="7178"/>
    <cellStyle name="Обычный 11 6 62" xfId="7179"/>
    <cellStyle name="Обычный 11 6 62 2" xfId="7180"/>
    <cellStyle name="Обычный 11 6 62 3" xfId="7181"/>
    <cellStyle name="Обычный 11 6 63" xfId="7182"/>
    <cellStyle name="Обычный 11 6 63 2" xfId="7183"/>
    <cellStyle name="Обычный 11 6 63 3" xfId="7184"/>
    <cellStyle name="Обычный 11 6 64" xfId="7185"/>
    <cellStyle name="Обычный 11 6 65" xfId="7186"/>
    <cellStyle name="Обычный 11 6 7" xfId="7187"/>
    <cellStyle name="Обычный 11 6 7 2" xfId="7188"/>
    <cellStyle name="Обычный 11 6 7 3" xfId="7189"/>
    <cellStyle name="Обычный 11 6 8" xfId="7190"/>
    <cellStyle name="Обычный 11 6 8 2" xfId="7191"/>
    <cellStyle name="Обычный 11 6 8 3" xfId="7192"/>
    <cellStyle name="Обычный 11 6 9" xfId="7193"/>
    <cellStyle name="Обычный 11 6 9 2" xfId="7194"/>
    <cellStyle name="Обычный 11 6 9 3" xfId="7195"/>
    <cellStyle name="Обычный 11 60" xfId="7196"/>
    <cellStyle name="Обычный 11 60 2" xfId="7197"/>
    <cellStyle name="Обычный 11 60 3" xfId="7198"/>
    <cellStyle name="Обычный 11 61" xfId="7199"/>
    <cellStyle name="Обычный 11 61 2" xfId="7200"/>
    <cellStyle name="Обычный 11 61 3" xfId="7201"/>
    <cellStyle name="Обычный 11 62" xfId="7202"/>
    <cellStyle name="Обычный 11 62 2" xfId="7203"/>
    <cellStyle name="Обычный 11 62 3" xfId="7204"/>
    <cellStyle name="Обычный 11 63" xfId="7205"/>
    <cellStyle name="Обычный 11 63 2" xfId="7206"/>
    <cellStyle name="Обычный 11 63 3" xfId="7207"/>
    <cellStyle name="Обычный 11 64" xfId="7208"/>
    <cellStyle name="Обычный 11 64 2" xfId="7209"/>
    <cellStyle name="Обычный 11 64 3" xfId="7210"/>
    <cellStyle name="Обычный 11 65" xfId="7211"/>
    <cellStyle name="Обычный 11 65 2" xfId="7212"/>
    <cellStyle name="Обычный 11 65 3" xfId="7213"/>
    <cellStyle name="Обычный 11 66" xfId="7214"/>
    <cellStyle name="Обычный 11 66 2" xfId="7215"/>
    <cellStyle name="Обычный 11 66 3" xfId="7216"/>
    <cellStyle name="Обычный 11 67" xfId="7217"/>
    <cellStyle name="Обычный 11 67 2" xfId="7218"/>
    <cellStyle name="Обычный 11 67 3" xfId="7219"/>
    <cellStyle name="Обычный 11 68" xfId="7220"/>
    <cellStyle name="Обычный 11 68 2" xfId="7221"/>
    <cellStyle name="Обычный 11 68 3" xfId="7222"/>
    <cellStyle name="Обычный 11 69" xfId="7223"/>
    <cellStyle name="Обычный 11 69 2" xfId="7224"/>
    <cellStyle name="Обычный 11 69 3" xfId="7225"/>
    <cellStyle name="Обычный 11 7" xfId="7226"/>
    <cellStyle name="Обычный 11 7 10" xfId="7227"/>
    <cellStyle name="Обычный 11 7 10 2" xfId="7228"/>
    <cellStyle name="Обычный 11 7 10 3" xfId="7229"/>
    <cellStyle name="Обычный 11 7 11" xfId="7230"/>
    <cellStyle name="Обычный 11 7 11 2" xfId="7231"/>
    <cellStyle name="Обычный 11 7 11 3" xfId="7232"/>
    <cellStyle name="Обычный 11 7 12" xfId="7233"/>
    <cellStyle name="Обычный 11 7 12 2" xfId="7234"/>
    <cellStyle name="Обычный 11 7 12 3" xfId="7235"/>
    <cellStyle name="Обычный 11 7 13" xfId="7236"/>
    <cellStyle name="Обычный 11 7 13 2" xfId="7237"/>
    <cellStyle name="Обычный 11 7 13 3" xfId="7238"/>
    <cellStyle name="Обычный 11 7 14" xfId="7239"/>
    <cellStyle name="Обычный 11 7 14 2" xfId="7240"/>
    <cellStyle name="Обычный 11 7 14 3" xfId="7241"/>
    <cellStyle name="Обычный 11 7 15" xfId="7242"/>
    <cellStyle name="Обычный 11 7 15 2" xfId="7243"/>
    <cellStyle name="Обычный 11 7 15 3" xfId="7244"/>
    <cellStyle name="Обычный 11 7 16" xfId="7245"/>
    <cellStyle name="Обычный 11 7 16 2" xfId="7246"/>
    <cellStyle name="Обычный 11 7 16 3" xfId="7247"/>
    <cellStyle name="Обычный 11 7 17" xfId="7248"/>
    <cellStyle name="Обычный 11 7 17 2" xfId="7249"/>
    <cellStyle name="Обычный 11 7 17 3" xfId="7250"/>
    <cellStyle name="Обычный 11 7 18" xfId="7251"/>
    <cellStyle name="Обычный 11 7 18 2" xfId="7252"/>
    <cellStyle name="Обычный 11 7 18 3" xfId="7253"/>
    <cellStyle name="Обычный 11 7 19" xfId="7254"/>
    <cellStyle name="Обычный 11 7 19 2" xfId="7255"/>
    <cellStyle name="Обычный 11 7 19 3" xfId="7256"/>
    <cellStyle name="Обычный 11 7 2" xfId="7257"/>
    <cellStyle name="Обычный 11 7 2 2" xfId="7258"/>
    <cellStyle name="Обычный 11 7 2 3" xfId="7259"/>
    <cellStyle name="Обычный 11 7 20" xfId="7260"/>
    <cellStyle name="Обычный 11 7 20 2" xfId="7261"/>
    <cellStyle name="Обычный 11 7 20 3" xfId="7262"/>
    <cellStyle name="Обычный 11 7 21" xfId="7263"/>
    <cellStyle name="Обычный 11 7 21 2" xfId="7264"/>
    <cellStyle name="Обычный 11 7 21 3" xfId="7265"/>
    <cellStyle name="Обычный 11 7 22" xfId="7266"/>
    <cellStyle name="Обычный 11 7 22 2" xfId="7267"/>
    <cellStyle name="Обычный 11 7 22 3" xfId="7268"/>
    <cellStyle name="Обычный 11 7 23" xfId="7269"/>
    <cellStyle name="Обычный 11 7 23 2" xfId="7270"/>
    <cellStyle name="Обычный 11 7 23 3" xfId="7271"/>
    <cellStyle name="Обычный 11 7 24" xfId="7272"/>
    <cellStyle name="Обычный 11 7 24 2" xfId="7273"/>
    <cellStyle name="Обычный 11 7 24 3" xfId="7274"/>
    <cellStyle name="Обычный 11 7 25" xfId="7275"/>
    <cellStyle name="Обычный 11 7 25 2" xfId="7276"/>
    <cellStyle name="Обычный 11 7 25 3" xfId="7277"/>
    <cellStyle name="Обычный 11 7 26" xfId="7278"/>
    <cellStyle name="Обычный 11 7 26 2" xfId="7279"/>
    <cellStyle name="Обычный 11 7 26 3" xfId="7280"/>
    <cellStyle name="Обычный 11 7 27" xfId="7281"/>
    <cellStyle name="Обычный 11 7 27 2" xfId="7282"/>
    <cellStyle name="Обычный 11 7 27 3" xfId="7283"/>
    <cellStyle name="Обычный 11 7 28" xfId="7284"/>
    <cellStyle name="Обычный 11 7 28 2" xfId="7285"/>
    <cellStyle name="Обычный 11 7 28 3" xfId="7286"/>
    <cellStyle name="Обычный 11 7 29" xfId="7287"/>
    <cellStyle name="Обычный 11 7 29 2" xfId="7288"/>
    <cellStyle name="Обычный 11 7 29 3" xfId="7289"/>
    <cellStyle name="Обычный 11 7 3" xfId="7290"/>
    <cellStyle name="Обычный 11 7 3 2" xfId="7291"/>
    <cellStyle name="Обычный 11 7 3 3" xfId="7292"/>
    <cellStyle name="Обычный 11 7 30" xfId="7293"/>
    <cellStyle name="Обычный 11 7 30 2" xfId="7294"/>
    <cellStyle name="Обычный 11 7 30 3" xfId="7295"/>
    <cellStyle name="Обычный 11 7 31" xfId="7296"/>
    <cellStyle name="Обычный 11 7 31 2" xfId="7297"/>
    <cellStyle name="Обычный 11 7 31 3" xfId="7298"/>
    <cellStyle name="Обычный 11 7 32" xfId="7299"/>
    <cellStyle name="Обычный 11 7 32 2" xfId="7300"/>
    <cellStyle name="Обычный 11 7 32 3" xfId="7301"/>
    <cellStyle name="Обычный 11 7 33" xfId="7302"/>
    <cellStyle name="Обычный 11 7 33 2" xfId="7303"/>
    <cellStyle name="Обычный 11 7 33 3" xfId="7304"/>
    <cellStyle name="Обычный 11 7 34" xfId="7305"/>
    <cellStyle name="Обычный 11 7 34 2" xfId="7306"/>
    <cellStyle name="Обычный 11 7 34 3" xfId="7307"/>
    <cellStyle name="Обычный 11 7 35" xfId="7308"/>
    <cellStyle name="Обычный 11 7 35 2" xfId="7309"/>
    <cellStyle name="Обычный 11 7 35 3" xfId="7310"/>
    <cellStyle name="Обычный 11 7 36" xfId="7311"/>
    <cellStyle name="Обычный 11 7 36 2" xfId="7312"/>
    <cellStyle name="Обычный 11 7 36 3" xfId="7313"/>
    <cellStyle name="Обычный 11 7 37" xfId="7314"/>
    <cellStyle name="Обычный 11 7 37 2" xfId="7315"/>
    <cellStyle name="Обычный 11 7 37 3" xfId="7316"/>
    <cellStyle name="Обычный 11 7 38" xfId="7317"/>
    <cellStyle name="Обычный 11 7 38 2" xfId="7318"/>
    <cellStyle name="Обычный 11 7 38 3" xfId="7319"/>
    <cellStyle name="Обычный 11 7 39" xfId="7320"/>
    <cellStyle name="Обычный 11 7 39 2" xfId="7321"/>
    <cellStyle name="Обычный 11 7 39 3" xfId="7322"/>
    <cellStyle name="Обычный 11 7 4" xfId="7323"/>
    <cellStyle name="Обычный 11 7 4 2" xfId="7324"/>
    <cellStyle name="Обычный 11 7 4 3" xfId="7325"/>
    <cellStyle name="Обычный 11 7 40" xfId="7326"/>
    <cellStyle name="Обычный 11 7 40 2" xfId="7327"/>
    <cellStyle name="Обычный 11 7 40 3" xfId="7328"/>
    <cellStyle name="Обычный 11 7 41" xfId="7329"/>
    <cellStyle name="Обычный 11 7 41 2" xfId="7330"/>
    <cellStyle name="Обычный 11 7 41 3" xfId="7331"/>
    <cellStyle name="Обычный 11 7 42" xfId="7332"/>
    <cellStyle name="Обычный 11 7 42 2" xfId="7333"/>
    <cellStyle name="Обычный 11 7 42 3" xfId="7334"/>
    <cellStyle name="Обычный 11 7 43" xfId="7335"/>
    <cellStyle name="Обычный 11 7 43 2" xfId="7336"/>
    <cellStyle name="Обычный 11 7 43 3" xfId="7337"/>
    <cellStyle name="Обычный 11 7 44" xfId="7338"/>
    <cellStyle name="Обычный 11 7 44 2" xfId="7339"/>
    <cellStyle name="Обычный 11 7 44 3" xfId="7340"/>
    <cellStyle name="Обычный 11 7 45" xfId="7341"/>
    <cellStyle name="Обычный 11 7 45 2" xfId="7342"/>
    <cellStyle name="Обычный 11 7 45 3" xfId="7343"/>
    <cellStyle name="Обычный 11 7 46" xfId="7344"/>
    <cellStyle name="Обычный 11 7 46 2" xfId="7345"/>
    <cellStyle name="Обычный 11 7 46 3" xfId="7346"/>
    <cellStyle name="Обычный 11 7 47" xfId="7347"/>
    <cellStyle name="Обычный 11 7 47 2" xfId="7348"/>
    <cellStyle name="Обычный 11 7 47 3" xfId="7349"/>
    <cellStyle name="Обычный 11 7 48" xfId="7350"/>
    <cellStyle name="Обычный 11 7 48 2" xfId="7351"/>
    <cellStyle name="Обычный 11 7 48 3" xfId="7352"/>
    <cellStyle name="Обычный 11 7 49" xfId="7353"/>
    <cellStyle name="Обычный 11 7 49 2" xfId="7354"/>
    <cellStyle name="Обычный 11 7 49 3" xfId="7355"/>
    <cellStyle name="Обычный 11 7 5" xfId="7356"/>
    <cellStyle name="Обычный 11 7 5 2" xfId="7357"/>
    <cellStyle name="Обычный 11 7 5 3" xfId="7358"/>
    <cellStyle name="Обычный 11 7 50" xfId="7359"/>
    <cellStyle name="Обычный 11 7 50 2" xfId="7360"/>
    <cellStyle name="Обычный 11 7 50 3" xfId="7361"/>
    <cellStyle name="Обычный 11 7 51" xfId="7362"/>
    <cellStyle name="Обычный 11 7 51 2" xfId="7363"/>
    <cellStyle name="Обычный 11 7 51 3" xfId="7364"/>
    <cellStyle name="Обычный 11 7 52" xfId="7365"/>
    <cellStyle name="Обычный 11 7 52 2" xfId="7366"/>
    <cellStyle name="Обычный 11 7 52 3" xfId="7367"/>
    <cellStyle name="Обычный 11 7 53" xfId="7368"/>
    <cellStyle name="Обычный 11 7 53 2" xfId="7369"/>
    <cellStyle name="Обычный 11 7 53 3" xfId="7370"/>
    <cellStyle name="Обычный 11 7 54" xfId="7371"/>
    <cellStyle name="Обычный 11 7 54 2" xfId="7372"/>
    <cellStyle name="Обычный 11 7 54 3" xfId="7373"/>
    <cellStyle name="Обычный 11 7 55" xfId="7374"/>
    <cellStyle name="Обычный 11 7 55 2" xfId="7375"/>
    <cellStyle name="Обычный 11 7 55 3" xfId="7376"/>
    <cellStyle name="Обычный 11 7 56" xfId="7377"/>
    <cellStyle name="Обычный 11 7 56 2" xfId="7378"/>
    <cellStyle name="Обычный 11 7 56 3" xfId="7379"/>
    <cellStyle name="Обычный 11 7 57" xfId="7380"/>
    <cellStyle name="Обычный 11 7 57 2" xfId="7381"/>
    <cellStyle name="Обычный 11 7 57 3" xfId="7382"/>
    <cellStyle name="Обычный 11 7 58" xfId="7383"/>
    <cellStyle name="Обычный 11 7 58 2" xfId="7384"/>
    <cellStyle name="Обычный 11 7 58 3" xfId="7385"/>
    <cellStyle name="Обычный 11 7 59" xfId="7386"/>
    <cellStyle name="Обычный 11 7 59 2" xfId="7387"/>
    <cellStyle name="Обычный 11 7 59 3" xfId="7388"/>
    <cellStyle name="Обычный 11 7 6" xfId="7389"/>
    <cellStyle name="Обычный 11 7 6 2" xfId="7390"/>
    <cellStyle name="Обычный 11 7 6 3" xfId="7391"/>
    <cellStyle name="Обычный 11 7 60" xfId="7392"/>
    <cellStyle name="Обычный 11 7 60 2" xfId="7393"/>
    <cellStyle name="Обычный 11 7 60 3" xfId="7394"/>
    <cellStyle name="Обычный 11 7 61" xfId="7395"/>
    <cellStyle name="Обычный 11 7 61 2" xfId="7396"/>
    <cellStyle name="Обычный 11 7 61 3" xfId="7397"/>
    <cellStyle name="Обычный 11 7 62" xfId="7398"/>
    <cellStyle name="Обычный 11 7 62 2" xfId="7399"/>
    <cellStyle name="Обычный 11 7 62 3" xfId="7400"/>
    <cellStyle name="Обычный 11 7 63" xfId="7401"/>
    <cellStyle name="Обычный 11 7 63 2" xfId="7402"/>
    <cellStyle name="Обычный 11 7 63 3" xfId="7403"/>
    <cellStyle name="Обычный 11 7 64" xfId="7404"/>
    <cellStyle name="Обычный 11 7 65" xfId="7405"/>
    <cellStyle name="Обычный 11 7 7" xfId="7406"/>
    <cellStyle name="Обычный 11 7 7 2" xfId="7407"/>
    <cellStyle name="Обычный 11 7 7 3" xfId="7408"/>
    <cellStyle name="Обычный 11 7 8" xfId="7409"/>
    <cellStyle name="Обычный 11 7 8 2" xfId="7410"/>
    <cellStyle name="Обычный 11 7 8 3" xfId="7411"/>
    <cellStyle name="Обычный 11 7 9" xfId="7412"/>
    <cellStyle name="Обычный 11 7 9 2" xfId="7413"/>
    <cellStyle name="Обычный 11 7 9 3" xfId="7414"/>
    <cellStyle name="Обычный 11 70" xfId="7415"/>
    <cellStyle name="Обычный 11 70 2" xfId="7416"/>
    <cellStyle name="Обычный 11 70 3" xfId="7417"/>
    <cellStyle name="Обычный 11 71" xfId="7418"/>
    <cellStyle name="Обычный 11 72" xfId="7419"/>
    <cellStyle name="Обычный 11 8" xfId="7420"/>
    <cellStyle name="Обычный 11 8 10" xfId="7421"/>
    <cellStyle name="Обычный 11 8 10 2" xfId="7422"/>
    <cellStyle name="Обычный 11 8 10 3" xfId="7423"/>
    <cellStyle name="Обычный 11 8 11" xfId="7424"/>
    <cellStyle name="Обычный 11 8 11 2" xfId="7425"/>
    <cellStyle name="Обычный 11 8 11 3" xfId="7426"/>
    <cellStyle name="Обычный 11 8 12" xfId="7427"/>
    <cellStyle name="Обычный 11 8 12 2" xfId="7428"/>
    <cellStyle name="Обычный 11 8 12 3" xfId="7429"/>
    <cellStyle name="Обычный 11 8 13" xfId="7430"/>
    <cellStyle name="Обычный 11 8 13 2" xfId="7431"/>
    <cellStyle name="Обычный 11 8 13 3" xfId="7432"/>
    <cellStyle name="Обычный 11 8 14" xfId="7433"/>
    <cellStyle name="Обычный 11 8 14 2" xfId="7434"/>
    <cellStyle name="Обычный 11 8 14 3" xfId="7435"/>
    <cellStyle name="Обычный 11 8 15" xfId="7436"/>
    <cellStyle name="Обычный 11 8 15 2" xfId="7437"/>
    <cellStyle name="Обычный 11 8 15 3" xfId="7438"/>
    <cellStyle name="Обычный 11 8 16" xfId="7439"/>
    <cellStyle name="Обычный 11 8 16 2" xfId="7440"/>
    <cellStyle name="Обычный 11 8 16 3" xfId="7441"/>
    <cellStyle name="Обычный 11 8 17" xfId="7442"/>
    <cellStyle name="Обычный 11 8 17 2" xfId="7443"/>
    <cellStyle name="Обычный 11 8 17 3" xfId="7444"/>
    <cellStyle name="Обычный 11 8 18" xfId="7445"/>
    <cellStyle name="Обычный 11 8 18 2" xfId="7446"/>
    <cellStyle name="Обычный 11 8 18 3" xfId="7447"/>
    <cellStyle name="Обычный 11 8 19" xfId="7448"/>
    <cellStyle name="Обычный 11 8 19 2" xfId="7449"/>
    <cellStyle name="Обычный 11 8 19 3" xfId="7450"/>
    <cellStyle name="Обычный 11 8 2" xfId="7451"/>
    <cellStyle name="Обычный 11 8 2 2" xfId="7452"/>
    <cellStyle name="Обычный 11 8 2 3" xfId="7453"/>
    <cellStyle name="Обычный 11 8 20" xfId="7454"/>
    <cellStyle name="Обычный 11 8 20 2" xfId="7455"/>
    <cellStyle name="Обычный 11 8 20 3" xfId="7456"/>
    <cellStyle name="Обычный 11 8 21" xfId="7457"/>
    <cellStyle name="Обычный 11 8 21 2" xfId="7458"/>
    <cellStyle name="Обычный 11 8 21 3" xfId="7459"/>
    <cellStyle name="Обычный 11 8 22" xfId="7460"/>
    <cellStyle name="Обычный 11 8 22 2" xfId="7461"/>
    <cellStyle name="Обычный 11 8 22 3" xfId="7462"/>
    <cellStyle name="Обычный 11 8 23" xfId="7463"/>
    <cellStyle name="Обычный 11 8 23 2" xfId="7464"/>
    <cellStyle name="Обычный 11 8 23 3" xfId="7465"/>
    <cellStyle name="Обычный 11 8 24" xfId="7466"/>
    <cellStyle name="Обычный 11 8 24 2" xfId="7467"/>
    <cellStyle name="Обычный 11 8 24 3" xfId="7468"/>
    <cellStyle name="Обычный 11 8 25" xfId="7469"/>
    <cellStyle name="Обычный 11 8 25 2" xfId="7470"/>
    <cellStyle name="Обычный 11 8 25 3" xfId="7471"/>
    <cellStyle name="Обычный 11 8 26" xfId="7472"/>
    <cellStyle name="Обычный 11 8 26 2" xfId="7473"/>
    <cellStyle name="Обычный 11 8 26 3" xfId="7474"/>
    <cellStyle name="Обычный 11 8 27" xfId="7475"/>
    <cellStyle name="Обычный 11 8 27 2" xfId="7476"/>
    <cellStyle name="Обычный 11 8 27 3" xfId="7477"/>
    <cellStyle name="Обычный 11 8 28" xfId="7478"/>
    <cellStyle name="Обычный 11 8 28 2" xfId="7479"/>
    <cellStyle name="Обычный 11 8 28 3" xfId="7480"/>
    <cellStyle name="Обычный 11 8 29" xfId="7481"/>
    <cellStyle name="Обычный 11 8 29 2" xfId="7482"/>
    <cellStyle name="Обычный 11 8 29 3" xfId="7483"/>
    <cellStyle name="Обычный 11 8 3" xfId="7484"/>
    <cellStyle name="Обычный 11 8 3 2" xfId="7485"/>
    <cellStyle name="Обычный 11 8 3 3" xfId="7486"/>
    <cellStyle name="Обычный 11 8 30" xfId="7487"/>
    <cellStyle name="Обычный 11 8 30 2" xfId="7488"/>
    <cellStyle name="Обычный 11 8 30 3" xfId="7489"/>
    <cellStyle name="Обычный 11 8 31" xfId="7490"/>
    <cellStyle name="Обычный 11 8 31 2" xfId="7491"/>
    <cellStyle name="Обычный 11 8 31 3" xfId="7492"/>
    <cellStyle name="Обычный 11 8 32" xfId="7493"/>
    <cellStyle name="Обычный 11 8 32 2" xfId="7494"/>
    <cellStyle name="Обычный 11 8 32 3" xfId="7495"/>
    <cellStyle name="Обычный 11 8 33" xfId="7496"/>
    <cellStyle name="Обычный 11 8 33 2" xfId="7497"/>
    <cellStyle name="Обычный 11 8 33 3" xfId="7498"/>
    <cellStyle name="Обычный 11 8 34" xfId="7499"/>
    <cellStyle name="Обычный 11 8 34 2" xfId="7500"/>
    <cellStyle name="Обычный 11 8 34 3" xfId="7501"/>
    <cellStyle name="Обычный 11 8 35" xfId="7502"/>
    <cellStyle name="Обычный 11 8 35 2" xfId="7503"/>
    <cellStyle name="Обычный 11 8 35 3" xfId="7504"/>
    <cellStyle name="Обычный 11 8 36" xfId="7505"/>
    <cellStyle name="Обычный 11 8 36 2" xfId="7506"/>
    <cellStyle name="Обычный 11 8 36 3" xfId="7507"/>
    <cellStyle name="Обычный 11 8 37" xfId="7508"/>
    <cellStyle name="Обычный 11 8 37 2" xfId="7509"/>
    <cellStyle name="Обычный 11 8 37 3" xfId="7510"/>
    <cellStyle name="Обычный 11 8 38" xfId="7511"/>
    <cellStyle name="Обычный 11 8 38 2" xfId="7512"/>
    <cellStyle name="Обычный 11 8 38 3" xfId="7513"/>
    <cellStyle name="Обычный 11 8 39" xfId="7514"/>
    <cellStyle name="Обычный 11 8 39 2" xfId="7515"/>
    <cellStyle name="Обычный 11 8 39 3" xfId="7516"/>
    <cellStyle name="Обычный 11 8 4" xfId="7517"/>
    <cellStyle name="Обычный 11 8 4 2" xfId="7518"/>
    <cellStyle name="Обычный 11 8 4 3" xfId="7519"/>
    <cellStyle name="Обычный 11 8 40" xfId="7520"/>
    <cellStyle name="Обычный 11 8 40 2" xfId="7521"/>
    <cellStyle name="Обычный 11 8 40 3" xfId="7522"/>
    <cellStyle name="Обычный 11 8 41" xfId="7523"/>
    <cellStyle name="Обычный 11 8 41 2" xfId="7524"/>
    <cellStyle name="Обычный 11 8 41 3" xfId="7525"/>
    <cellStyle name="Обычный 11 8 42" xfId="7526"/>
    <cellStyle name="Обычный 11 8 42 2" xfId="7527"/>
    <cellStyle name="Обычный 11 8 42 3" xfId="7528"/>
    <cellStyle name="Обычный 11 8 43" xfId="7529"/>
    <cellStyle name="Обычный 11 8 43 2" xfId="7530"/>
    <cellStyle name="Обычный 11 8 43 3" xfId="7531"/>
    <cellStyle name="Обычный 11 8 44" xfId="7532"/>
    <cellStyle name="Обычный 11 8 44 2" xfId="7533"/>
    <cellStyle name="Обычный 11 8 44 3" xfId="7534"/>
    <cellStyle name="Обычный 11 8 45" xfId="7535"/>
    <cellStyle name="Обычный 11 8 45 2" xfId="7536"/>
    <cellStyle name="Обычный 11 8 45 3" xfId="7537"/>
    <cellStyle name="Обычный 11 8 46" xfId="7538"/>
    <cellStyle name="Обычный 11 8 46 2" xfId="7539"/>
    <cellStyle name="Обычный 11 8 46 3" xfId="7540"/>
    <cellStyle name="Обычный 11 8 47" xfId="7541"/>
    <cellStyle name="Обычный 11 8 47 2" xfId="7542"/>
    <cellStyle name="Обычный 11 8 47 3" xfId="7543"/>
    <cellStyle name="Обычный 11 8 48" xfId="7544"/>
    <cellStyle name="Обычный 11 8 48 2" xfId="7545"/>
    <cellStyle name="Обычный 11 8 48 3" xfId="7546"/>
    <cellStyle name="Обычный 11 8 49" xfId="7547"/>
    <cellStyle name="Обычный 11 8 49 2" xfId="7548"/>
    <cellStyle name="Обычный 11 8 49 3" xfId="7549"/>
    <cellStyle name="Обычный 11 8 5" xfId="7550"/>
    <cellStyle name="Обычный 11 8 5 2" xfId="7551"/>
    <cellStyle name="Обычный 11 8 5 3" xfId="7552"/>
    <cellStyle name="Обычный 11 8 50" xfId="7553"/>
    <cellStyle name="Обычный 11 8 50 2" xfId="7554"/>
    <cellStyle name="Обычный 11 8 50 3" xfId="7555"/>
    <cellStyle name="Обычный 11 8 51" xfId="7556"/>
    <cellStyle name="Обычный 11 8 51 2" xfId="7557"/>
    <cellStyle name="Обычный 11 8 51 3" xfId="7558"/>
    <cellStyle name="Обычный 11 8 52" xfId="7559"/>
    <cellStyle name="Обычный 11 8 52 2" xfId="7560"/>
    <cellStyle name="Обычный 11 8 52 3" xfId="7561"/>
    <cellStyle name="Обычный 11 8 53" xfId="7562"/>
    <cellStyle name="Обычный 11 8 53 2" xfId="7563"/>
    <cellStyle name="Обычный 11 8 53 3" xfId="7564"/>
    <cellStyle name="Обычный 11 8 54" xfId="7565"/>
    <cellStyle name="Обычный 11 8 54 2" xfId="7566"/>
    <cellStyle name="Обычный 11 8 54 3" xfId="7567"/>
    <cellStyle name="Обычный 11 8 55" xfId="7568"/>
    <cellStyle name="Обычный 11 8 55 2" xfId="7569"/>
    <cellStyle name="Обычный 11 8 55 3" xfId="7570"/>
    <cellStyle name="Обычный 11 8 56" xfId="7571"/>
    <cellStyle name="Обычный 11 8 56 2" xfId="7572"/>
    <cellStyle name="Обычный 11 8 56 3" xfId="7573"/>
    <cellStyle name="Обычный 11 8 57" xfId="7574"/>
    <cellStyle name="Обычный 11 8 57 2" xfId="7575"/>
    <cellStyle name="Обычный 11 8 57 3" xfId="7576"/>
    <cellStyle name="Обычный 11 8 58" xfId="7577"/>
    <cellStyle name="Обычный 11 8 58 2" xfId="7578"/>
    <cellStyle name="Обычный 11 8 58 3" xfId="7579"/>
    <cellStyle name="Обычный 11 8 59" xfId="7580"/>
    <cellStyle name="Обычный 11 8 59 2" xfId="7581"/>
    <cellStyle name="Обычный 11 8 59 3" xfId="7582"/>
    <cellStyle name="Обычный 11 8 6" xfId="7583"/>
    <cellStyle name="Обычный 11 8 6 2" xfId="7584"/>
    <cellStyle name="Обычный 11 8 6 3" xfId="7585"/>
    <cellStyle name="Обычный 11 8 60" xfId="7586"/>
    <cellStyle name="Обычный 11 8 60 2" xfId="7587"/>
    <cellStyle name="Обычный 11 8 60 3" xfId="7588"/>
    <cellStyle name="Обычный 11 8 61" xfId="7589"/>
    <cellStyle name="Обычный 11 8 61 2" xfId="7590"/>
    <cellStyle name="Обычный 11 8 61 3" xfId="7591"/>
    <cellStyle name="Обычный 11 8 62" xfId="7592"/>
    <cellStyle name="Обычный 11 8 62 2" xfId="7593"/>
    <cellStyle name="Обычный 11 8 62 3" xfId="7594"/>
    <cellStyle name="Обычный 11 8 63" xfId="7595"/>
    <cellStyle name="Обычный 11 8 63 2" xfId="7596"/>
    <cellStyle name="Обычный 11 8 63 3" xfId="7597"/>
    <cellStyle name="Обычный 11 8 64" xfId="7598"/>
    <cellStyle name="Обычный 11 8 65" xfId="7599"/>
    <cellStyle name="Обычный 11 8 7" xfId="7600"/>
    <cellStyle name="Обычный 11 8 7 2" xfId="7601"/>
    <cellStyle name="Обычный 11 8 7 3" xfId="7602"/>
    <cellStyle name="Обычный 11 8 8" xfId="7603"/>
    <cellStyle name="Обычный 11 8 8 2" xfId="7604"/>
    <cellStyle name="Обычный 11 8 8 3" xfId="7605"/>
    <cellStyle name="Обычный 11 8 9" xfId="7606"/>
    <cellStyle name="Обычный 11 8 9 2" xfId="7607"/>
    <cellStyle name="Обычный 11 8 9 3" xfId="7608"/>
    <cellStyle name="Обычный 11 9" xfId="7609"/>
    <cellStyle name="Обычный 11 9 2" xfId="7610"/>
    <cellStyle name="Обычный 11 9 3" xfId="7611"/>
    <cellStyle name="Обычный 12" xfId="53"/>
    <cellStyle name="Обычный 13" xfId="54"/>
    <cellStyle name="Обычный 14" xfId="7612"/>
    <cellStyle name="Обычный 15" xfId="55"/>
    <cellStyle name="Обычный 16" xfId="56"/>
    <cellStyle name="Обычный 16 10" xfId="7613"/>
    <cellStyle name="Обычный 16 10 2" xfId="7614"/>
    <cellStyle name="Обычный 16 10 3" xfId="7615"/>
    <cellStyle name="Обычный 16 11" xfId="7616"/>
    <cellStyle name="Обычный 16 11 2" xfId="7617"/>
    <cellStyle name="Обычный 16 11 3" xfId="7618"/>
    <cellStyle name="Обычный 16 12" xfId="7619"/>
    <cellStyle name="Обычный 16 12 2" xfId="7620"/>
    <cellStyle name="Обычный 16 12 3" xfId="7621"/>
    <cellStyle name="Обычный 16 13" xfId="7622"/>
    <cellStyle name="Обычный 16 13 2" xfId="7623"/>
    <cellStyle name="Обычный 16 13 3" xfId="7624"/>
    <cellStyle name="Обычный 16 14" xfId="7625"/>
    <cellStyle name="Обычный 16 14 2" xfId="7626"/>
    <cellStyle name="Обычный 16 14 3" xfId="7627"/>
    <cellStyle name="Обычный 16 15" xfId="7628"/>
    <cellStyle name="Обычный 16 15 2" xfId="7629"/>
    <cellStyle name="Обычный 16 15 3" xfId="7630"/>
    <cellStyle name="Обычный 16 16" xfId="7631"/>
    <cellStyle name="Обычный 16 16 2" xfId="7632"/>
    <cellStyle name="Обычный 16 16 3" xfId="7633"/>
    <cellStyle name="Обычный 16 17" xfId="7634"/>
    <cellStyle name="Обычный 16 17 2" xfId="7635"/>
    <cellStyle name="Обычный 16 17 3" xfId="7636"/>
    <cellStyle name="Обычный 16 18" xfId="7637"/>
    <cellStyle name="Обычный 16 18 2" xfId="7638"/>
    <cellStyle name="Обычный 16 18 3" xfId="7639"/>
    <cellStyle name="Обычный 16 19" xfId="7640"/>
    <cellStyle name="Обычный 16 19 2" xfId="7641"/>
    <cellStyle name="Обычный 16 19 3" xfId="7642"/>
    <cellStyle name="Обычный 16 2" xfId="7643"/>
    <cellStyle name="Обычный 16 2 10" xfId="7644"/>
    <cellStyle name="Обычный 16 2 10 2" xfId="7645"/>
    <cellStyle name="Обычный 16 2 10 3" xfId="7646"/>
    <cellStyle name="Обычный 16 2 11" xfId="7647"/>
    <cellStyle name="Обычный 16 2 11 2" xfId="7648"/>
    <cellStyle name="Обычный 16 2 11 3" xfId="7649"/>
    <cellStyle name="Обычный 16 2 12" xfId="7650"/>
    <cellStyle name="Обычный 16 2 12 2" xfId="7651"/>
    <cellStyle name="Обычный 16 2 12 3" xfId="7652"/>
    <cellStyle name="Обычный 16 2 13" xfId="7653"/>
    <cellStyle name="Обычный 16 2 13 2" xfId="7654"/>
    <cellStyle name="Обычный 16 2 13 3" xfId="7655"/>
    <cellStyle name="Обычный 16 2 14" xfId="7656"/>
    <cellStyle name="Обычный 16 2 14 2" xfId="7657"/>
    <cellStyle name="Обычный 16 2 14 3" xfId="7658"/>
    <cellStyle name="Обычный 16 2 15" xfId="7659"/>
    <cellStyle name="Обычный 16 2 15 2" xfId="7660"/>
    <cellStyle name="Обычный 16 2 15 3" xfId="7661"/>
    <cellStyle name="Обычный 16 2 16" xfId="7662"/>
    <cellStyle name="Обычный 16 2 16 2" xfId="7663"/>
    <cellStyle name="Обычный 16 2 16 3" xfId="7664"/>
    <cellStyle name="Обычный 16 2 17" xfId="7665"/>
    <cellStyle name="Обычный 16 2 17 2" xfId="7666"/>
    <cellStyle name="Обычный 16 2 17 3" xfId="7667"/>
    <cellStyle name="Обычный 16 2 18" xfId="7668"/>
    <cellStyle name="Обычный 16 2 18 2" xfId="7669"/>
    <cellStyle name="Обычный 16 2 18 3" xfId="7670"/>
    <cellStyle name="Обычный 16 2 19" xfId="7671"/>
    <cellStyle name="Обычный 16 2 19 2" xfId="7672"/>
    <cellStyle name="Обычный 16 2 19 3" xfId="7673"/>
    <cellStyle name="Обычный 16 2 2" xfId="7674"/>
    <cellStyle name="Обычный 16 2 2 2" xfId="7675"/>
    <cellStyle name="Обычный 16 2 2 3" xfId="7676"/>
    <cellStyle name="Обычный 16 2 20" xfId="7677"/>
    <cellStyle name="Обычный 16 2 20 2" xfId="7678"/>
    <cellStyle name="Обычный 16 2 20 3" xfId="7679"/>
    <cellStyle name="Обычный 16 2 21" xfId="7680"/>
    <cellStyle name="Обычный 16 2 21 2" xfId="7681"/>
    <cellStyle name="Обычный 16 2 21 3" xfId="7682"/>
    <cellStyle name="Обычный 16 2 22" xfId="7683"/>
    <cellStyle name="Обычный 16 2 22 2" xfId="7684"/>
    <cellStyle name="Обычный 16 2 22 3" xfId="7685"/>
    <cellStyle name="Обычный 16 2 23" xfId="7686"/>
    <cellStyle name="Обычный 16 2 23 2" xfId="7687"/>
    <cellStyle name="Обычный 16 2 23 3" xfId="7688"/>
    <cellStyle name="Обычный 16 2 24" xfId="7689"/>
    <cellStyle name="Обычный 16 2 24 2" xfId="7690"/>
    <cellStyle name="Обычный 16 2 24 3" xfId="7691"/>
    <cellStyle name="Обычный 16 2 25" xfId="7692"/>
    <cellStyle name="Обычный 16 2 25 2" xfId="7693"/>
    <cellStyle name="Обычный 16 2 25 3" xfId="7694"/>
    <cellStyle name="Обычный 16 2 26" xfId="7695"/>
    <cellStyle name="Обычный 16 2 26 2" xfId="7696"/>
    <cellStyle name="Обычный 16 2 26 3" xfId="7697"/>
    <cellStyle name="Обычный 16 2 27" xfId="7698"/>
    <cellStyle name="Обычный 16 2 27 2" xfId="7699"/>
    <cellStyle name="Обычный 16 2 27 3" xfId="7700"/>
    <cellStyle name="Обычный 16 2 28" xfId="7701"/>
    <cellStyle name="Обычный 16 2 28 2" xfId="7702"/>
    <cellStyle name="Обычный 16 2 28 3" xfId="7703"/>
    <cellStyle name="Обычный 16 2 29" xfId="7704"/>
    <cellStyle name="Обычный 16 2 29 2" xfId="7705"/>
    <cellStyle name="Обычный 16 2 29 3" xfId="7706"/>
    <cellStyle name="Обычный 16 2 3" xfId="7707"/>
    <cellStyle name="Обычный 16 2 3 2" xfId="7708"/>
    <cellStyle name="Обычный 16 2 3 3" xfId="7709"/>
    <cellStyle name="Обычный 16 2 30" xfId="7710"/>
    <cellStyle name="Обычный 16 2 30 2" xfId="7711"/>
    <cellStyle name="Обычный 16 2 30 3" xfId="7712"/>
    <cellStyle name="Обычный 16 2 31" xfId="7713"/>
    <cellStyle name="Обычный 16 2 31 2" xfId="7714"/>
    <cellStyle name="Обычный 16 2 31 3" xfId="7715"/>
    <cellStyle name="Обычный 16 2 32" xfId="7716"/>
    <cellStyle name="Обычный 16 2 32 2" xfId="7717"/>
    <cellStyle name="Обычный 16 2 32 3" xfId="7718"/>
    <cellStyle name="Обычный 16 2 33" xfId="7719"/>
    <cellStyle name="Обычный 16 2 33 2" xfId="7720"/>
    <cellStyle name="Обычный 16 2 33 3" xfId="7721"/>
    <cellStyle name="Обычный 16 2 34" xfId="7722"/>
    <cellStyle name="Обычный 16 2 34 2" xfId="7723"/>
    <cellStyle name="Обычный 16 2 34 3" xfId="7724"/>
    <cellStyle name="Обычный 16 2 35" xfId="7725"/>
    <cellStyle name="Обычный 16 2 35 2" xfId="7726"/>
    <cellStyle name="Обычный 16 2 35 3" xfId="7727"/>
    <cellStyle name="Обычный 16 2 36" xfId="7728"/>
    <cellStyle name="Обычный 16 2 36 2" xfId="7729"/>
    <cellStyle name="Обычный 16 2 36 3" xfId="7730"/>
    <cellStyle name="Обычный 16 2 37" xfId="7731"/>
    <cellStyle name="Обычный 16 2 37 2" xfId="7732"/>
    <cellStyle name="Обычный 16 2 37 3" xfId="7733"/>
    <cellStyle name="Обычный 16 2 38" xfId="7734"/>
    <cellStyle name="Обычный 16 2 38 2" xfId="7735"/>
    <cellStyle name="Обычный 16 2 38 3" xfId="7736"/>
    <cellStyle name="Обычный 16 2 39" xfId="7737"/>
    <cellStyle name="Обычный 16 2 39 2" xfId="7738"/>
    <cellStyle name="Обычный 16 2 39 3" xfId="7739"/>
    <cellStyle name="Обычный 16 2 4" xfId="7740"/>
    <cellStyle name="Обычный 16 2 4 2" xfId="7741"/>
    <cellStyle name="Обычный 16 2 4 3" xfId="7742"/>
    <cellStyle name="Обычный 16 2 40" xfId="7743"/>
    <cellStyle name="Обычный 16 2 40 2" xfId="7744"/>
    <cellStyle name="Обычный 16 2 40 3" xfId="7745"/>
    <cellStyle name="Обычный 16 2 41" xfId="7746"/>
    <cellStyle name="Обычный 16 2 41 2" xfId="7747"/>
    <cellStyle name="Обычный 16 2 41 3" xfId="7748"/>
    <cellStyle name="Обычный 16 2 42" xfId="7749"/>
    <cellStyle name="Обычный 16 2 42 2" xfId="7750"/>
    <cellStyle name="Обычный 16 2 42 3" xfId="7751"/>
    <cellStyle name="Обычный 16 2 43" xfId="7752"/>
    <cellStyle name="Обычный 16 2 43 2" xfId="7753"/>
    <cellStyle name="Обычный 16 2 43 3" xfId="7754"/>
    <cellStyle name="Обычный 16 2 44" xfId="7755"/>
    <cellStyle name="Обычный 16 2 44 2" xfId="7756"/>
    <cellStyle name="Обычный 16 2 44 3" xfId="7757"/>
    <cellStyle name="Обычный 16 2 45" xfId="7758"/>
    <cellStyle name="Обычный 16 2 45 2" xfId="7759"/>
    <cellStyle name="Обычный 16 2 45 3" xfId="7760"/>
    <cellStyle name="Обычный 16 2 46" xfId="7761"/>
    <cellStyle name="Обычный 16 2 46 2" xfId="7762"/>
    <cellStyle name="Обычный 16 2 46 3" xfId="7763"/>
    <cellStyle name="Обычный 16 2 47" xfId="7764"/>
    <cellStyle name="Обычный 16 2 47 2" xfId="7765"/>
    <cellStyle name="Обычный 16 2 47 3" xfId="7766"/>
    <cellStyle name="Обычный 16 2 48" xfId="7767"/>
    <cellStyle name="Обычный 16 2 48 2" xfId="7768"/>
    <cellStyle name="Обычный 16 2 48 3" xfId="7769"/>
    <cellStyle name="Обычный 16 2 49" xfId="7770"/>
    <cellStyle name="Обычный 16 2 49 2" xfId="7771"/>
    <cellStyle name="Обычный 16 2 49 3" xfId="7772"/>
    <cellStyle name="Обычный 16 2 5" xfId="7773"/>
    <cellStyle name="Обычный 16 2 5 2" xfId="7774"/>
    <cellStyle name="Обычный 16 2 5 3" xfId="7775"/>
    <cellStyle name="Обычный 16 2 50" xfId="7776"/>
    <cellStyle name="Обычный 16 2 50 2" xfId="7777"/>
    <cellStyle name="Обычный 16 2 50 3" xfId="7778"/>
    <cellStyle name="Обычный 16 2 51" xfId="7779"/>
    <cellStyle name="Обычный 16 2 51 2" xfId="7780"/>
    <cellStyle name="Обычный 16 2 51 3" xfId="7781"/>
    <cellStyle name="Обычный 16 2 52" xfId="7782"/>
    <cellStyle name="Обычный 16 2 52 2" xfId="7783"/>
    <cellStyle name="Обычный 16 2 52 3" xfId="7784"/>
    <cellStyle name="Обычный 16 2 53" xfId="7785"/>
    <cellStyle name="Обычный 16 2 53 2" xfId="7786"/>
    <cellStyle name="Обычный 16 2 53 3" xfId="7787"/>
    <cellStyle name="Обычный 16 2 54" xfId="7788"/>
    <cellStyle name="Обычный 16 2 54 2" xfId="7789"/>
    <cellStyle name="Обычный 16 2 54 3" xfId="7790"/>
    <cellStyle name="Обычный 16 2 55" xfId="7791"/>
    <cellStyle name="Обычный 16 2 55 2" xfId="7792"/>
    <cellStyle name="Обычный 16 2 55 3" xfId="7793"/>
    <cellStyle name="Обычный 16 2 56" xfId="7794"/>
    <cellStyle name="Обычный 16 2 56 2" xfId="7795"/>
    <cellStyle name="Обычный 16 2 56 3" xfId="7796"/>
    <cellStyle name="Обычный 16 2 57" xfId="7797"/>
    <cellStyle name="Обычный 16 2 57 2" xfId="7798"/>
    <cellStyle name="Обычный 16 2 57 3" xfId="7799"/>
    <cellStyle name="Обычный 16 2 58" xfId="7800"/>
    <cellStyle name="Обычный 16 2 58 2" xfId="7801"/>
    <cellStyle name="Обычный 16 2 58 3" xfId="7802"/>
    <cellStyle name="Обычный 16 2 59" xfId="7803"/>
    <cellStyle name="Обычный 16 2 59 2" xfId="7804"/>
    <cellStyle name="Обычный 16 2 59 3" xfId="7805"/>
    <cellStyle name="Обычный 16 2 6" xfId="7806"/>
    <cellStyle name="Обычный 16 2 6 2" xfId="7807"/>
    <cellStyle name="Обычный 16 2 6 3" xfId="7808"/>
    <cellStyle name="Обычный 16 2 60" xfId="7809"/>
    <cellStyle name="Обычный 16 2 60 2" xfId="7810"/>
    <cellStyle name="Обычный 16 2 60 3" xfId="7811"/>
    <cellStyle name="Обычный 16 2 61" xfId="7812"/>
    <cellStyle name="Обычный 16 2 61 2" xfId="7813"/>
    <cellStyle name="Обычный 16 2 61 3" xfId="7814"/>
    <cellStyle name="Обычный 16 2 62" xfId="7815"/>
    <cellStyle name="Обычный 16 2 62 2" xfId="7816"/>
    <cellStyle name="Обычный 16 2 62 3" xfId="7817"/>
    <cellStyle name="Обычный 16 2 63" xfId="7818"/>
    <cellStyle name="Обычный 16 2 63 2" xfId="7819"/>
    <cellStyle name="Обычный 16 2 63 3" xfId="7820"/>
    <cellStyle name="Обычный 16 2 64" xfId="7821"/>
    <cellStyle name="Обычный 16 2 65" xfId="7822"/>
    <cellStyle name="Обычный 16 2 7" xfId="7823"/>
    <cellStyle name="Обычный 16 2 7 2" xfId="7824"/>
    <cellStyle name="Обычный 16 2 7 3" xfId="7825"/>
    <cellStyle name="Обычный 16 2 8" xfId="7826"/>
    <cellStyle name="Обычный 16 2 8 2" xfId="7827"/>
    <cellStyle name="Обычный 16 2 8 3" xfId="7828"/>
    <cellStyle name="Обычный 16 2 9" xfId="7829"/>
    <cellStyle name="Обычный 16 2 9 2" xfId="7830"/>
    <cellStyle name="Обычный 16 2 9 3" xfId="7831"/>
    <cellStyle name="Обычный 16 20" xfId="7832"/>
    <cellStyle name="Обычный 16 20 2" xfId="7833"/>
    <cellStyle name="Обычный 16 20 3" xfId="7834"/>
    <cellStyle name="Обычный 16 21" xfId="7835"/>
    <cellStyle name="Обычный 16 21 2" xfId="7836"/>
    <cellStyle name="Обычный 16 21 3" xfId="7837"/>
    <cellStyle name="Обычный 16 22" xfId="7838"/>
    <cellStyle name="Обычный 16 22 2" xfId="7839"/>
    <cellStyle name="Обычный 16 22 3" xfId="7840"/>
    <cellStyle name="Обычный 16 23" xfId="7841"/>
    <cellStyle name="Обычный 16 23 2" xfId="7842"/>
    <cellStyle name="Обычный 16 23 3" xfId="7843"/>
    <cellStyle name="Обычный 16 24" xfId="7844"/>
    <cellStyle name="Обычный 16 24 2" xfId="7845"/>
    <cellStyle name="Обычный 16 24 3" xfId="7846"/>
    <cellStyle name="Обычный 16 25" xfId="7847"/>
    <cellStyle name="Обычный 16 25 2" xfId="7848"/>
    <cellStyle name="Обычный 16 25 3" xfId="7849"/>
    <cellStyle name="Обычный 16 26" xfId="7850"/>
    <cellStyle name="Обычный 16 26 2" xfId="7851"/>
    <cellStyle name="Обычный 16 26 3" xfId="7852"/>
    <cellStyle name="Обычный 16 27" xfId="7853"/>
    <cellStyle name="Обычный 16 27 2" xfId="7854"/>
    <cellStyle name="Обычный 16 27 3" xfId="7855"/>
    <cellStyle name="Обычный 16 28" xfId="7856"/>
    <cellStyle name="Обычный 16 28 2" xfId="7857"/>
    <cellStyle name="Обычный 16 28 3" xfId="7858"/>
    <cellStyle name="Обычный 16 29" xfId="7859"/>
    <cellStyle name="Обычный 16 29 2" xfId="7860"/>
    <cellStyle name="Обычный 16 29 3" xfId="7861"/>
    <cellStyle name="Обычный 16 3" xfId="7862"/>
    <cellStyle name="Обычный 16 3 10" xfId="7863"/>
    <cellStyle name="Обычный 16 3 10 2" xfId="7864"/>
    <cellStyle name="Обычный 16 3 10 3" xfId="7865"/>
    <cellStyle name="Обычный 16 3 11" xfId="7866"/>
    <cellStyle name="Обычный 16 3 11 2" xfId="7867"/>
    <cellStyle name="Обычный 16 3 11 3" xfId="7868"/>
    <cellStyle name="Обычный 16 3 12" xfId="7869"/>
    <cellStyle name="Обычный 16 3 12 2" xfId="7870"/>
    <cellStyle name="Обычный 16 3 12 3" xfId="7871"/>
    <cellStyle name="Обычный 16 3 13" xfId="7872"/>
    <cellStyle name="Обычный 16 3 13 2" xfId="7873"/>
    <cellStyle name="Обычный 16 3 13 3" xfId="7874"/>
    <cellStyle name="Обычный 16 3 14" xfId="7875"/>
    <cellStyle name="Обычный 16 3 14 2" xfId="7876"/>
    <cellStyle name="Обычный 16 3 14 3" xfId="7877"/>
    <cellStyle name="Обычный 16 3 15" xfId="7878"/>
    <cellStyle name="Обычный 16 3 15 2" xfId="7879"/>
    <cellStyle name="Обычный 16 3 15 3" xfId="7880"/>
    <cellStyle name="Обычный 16 3 16" xfId="7881"/>
    <cellStyle name="Обычный 16 3 16 2" xfId="7882"/>
    <cellStyle name="Обычный 16 3 16 3" xfId="7883"/>
    <cellStyle name="Обычный 16 3 17" xfId="7884"/>
    <cellStyle name="Обычный 16 3 17 2" xfId="7885"/>
    <cellStyle name="Обычный 16 3 17 3" xfId="7886"/>
    <cellStyle name="Обычный 16 3 18" xfId="7887"/>
    <cellStyle name="Обычный 16 3 18 2" xfId="7888"/>
    <cellStyle name="Обычный 16 3 18 3" xfId="7889"/>
    <cellStyle name="Обычный 16 3 19" xfId="7890"/>
    <cellStyle name="Обычный 16 3 19 2" xfId="7891"/>
    <cellStyle name="Обычный 16 3 19 3" xfId="7892"/>
    <cellStyle name="Обычный 16 3 2" xfId="7893"/>
    <cellStyle name="Обычный 16 3 2 2" xfId="7894"/>
    <cellStyle name="Обычный 16 3 2 3" xfId="7895"/>
    <cellStyle name="Обычный 16 3 20" xfId="7896"/>
    <cellStyle name="Обычный 16 3 20 2" xfId="7897"/>
    <cellStyle name="Обычный 16 3 20 3" xfId="7898"/>
    <cellStyle name="Обычный 16 3 21" xfId="7899"/>
    <cellStyle name="Обычный 16 3 21 2" xfId="7900"/>
    <cellStyle name="Обычный 16 3 21 3" xfId="7901"/>
    <cellStyle name="Обычный 16 3 22" xfId="7902"/>
    <cellStyle name="Обычный 16 3 22 2" xfId="7903"/>
    <cellStyle name="Обычный 16 3 22 3" xfId="7904"/>
    <cellStyle name="Обычный 16 3 23" xfId="7905"/>
    <cellStyle name="Обычный 16 3 23 2" xfId="7906"/>
    <cellStyle name="Обычный 16 3 23 3" xfId="7907"/>
    <cellStyle name="Обычный 16 3 24" xfId="7908"/>
    <cellStyle name="Обычный 16 3 24 2" xfId="7909"/>
    <cellStyle name="Обычный 16 3 24 3" xfId="7910"/>
    <cellStyle name="Обычный 16 3 25" xfId="7911"/>
    <cellStyle name="Обычный 16 3 25 2" xfId="7912"/>
    <cellStyle name="Обычный 16 3 25 3" xfId="7913"/>
    <cellStyle name="Обычный 16 3 26" xfId="7914"/>
    <cellStyle name="Обычный 16 3 26 2" xfId="7915"/>
    <cellStyle name="Обычный 16 3 26 3" xfId="7916"/>
    <cellStyle name="Обычный 16 3 27" xfId="7917"/>
    <cellStyle name="Обычный 16 3 27 2" xfId="7918"/>
    <cellStyle name="Обычный 16 3 27 3" xfId="7919"/>
    <cellStyle name="Обычный 16 3 28" xfId="7920"/>
    <cellStyle name="Обычный 16 3 28 2" xfId="7921"/>
    <cellStyle name="Обычный 16 3 28 3" xfId="7922"/>
    <cellStyle name="Обычный 16 3 29" xfId="7923"/>
    <cellStyle name="Обычный 16 3 29 2" xfId="7924"/>
    <cellStyle name="Обычный 16 3 29 3" xfId="7925"/>
    <cellStyle name="Обычный 16 3 3" xfId="7926"/>
    <cellStyle name="Обычный 16 3 3 2" xfId="7927"/>
    <cellStyle name="Обычный 16 3 3 3" xfId="7928"/>
    <cellStyle name="Обычный 16 3 30" xfId="7929"/>
    <cellStyle name="Обычный 16 3 30 2" xfId="7930"/>
    <cellStyle name="Обычный 16 3 30 3" xfId="7931"/>
    <cellStyle name="Обычный 16 3 31" xfId="7932"/>
    <cellStyle name="Обычный 16 3 31 2" xfId="7933"/>
    <cellStyle name="Обычный 16 3 31 3" xfId="7934"/>
    <cellStyle name="Обычный 16 3 32" xfId="7935"/>
    <cellStyle name="Обычный 16 3 32 2" xfId="7936"/>
    <cellStyle name="Обычный 16 3 32 3" xfId="7937"/>
    <cellStyle name="Обычный 16 3 33" xfId="7938"/>
    <cellStyle name="Обычный 16 3 33 2" xfId="7939"/>
    <cellStyle name="Обычный 16 3 33 3" xfId="7940"/>
    <cellStyle name="Обычный 16 3 34" xfId="7941"/>
    <cellStyle name="Обычный 16 3 34 2" xfId="7942"/>
    <cellStyle name="Обычный 16 3 34 3" xfId="7943"/>
    <cellStyle name="Обычный 16 3 35" xfId="7944"/>
    <cellStyle name="Обычный 16 3 35 2" xfId="7945"/>
    <cellStyle name="Обычный 16 3 35 3" xfId="7946"/>
    <cellStyle name="Обычный 16 3 36" xfId="7947"/>
    <cellStyle name="Обычный 16 3 36 2" xfId="7948"/>
    <cellStyle name="Обычный 16 3 36 3" xfId="7949"/>
    <cellStyle name="Обычный 16 3 37" xfId="7950"/>
    <cellStyle name="Обычный 16 3 37 2" xfId="7951"/>
    <cellStyle name="Обычный 16 3 37 3" xfId="7952"/>
    <cellStyle name="Обычный 16 3 38" xfId="7953"/>
    <cellStyle name="Обычный 16 3 38 2" xfId="7954"/>
    <cellStyle name="Обычный 16 3 38 3" xfId="7955"/>
    <cellStyle name="Обычный 16 3 39" xfId="7956"/>
    <cellStyle name="Обычный 16 3 39 2" xfId="7957"/>
    <cellStyle name="Обычный 16 3 39 3" xfId="7958"/>
    <cellStyle name="Обычный 16 3 4" xfId="7959"/>
    <cellStyle name="Обычный 16 3 4 2" xfId="7960"/>
    <cellStyle name="Обычный 16 3 4 3" xfId="7961"/>
    <cellStyle name="Обычный 16 3 40" xfId="7962"/>
    <cellStyle name="Обычный 16 3 40 2" xfId="7963"/>
    <cellStyle name="Обычный 16 3 40 3" xfId="7964"/>
    <cellStyle name="Обычный 16 3 41" xfId="7965"/>
    <cellStyle name="Обычный 16 3 41 2" xfId="7966"/>
    <cellStyle name="Обычный 16 3 41 3" xfId="7967"/>
    <cellStyle name="Обычный 16 3 42" xfId="7968"/>
    <cellStyle name="Обычный 16 3 42 2" xfId="7969"/>
    <cellStyle name="Обычный 16 3 42 3" xfId="7970"/>
    <cellStyle name="Обычный 16 3 43" xfId="7971"/>
    <cellStyle name="Обычный 16 3 43 2" xfId="7972"/>
    <cellStyle name="Обычный 16 3 43 3" xfId="7973"/>
    <cellStyle name="Обычный 16 3 44" xfId="7974"/>
    <cellStyle name="Обычный 16 3 44 2" xfId="7975"/>
    <cellStyle name="Обычный 16 3 44 3" xfId="7976"/>
    <cellStyle name="Обычный 16 3 45" xfId="7977"/>
    <cellStyle name="Обычный 16 3 45 2" xfId="7978"/>
    <cellStyle name="Обычный 16 3 45 3" xfId="7979"/>
    <cellStyle name="Обычный 16 3 46" xfId="7980"/>
    <cellStyle name="Обычный 16 3 46 2" xfId="7981"/>
    <cellStyle name="Обычный 16 3 46 3" xfId="7982"/>
    <cellStyle name="Обычный 16 3 47" xfId="7983"/>
    <cellStyle name="Обычный 16 3 47 2" xfId="7984"/>
    <cellStyle name="Обычный 16 3 47 3" xfId="7985"/>
    <cellStyle name="Обычный 16 3 48" xfId="7986"/>
    <cellStyle name="Обычный 16 3 48 2" xfId="7987"/>
    <cellStyle name="Обычный 16 3 48 3" xfId="7988"/>
    <cellStyle name="Обычный 16 3 49" xfId="7989"/>
    <cellStyle name="Обычный 16 3 49 2" xfId="7990"/>
    <cellStyle name="Обычный 16 3 49 3" xfId="7991"/>
    <cellStyle name="Обычный 16 3 5" xfId="7992"/>
    <cellStyle name="Обычный 16 3 5 2" xfId="7993"/>
    <cellStyle name="Обычный 16 3 5 3" xfId="7994"/>
    <cellStyle name="Обычный 16 3 50" xfId="7995"/>
    <cellStyle name="Обычный 16 3 50 2" xfId="7996"/>
    <cellStyle name="Обычный 16 3 50 3" xfId="7997"/>
    <cellStyle name="Обычный 16 3 51" xfId="7998"/>
    <cellStyle name="Обычный 16 3 51 2" xfId="7999"/>
    <cellStyle name="Обычный 16 3 51 3" xfId="8000"/>
    <cellStyle name="Обычный 16 3 52" xfId="8001"/>
    <cellStyle name="Обычный 16 3 52 2" xfId="8002"/>
    <cellStyle name="Обычный 16 3 52 3" xfId="8003"/>
    <cellStyle name="Обычный 16 3 53" xfId="8004"/>
    <cellStyle name="Обычный 16 3 53 2" xfId="8005"/>
    <cellStyle name="Обычный 16 3 53 3" xfId="8006"/>
    <cellStyle name="Обычный 16 3 54" xfId="8007"/>
    <cellStyle name="Обычный 16 3 54 2" xfId="8008"/>
    <cellStyle name="Обычный 16 3 54 3" xfId="8009"/>
    <cellStyle name="Обычный 16 3 55" xfId="8010"/>
    <cellStyle name="Обычный 16 3 55 2" xfId="8011"/>
    <cellStyle name="Обычный 16 3 55 3" xfId="8012"/>
    <cellStyle name="Обычный 16 3 56" xfId="8013"/>
    <cellStyle name="Обычный 16 3 56 2" xfId="8014"/>
    <cellStyle name="Обычный 16 3 56 3" xfId="8015"/>
    <cellStyle name="Обычный 16 3 57" xfId="8016"/>
    <cellStyle name="Обычный 16 3 57 2" xfId="8017"/>
    <cellStyle name="Обычный 16 3 57 3" xfId="8018"/>
    <cellStyle name="Обычный 16 3 58" xfId="8019"/>
    <cellStyle name="Обычный 16 3 58 2" xfId="8020"/>
    <cellStyle name="Обычный 16 3 58 3" xfId="8021"/>
    <cellStyle name="Обычный 16 3 59" xfId="8022"/>
    <cellStyle name="Обычный 16 3 59 2" xfId="8023"/>
    <cellStyle name="Обычный 16 3 59 3" xfId="8024"/>
    <cellStyle name="Обычный 16 3 6" xfId="8025"/>
    <cellStyle name="Обычный 16 3 6 2" xfId="8026"/>
    <cellStyle name="Обычный 16 3 6 3" xfId="8027"/>
    <cellStyle name="Обычный 16 3 60" xfId="8028"/>
    <cellStyle name="Обычный 16 3 60 2" xfId="8029"/>
    <cellStyle name="Обычный 16 3 60 3" xfId="8030"/>
    <cellStyle name="Обычный 16 3 61" xfId="8031"/>
    <cellStyle name="Обычный 16 3 61 2" xfId="8032"/>
    <cellStyle name="Обычный 16 3 61 3" xfId="8033"/>
    <cellStyle name="Обычный 16 3 62" xfId="8034"/>
    <cellStyle name="Обычный 16 3 62 2" xfId="8035"/>
    <cellStyle name="Обычный 16 3 62 3" xfId="8036"/>
    <cellStyle name="Обычный 16 3 63" xfId="8037"/>
    <cellStyle name="Обычный 16 3 63 2" xfId="8038"/>
    <cellStyle name="Обычный 16 3 63 3" xfId="8039"/>
    <cellStyle name="Обычный 16 3 64" xfId="8040"/>
    <cellStyle name="Обычный 16 3 65" xfId="8041"/>
    <cellStyle name="Обычный 16 3 7" xfId="8042"/>
    <cellStyle name="Обычный 16 3 7 2" xfId="8043"/>
    <cellStyle name="Обычный 16 3 7 3" xfId="8044"/>
    <cellStyle name="Обычный 16 3 8" xfId="8045"/>
    <cellStyle name="Обычный 16 3 8 2" xfId="8046"/>
    <cellStyle name="Обычный 16 3 8 3" xfId="8047"/>
    <cellStyle name="Обычный 16 3 9" xfId="8048"/>
    <cellStyle name="Обычный 16 3 9 2" xfId="8049"/>
    <cellStyle name="Обычный 16 3 9 3" xfId="8050"/>
    <cellStyle name="Обычный 16 30" xfId="8051"/>
    <cellStyle name="Обычный 16 30 2" xfId="8052"/>
    <cellStyle name="Обычный 16 30 3" xfId="8053"/>
    <cellStyle name="Обычный 16 31" xfId="8054"/>
    <cellStyle name="Обычный 16 31 2" xfId="8055"/>
    <cellStyle name="Обычный 16 31 3" xfId="8056"/>
    <cellStyle name="Обычный 16 32" xfId="8057"/>
    <cellStyle name="Обычный 16 32 2" xfId="8058"/>
    <cellStyle name="Обычный 16 32 3" xfId="8059"/>
    <cellStyle name="Обычный 16 33" xfId="8060"/>
    <cellStyle name="Обычный 16 33 2" xfId="8061"/>
    <cellStyle name="Обычный 16 33 3" xfId="8062"/>
    <cellStyle name="Обычный 16 34" xfId="8063"/>
    <cellStyle name="Обычный 16 34 2" xfId="8064"/>
    <cellStyle name="Обычный 16 34 3" xfId="8065"/>
    <cellStyle name="Обычный 16 35" xfId="8066"/>
    <cellStyle name="Обычный 16 35 2" xfId="8067"/>
    <cellStyle name="Обычный 16 35 3" xfId="8068"/>
    <cellStyle name="Обычный 16 36" xfId="8069"/>
    <cellStyle name="Обычный 16 36 2" xfId="8070"/>
    <cellStyle name="Обычный 16 36 3" xfId="8071"/>
    <cellStyle name="Обычный 16 37" xfId="8072"/>
    <cellStyle name="Обычный 16 37 2" xfId="8073"/>
    <cellStyle name="Обычный 16 37 3" xfId="8074"/>
    <cellStyle name="Обычный 16 38" xfId="8075"/>
    <cellStyle name="Обычный 16 38 2" xfId="8076"/>
    <cellStyle name="Обычный 16 38 3" xfId="8077"/>
    <cellStyle name="Обычный 16 39" xfId="8078"/>
    <cellStyle name="Обычный 16 39 2" xfId="8079"/>
    <cellStyle name="Обычный 16 39 3" xfId="8080"/>
    <cellStyle name="Обычный 16 4" xfId="8081"/>
    <cellStyle name="Обычный 16 4 10" xfId="8082"/>
    <cellStyle name="Обычный 16 4 10 2" xfId="8083"/>
    <cellStyle name="Обычный 16 4 10 3" xfId="8084"/>
    <cellStyle name="Обычный 16 4 11" xfId="8085"/>
    <cellStyle name="Обычный 16 4 11 2" xfId="8086"/>
    <cellStyle name="Обычный 16 4 11 3" xfId="8087"/>
    <cellStyle name="Обычный 16 4 12" xfId="8088"/>
    <cellStyle name="Обычный 16 4 12 2" xfId="8089"/>
    <cellStyle name="Обычный 16 4 12 3" xfId="8090"/>
    <cellStyle name="Обычный 16 4 13" xfId="8091"/>
    <cellStyle name="Обычный 16 4 13 2" xfId="8092"/>
    <cellStyle name="Обычный 16 4 13 3" xfId="8093"/>
    <cellStyle name="Обычный 16 4 14" xfId="8094"/>
    <cellStyle name="Обычный 16 4 14 2" xfId="8095"/>
    <cellStyle name="Обычный 16 4 14 3" xfId="8096"/>
    <cellStyle name="Обычный 16 4 15" xfId="8097"/>
    <cellStyle name="Обычный 16 4 15 2" xfId="8098"/>
    <cellStyle name="Обычный 16 4 15 3" xfId="8099"/>
    <cellStyle name="Обычный 16 4 16" xfId="8100"/>
    <cellStyle name="Обычный 16 4 16 2" xfId="8101"/>
    <cellStyle name="Обычный 16 4 16 3" xfId="8102"/>
    <cellStyle name="Обычный 16 4 17" xfId="8103"/>
    <cellStyle name="Обычный 16 4 17 2" xfId="8104"/>
    <cellStyle name="Обычный 16 4 17 3" xfId="8105"/>
    <cellStyle name="Обычный 16 4 18" xfId="8106"/>
    <cellStyle name="Обычный 16 4 18 2" xfId="8107"/>
    <cellStyle name="Обычный 16 4 18 3" xfId="8108"/>
    <cellStyle name="Обычный 16 4 19" xfId="8109"/>
    <cellStyle name="Обычный 16 4 19 2" xfId="8110"/>
    <cellStyle name="Обычный 16 4 19 3" xfId="8111"/>
    <cellStyle name="Обычный 16 4 2" xfId="8112"/>
    <cellStyle name="Обычный 16 4 2 2" xfId="8113"/>
    <cellStyle name="Обычный 16 4 2 3" xfId="8114"/>
    <cellStyle name="Обычный 16 4 20" xfId="8115"/>
    <cellStyle name="Обычный 16 4 20 2" xfId="8116"/>
    <cellStyle name="Обычный 16 4 20 3" xfId="8117"/>
    <cellStyle name="Обычный 16 4 21" xfId="8118"/>
    <cellStyle name="Обычный 16 4 21 2" xfId="8119"/>
    <cellStyle name="Обычный 16 4 21 3" xfId="8120"/>
    <cellStyle name="Обычный 16 4 22" xfId="8121"/>
    <cellStyle name="Обычный 16 4 22 2" xfId="8122"/>
    <cellStyle name="Обычный 16 4 22 3" xfId="8123"/>
    <cellStyle name="Обычный 16 4 23" xfId="8124"/>
    <cellStyle name="Обычный 16 4 23 2" xfId="8125"/>
    <cellStyle name="Обычный 16 4 23 3" xfId="8126"/>
    <cellStyle name="Обычный 16 4 24" xfId="8127"/>
    <cellStyle name="Обычный 16 4 24 2" xfId="8128"/>
    <cellStyle name="Обычный 16 4 24 3" xfId="8129"/>
    <cellStyle name="Обычный 16 4 25" xfId="8130"/>
    <cellStyle name="Обычный 16 4 25 2" xfId="8131"/>
    <cellStyle name="Обычный 16 4 25 3" xfId="8132"/>
    <cellStyle name="Обычный 16 4 26" xfId="8133"/>
    <cellStyle name="Обычный 16 4 26 2" xfId="8134"/>
    <cellStyle name="Обычный 16 4 26 3" xfId="8135"/>
    <cellStyle name="Обычный 16 4 27" xfId="8136"/>
    <cellStyle name="Обычный 16 4 27 2" xfId="8137"/>
    <cellStyle name="Обычный 16 4 27 3" xfId="8138"/>
    <cellStyle name="Обычный 16 4 28" xfId="8139"/>
    <cellStyle name="Обычный 16 4 28 2" xfId="8140"/>
    <cellStyle name="Обычный 16 4 28 3" xfId="8141"/>
    <cellStyle name="Обычный 16 4 29" xfId="8142"/>
    <cellStyle name="Обычный 16 4 29 2" xfId="8143"/>
    <cellStyle name="Обычный 16 4 29 3" xfId="8144"/>
    <cellStyle name="Обычный 16 4 3" xfId="8145"/>
    <cellStyle name="Обычный 16 4 3 2" xfId="8146"/>
    <cellStyle name="Обычный 16 4 3 3" xfId="8147"/>
    <cellStyle name="Обычный 16 4 30" xfId="8148"/>
    <cellStyle name="Обычный 16 4 30 2" xfId="8149"/>
    <cellStyle name="Обычный 16 4 30 3" xfId="8150"/>
    <cellStyle name="Обычный 16 4 31" xfId="8151"/>
    <cellStyle name="Обычный 16 4 31 2" xfId="8152"/>
    <cellStyle name="Обычный 16 4 31 3" xfId="8153"/>
    <cellStyle name="Обычный 16 4 32" xfId="8154"/>
    <cellStyle name="Обычный 16 4 32 2" xfId="8155"/>
    <cellStyle name="Обычный 16 4 32 3" xfId="8156"/>
    <cellStyle name="Обычный 16 4 33" xfId="8157"/>
    <cellStyle name="Обычный 16 4 33 2" xfId="8158"/>
    <cellStyle name="Обычный 16 4 33 3" xfId="8159"/>
    <cellStyle name="Обычный 16 4 34" xfId="8160"/>
    <cellStyle name="Обычный 16 4 34 2" xfId="8161"/>
    <cellStyle name="Обычный 16 4 34 3" xfId="8162"/>
    <cellStyle name="Обычный 16 4 35" xfId="8163"/>
    <cellStyle name="Обычный 16 4 35 2" xfId="8164"/>
    <cellStyle name="Обычный 16 4 35 3" xfId="8165"/>
    <cellStyle name="Обычный 16 4 36" xfId="8166"/>
    <cellStyle name="Обычный 16 4 36 2" xfId="8167"/>
    <cellStyle name="Обычный 16 4 36 3" xfId="8168"/>
    <cellStyle name="Обычный 16 4 37" xfId="8169"/>
    <cellStyle name="Обычный 16 4 37 2" xfId="8170"/>
    <cellStyle name="Обычный 16 4 37 3" xfId="8171"/>
    <cellStyle name="Обычный 16 4 38" xfId="8172"/>
    <cellStyle name="Обычный 16 4 38 2" xfId="8173"/>
    <cellStyle name="Обычный 16 4 38 3" xfId="8174"/>
    <cellStyle name="Обычный 16 4 39" xfId="8175"/>
    <cellStyle name="Обычный 16 4 39 2" xfId="8176"/>
    <cellStyle name="Обычный 16 4 39 3" xfId="8177"/>
    <cellStyle name="Обычный 16 4 4" xfId="8178"/>
    <cellStyle name="Обычный 16 4 4 2" xfId="8179"/>
    <cellStyle name="Обычный 16 4 4 3" xfId="8180"/>
    <cellStyle name="Обычный 16 4 40" xfId="8181"/>
    <cellStyle name="Обычный 16 4 40 2" xfId="8182"/>
    <cellStyle name="Обычный 16 4 40 3" xfId="8183"/>
    <cellStyle name="Обычный 16 4 41" xfId="8184"/>
    <cellStyle name="Обычный 16 4 41 2" xfId="8185"/>
    <cellStyle name="Обычный 16 4 41 3" xfId="8186"/>
    <cellStyle name="Обычный 16 4 42" xfId="8187"/>
    <cellStyle name="Обычный 16 4 42 2" xfId="8188"/>
    <cellStyle name="Обычный 16 4 42 3" xfId="8189"/>
    <cellStyle name="Обычный 16 4 43" xfId="8190"/>
    <cellStyle name="Обычный 16 4 43 2" xfId="8191"/>
    <cellStyle name="Обычный 16 4 43 3" xfId="8192"/>
    <cellStyle name="Обычный 16 4 44" xfId="8193"/>
    <cellStyle name="Обычный 16 4 44 2" xfId="8194"/>
    <cellStyle name="Обычный 16 4 44 3" xfId="8195"/>
    <cellStyle name="Обычный 16 4 45" xfId="8196"/>
    <cellStyle name="Обычный 16 4 45 2" xfId="8197"/>
    <cellStyle name="Обычный 16 4 45 3" xfId="8198"/>
    <cellStyle name="Обычный 16 4 46" xfId="8199"/>
    <cellStyle name="Обычный 16 4 46 2" xfId="8200"/>
    <cellStyle name="Обычный 16 4 46 3" xfId="8201"/>
    <cellStyle name="Обычный 16 4 47" xfId="8202"/>
    <cellStyle name="Обычный 16 4 47 2" xfId="8203"/>
    <cellStyle name="Обычный 16 4 47 3" xfId="8204"/>
    <cellStyle name="Обычный 16 4 48" xfId="8205"/>
    <cellStyle name="Обычный 16 4 48 2" xfId="8206"/>
    <cellStyle name="Обычный 16 4 48 3" xfId="8207"/>
    <cellStyle name="Обычный 16 4 49" xfId="8208"/>
    <cellStyle name="Обычный 16 4 49 2" xfId="8209"/>
    <cellStyle name="Обычный 16 4 49 3" xfId="8210"/>
    <cellStyle name="Обычный 16 4 5" xfId="8211"/>
    <cellStyle name="Обычный 16 4 5 2" xfId="8212"/>
    <cellStyle name="Обычный 16 4 5 3" xfId="8213"/>
    <cellStyle name="Обычный 16 4 50" xfId="8214"/>
    <cellStyle name="Обычный 16 4 50 2" xfId="8215"/>
    <cellStyle name="Обычный 16 4 50 3" xfId="8216"/>
    <cellStyle name="Обычный 16 4 51" xfId="8217"/>
    <cellStyle name="Обычный 16 4 51 2" xfId="8218"/>
    <cellStyle name="Обычный 16 4 51 3" xfId="8219"/>
    <cellStyle name="Обычный 16 4 52" xfId="8220"/>
    <cellStyle name="Обычный 16 4 52 2" xfId="8221"/>
    <cellStyle name="Обычный 16 4 52 3" xfId="8222"/>
    <cellStyle name="Обычный 16 4 53" xfId="8223"/>
    <cellStyle name="Обычный 16 4 53 2" xfId="8224"/>
    <cellStyle name="Обычный 16 4 53 3" xfId="8225"/>
    <cellStyle name="Обычный 16 4 54" xfId="8226"/>
    <cellStyle name="Обычный 16 4 54 2" xfId="8227"/>
    <cellStyle name="Обычный 16 4 54 3" xfId="8228"/>
    <cellStyle name="Обычный 16 4 55" xfId="8229"/>
    <cellStyle name="Обычный 16 4 55 2" xfId="8230"/>
    <cellStyle name="Обычный 16 4 55 3" xfId="8231"/>
    <cellStyle name="Обычный 16 4 56" xfId="8232"/>
    <cellStyle name="Обычный 16 4 56 2" xfId="8233"/>
    <cellStyle name="Обычный 16 4 56 3" xfId="8234"/>
    <cellStyle name="Обычный 16 4 57" xfId="8235"/>
    <cellStyle name="Обычный 16 4 57 2" xfId="8236"/>
    <cellStyle name="Обычный 16 4 57 3" xfId="8237"/>
    <cellStyle name="Обычный 16 4 58" xfId="8238"/>
    <cellStyle name="Обычный 16 4 58 2" xfId="8239"/>
    <cellStyle name="Обычный 16 4 58 3" xfId="8240"/>
    <cellStyle name="Обычный 16 4 59" xfId="8241"/>
    <cellStyle name="Обычный 16 4 59 2" xfId="8242"/>
    <cellStyle name="Обычный 16 4 59 3" xfId="8243"/>
    <cellStyle name="Обычный 16 4 6" xfId="8244"/>
    <cellStyle name="Обычный 16 4 6 2" xfId="8245"/>
    <cellStyle name="Обычный 16 4 6 3" xfId="8246"/>
    <cellStyle name="Обычный 16 4 60" xfId="8247"/>
    <cellStyle name="Обычный 16 4 60 2" xfId="8248"/>
    <cellStyle name="Обычный 16 4 60 3" xfId="8249"/>
    <cellStyle name="Обычный 16 4 61" xfId="8250"/>
    <cellStyle name="Обычный 16 4 61 2" xfId="8251"/>
    <cellStyle name="Обычный 16 4 61 3" xfId="8252"/>
    <cellStyle name="Обычный 16 4 62" xfId="8253"/>
    <cellStyle name="Обычный 16 4 62 2" xfId="8254"/>
    <cellStyle name="Обычный 16 4 62 3" xfId="8255"/>
    <cellStyle name="Обычный 16 4 63" xfId="8256"/>
    <cellStyle name="Обычный 16 4 63 2" xfId="8257"/>
    <cellStyle name="Обычный 16 4 63 3" xfId="8258"/>
    <cellStyle name="Обычный 16 4 64" xfId="8259"/>
    <cellStyle name="Обычный 16 4 65" xfId="8260"/>
    <cellStyle name="Обычный 16 4 7" xfId="8261"/>
    <cellStyle name="Обычный 16 4 7 2" xfId="8262"/>
    <cellStyle name="Обычный 16 4 7 3" xfId="8263"/>
    <cellStyle name="Обычный 16 4 8" xfId="8264"/>
    <cellStyle name="Обычный 16 4 8 2" xfId="8265"/>
    <cellStyle name="Обычный 16 4 8 3" xfId="8266"/>
    <cellStyle name="Обычный 16 4 9" xfId="8267"/>
    <cellStyle name="Обычный 16 4 9 2" xfId="8268"/>
    <cellStyle name="Обычный 16 4 9 3" xfId="8269"/>
    <cellStyle name="Обычный 16 40" xfId="8270"/>
    <cellStyle name="Обычный 16 40 2" xfId="8271"/>
    <cellStyle name="Обычный 16 40 3" xfId="8272"/>
    <cellStyle name="Обычный 16 41" xfId="8273"/>
    <cellStyle name="Обычный 16 41 2" xfId="8274"/>
    <cellStyle name="Обычный 16 41 3" xfId="8275"/>
    <cellStyle name="Обычный 16 42" xfId="8276"/>
    <cellStyle name="Обычный 16 42 2" xfId="8277"/>
    <cellStyle name="Обычный 16 42 3" xfId="8278"/>
    <cellStyle name="Обычный 16 43" xfId="8279"/>
    <cellStyle name="Обычный 16 43 2" xfId="8280"/>
    <cellStyle name="Обычный 16 43 3" xfId="8281"/>
    <cellStyle name="Обычный 16 44" xfId="8282"/>
    <cellStyle name="Обычный 16 44 2" xfId="8283"/>
    <cellStyle name="Обычный 16 44 3" xfId="8284"/>
    <cellStyle name="Обычный 16 45" xfId="8285"/>
    <cellStyle name="Обычный 16 45 2" xfId="8286"/>
    <cellStyle name="Обычный 16 45 3" xfId="8287"/>
    <cellStyle name="Обычный 16 46" xfId="8288"/>
    <cellStyle name="Обычный 16 46 2" xfId="8289"/>
    <cellStyle name="Обычный 16 46 3" xfId="8290"/>
    <cellStyle name="Обычный 16 47" xfId="8291"/>
    <cellStyle name="Обычный 16 47 2" xfId="8292"/>
    <cellStyle name="Обычный 16 47 3" xfId="8293"/>
    <cellStyle name="Обычный 16 48" xfId="8294"/>
    <cellStyle name="Обычный 16 48 2" xfId="8295"/>
    <cellStyle name="Обычный 16 48 3" xfId="8296"/>
    <cellStyle name="Обычный 16 49" xfId="8297"/>
    <cellStyle name="Обычный 16 49 2" xfId="8298"/>
    <cellStyle name="Обычный 16 49 3" xfId="8299"/>
    <cellStyle name="Обычный 16 5" xfId="8300"/>
    <cellStyle name="Обычный 16 5 10" xfId="8301"/>
    <cellStyle name="Обычный 16 5 10 2" xfId="8302"/>
    <cellStyle name="Обычный 16 5 10 3" xfId="8303"/>
    <cellStyle name="Обычный 16 5 11" xfId="8304"/>
    <cellStyle name="Обычный 16 5 11 2" xfId="8305"/>
    <cellStyle name="Обычный 16 5 11 3" xfId="8306"/>
    <cellStyle name="Обычный 16 5 12" xfId="8307"/>
    <cellStyle name="Обычный 16 5 12 2" xfId="8308"/>
    <cellStyle name="Обычный 16 5 12 3" xfId="8309"/>
    <cellStyle name="Обычный 16 5 13" xfId="8310"/>
    <cellStyle name="Обычный 16 5 13 2" xfId="8311"/>
    <cellStyle name="Обычный 16 5 13 3" xfId="8312"/>
    <cellStyle name="Обычный 16 5 14" xfId="8313"/>
    <cellStyle name="Обычный 16 5 14 2" xfId="8314"/>
    <cellStyle name="Обычный 16 5 14 3" xfId="8315"/>
    <cellStyle name="Обычный 16 5 15" xfId="8316"/>
    <cellStyle name="Обычный 16 5 15 2" xfId="8317"/>
    <cellStyle name="Обычный 16 5 15 3" xfId="8318"/>
    <cellStyle name="Обычный 16 5 16" xfId="8319"/>
    <cellStyle name="Обычный 16 5 16 2" xfId="8320"/>
    <cellStyle name="Обычный 16 5 16 3" xfId="8321"/>
    <cellStyle name="Обычный 16 5 17" xfId="8322"/>
    <cellStyle name="Обычный 16 5 17 2" xfId="8323"/>
    <cellStyle name="Обычный 16 5 17 3" xfId="8324"/>
    <cellStyle name="Обычный 16 5 18" xfId="8325"/>
    <cellStyle name="Обычный 16 5 18 2" xfId="8326"/>
    <cellStyle name="Обычный 16 5 18 3" xfId="8327"/>
    <cellStyle name="Обычный 16 5 19" xfId="8328"/>
    <cellStyle name="Обычный 16 5 19 2" xfId="8329"/>
    <cellStyle name="Обычный 16 5 19 3" xfId="8330"/>
    <cellStyle name="Обычный 16 5 2" xfId="8331"/>
    <cellStyle name="Обычный 16 5 2 2" xfId="8332"/>
    <cellStyle name="Обычный 16 5 2 3" xfId="8333"/>
    <cellStyle name="Обычный 16 5 20" xfId="8334"/>
    <cellStyle name="Обычный 16 5 20 2" xfId="8335"/>
    <cellStyle name="Обычный 16 5 20 3" xfId="8336"/>
    <cellStyle name="Обычный 16 5 21" xfId="8337"/>
    <cellStyle name="Обычный 16 5 21 2" xfId="8338"/>
    <cellStyle name="Обычный 16 5 21 3" xfId="8339"/>
    <cellStyle name="Обычный 16 5 22" xfId="8340"/>
    <cellStyle name="Обычный 16 5 22 2" xfId="8341"/>
    <cellStyle name="Обычный 16 5 22 3" xfId="8342"/>
    <cellStyle name="Обычный 16 5 23" xfId="8343"/>
    <cellStyle name="Обычный 16 5 23 2" xfId="8344"/>
    <cellStyle name="Обычный 16 5 23 3" xfId="8345"/>
    <cellStyle name="Обычный 16 5 24" xfId="8346"/>
    <cellStyle name="Обычный 16 5 24 2" xfId="8347"/>
    <cellStyle name="Обычный 16 5 24 3" xfId="8348"/>
    <cellStyle name="Обычный 16 5 25" xfId="8349"/>
    <cellStyle name="Обычный 16 5 25 2" xfId="8350"/>
    <cellStyle name="Обычный 16 5 25 3" xfId="8351"/>
    <cellStyle name="Обычный 16 5 26" xfId="8352"/>
    <cellStyle name="Обычный 16 5 26 2" xfId="8353"/>
    <cellStyle name="Обычный 16 5 26 3" xfId="8354"/>
    <cellStyle name="Обычный 16 5 27" xfId="8355"/>
    <cellStyle name="Обычный 16 5 27 2" xfId="8356"/>
    <cellStyle name="Обычный 16 5 27 3" xfId="8357"/>
    <cellStyle name="Обычный 16 5 28" xfId="8358"/>
    <cellStyle name="Обычный 16 5 28 2" xfId="8359"/>
    <cellStyle name="Обычный 16 5 28 3" xfId="8360"/>
    <cellStyle name="Обычный 16 5 29" xfId="8361"/>
    <cellStyle name="Обычный 16 5 29 2" xfId="8362"/>
    <cellStyle name="Обычный 16 5 29 3" xfId="8363"/>
    <cellStyle name="Обычный 16 5 3" xfId="8364"/>
    <cellStyle name="Обычный 16 5 3 2" xfId="8365"/>
    <cellStyle name="Обычный 16 5 3 3" xfId="8366"/>
    <cellStyle name="Обычный 16 5 30" xfId="8367"/>
    <cellStyle name="Обычный 16 5 30 2" xfId="8368"/>
    <cellStyle name="Обычный 16 5 30 3" xfId="8369"/>
    <cellStyle name="Обычный 16 5 31" xfId="8370"/>
    <cellStyle name="Обычный 16 5 31 2" xfId="8371"/>
    <cellStyle name="Обычный 16 5 31 3" xfId="8372"/>
    <cellStyle name="Обычный 16 5 32" xfId="8373"/>
    <cellStyle name="Обычный 16 5 32 2" xfId="8374"/>
    <cellStyle name="Обычный 16 5 32 3" xfId="8375"/>
    <cellStyle name="Обычный 16 5 33" xfId="8376"/>
    <cellStyle name="Обычный 16 5 33 2" xfId="8377"/>
    <cellStyle name="Обычный 16 5 33 3" xfId="8378"/>
    <cellStyle name="Обычный 16 5 34" xfId="8379"/>
    <cellStyle name="Обычный 16 5 34 2" xfId="8380"/>
    <cellStyle name="Обычный 16 5 34 3" xfId="8381"/>
    <cellStyle name="Обычный 16 5 35" xfId="8382"/>
    <cellStyle name="Обычный 16 5 35 2" xfId="8383"/>
    <cellStyle name="Обычный 16 5 35 3" xfId="8384"/>
    <cellStyle name="Обычный 16 5 36" xfId="8385"/>
    <cellStyle name="Обычный 16 5 36 2" xfId="8386"/>
    <cellStyle name="Обычный 16 5 36 3" xfId="8387"/>
    <cellStyle name="Обычный 16 5 37" xfId="8388"/>
    <cellStyle name="Обычный 16 5 37 2" xfId="8389"/>
    <cellStyle name="Обычный 16 5 37 3" xfId="8390"/>
    <cellStyle name="Обычный 16 5 38" xfId="8391"/>
    <cellStyle name="Обычный 16 5 38 2" xfId="8392"/>
    <cellStyle name="Обычный 16 5 38 3" xfId="8393"/>
    <cellStyle name="Обычный 16 5 39" xfId="8394"/>
    <cellStyle name="Обычный 16 5 39 2" xfId="8395"/>
    <cellStyle name="Обычный 16 5 39 3" xfId="8396"/>
    <cellStyle name="Обычный 16 5 4" xfId="8397"/>
    <cellStyle name="Обычный 16 5 4 2" xfId="8398"/>
    <cellStyle name="Обычный 16 5 4 3" xfId="8399"/>
    <cellStyle name="Обычный 16 5 40" xfId="8400"/>
    <cellStyle name="Обычный 16 5 40 2" xfId="8401"/>
    <cellStyle name="Обычный 16 5 40 3" xfId="8402"/>
    <cellStyle name="Обычный 16 5 41" xfId="8403"/>
    <cellStyle name="Обычный 16 5 41 2" xfId="8404"/>
    <cellStyle name="Обычный 16 5 41 3" xfId="8405"/>
    <cellStyle name="Обычный 16 5 42" xfId="8406"/>
    <cellStyle name="Обычный 16 5 42 2" xfId="8407"/>
    <cellStyle name="Обычный 16 5 42 3" xfId="8408"/>
    <cellStyle name="Обычный 16 5 43" xfId="8409"/>
    <cellStyle name="Обычный 16 5 43 2" xfId="8410"/>
    <cellStyle name="Обычный 16 5 43 3" xfId="8411"/>
    <cellStyle name="Обычный 16 5 44" xfId="8412"/>
    <cellStyle name="Обычный 16 5 44 2" xfId="8413"/>
    <cellStyle name="Обычный 16 5 44 3" xfId="8414"/>
    <cellStyle name="Обычный 16 5 45" xfId="8415"/>
    <cellStyle name="Обычный 16 5 45 2" xfId="8416"/>
    <cellStyle name="Обычный 16 5 45 3" xfId="8417"/>
    <cellStyle name="Обычный 16 5 46" xfId="8418"/>
    <cellStyle name="Обычный 16 5 46 2" xfId="8419"/>
    <cellStyle name="Обычный 16 5 46 3" xfId="8420"/>
    <cellStyle name="Обычный 16 5 47" xfId="8421"/>
    <cellStyle name="Обычный 16 5 47 2" xfId="8422"/>
    <cellStyle name="Обычный 16 5 47 3" xfId="8423"/>
    <cellStyle name="Обычный 16 5 48" xfId="8424"/>
    <cellStyle name="Обычный 16 5 48 2" xfId="8425"/>
    <cellStyle name="Обычный 16 5 48 3" xfId="8426"/>
    <cellStyle name="Обычный 16 5 49" xfId="8427"/>
    <cellStyle name="Обычный 16 5 49 2" xfId="8428"/>
    <cellStyle name="Обычный 16 5 49 3" xfId="8429"/>
    <cellStyle name="Обычный 16 5 5" xfId="8430"/>
    <cellStyle name="Обычный 16 5 5 2" xfId="8431"/>
    <cellStyle name="Обычный 16 5 5 3" xfId="8432"/>
    <cellStyle name="Обычный 16 5 50" xfId="8433"/>
    <cellStyle name="Обычный 16 5 50 2" xfId="8434"/>
    <cellStyle name="Обычный 16 5 50 3" xfId="8435"/>
    <cellStyle name="Обычный 16 5 51" xfId="8436"/>
    <cellStyle name="Обычный 16 5 51 2" xfId="8437"/>
    <cellStyle name="Обычный 16 5 51 3" xfId="8438"/>
    <cellStyle name="Обычный 16 5 52" xfId="8439"/>
    <cellStyle name="Обычный 16 5 52 2" xfId="8440"/>
    <cellStyle name="Обычный 16 5 52 3" xfId="8441"/>
    <cellStyle name="Обычный 16 5 53" xfId="8442"/>
    <cellStyle name="Обычный 16 5 53 2" xfId="8443"/>
    <cellStyle name="Обычный 16 5 53 3" xfId="8444"/>
    <cellStyle name="Обычный 16 5 54" xfId="8445"/>
    <cellStyle name="Обычный 16 5 54 2" xfId="8446"/>
    <cellStyle name="Обычный 16 5 54 3" xfId="8447"/>
    <cellStyle name="Обычный 16 5 55" xfId="8448"/>
    <cellStyle name="Обычный 16 5 55 2" xfId="8449"/>
    <cellStyle name="Обычный 16 5 55 3" xfId="8450"/>
    <cellStyle name="Обычный 16 5 56" xfId="8451"/>
    <cellStyle name="Обычный 16 5 56 2" xfId="8452"/>
    <cellStyle name="Обычный 16 5 56 3" xfId="8453"/>
    <cellStyle name="Обычный 16 5 57" xfId="8454"/>
    <cellStyle name="Обычный 16 5 57 2" xfId="8455"/>
    <cellStyle name="Обычный 16 5 57 3" xfId="8456"/>
    <cellStyle name="Обычный 16 5 58" xfId="8457"/>
    <cellStyle name="Обычный 16 5 58 2" xfId="8458"/>
    <cellStyle name="Обычный 16 5 58 3" xfId="8459"/>
    <cellStyle name="Обычный 16 5 59" xfId="8460"/>
    <cellStyle name="Обычный 16 5 59 2" xfId="8461"/>
    <cellStyle name="Обычный 16 5 59 3" xfId="8462"/>
    <cellStyle name="Обычный 16 5 6" xfId="8463"/>
    <cellStyle name="Обычный 16 5 6 2" xfId="8464"/>
    <cellStyle name="Обычный 16 5 6 3" xfId="8465"/>
    <cellStyle name="Обычный 16 5 60" xfId="8466"/>
    <cellStyle name="Обычный 16 5 60 2" xfId="8467"/>
    <cellStyle name="Обычный 16 5 60 3" xfId="8468"/>
    <cellStyle name="Обычный 16 5 61" xfId="8469"/>
    <cellStyle name="Обычный 16 5 61 2" xfId="8470"/>
    <cellStyle name="Обычный 16 5 61 3" xfId="8471"/>
    <cellStyle name="Обычный 16 5 62" xfId="8472"/>
    <cellStyle name="Обычный 16 5 62 2" xfId="8473"/>
    <cellStyle name="Обычный 16 5 62 3" xfId="8474"/>
    <cellStyle name="Обычный 16 5 63" xfId="8475"/>
    <cellStyle name="Обычный 16 5 63 2" xfId="8476"/>
    <cellStyle name="Обычный 16 5 63 3" xfId="8477"/>
    <cellStyle name="Обычный 16 5 64" xfId="8478"/>
    <cellStyle name="Обычный 16 5 65" xfId="8479"/>
    <cellStyle name="Обычный 16 5 7" xfId="8480"/>
    <cellStyle name="Обычный 16 5 7 2" xfId="8481"/>
    <cellStyle name="Обычный 16 5 7 3" xfId="8482"/>
    <cellStyle name="Обычный 16 5 8" xfId="8483"/>
    <cellStyle name="Обычный 16 5 8 2" xfId="8484"/>
    <cellStyle name="Обычный 16 5 8 3" xfId="8485"/>
    <cellStyle name="Обычный 16 5 9" xfId="8486"/>
    <cellStyle name="Обычный 16 5 9 2" xfId="8487"/>
    <cellStyle name="Обычный 16 5 9 3" xfId="8488"/>
    <cellStyle name="Обычный 16 50" xfId="8489"/>
    <cellStyle name="Обычный 16 50 2" xfId="8490"/>
    <cellStyle name="Обычный 16 50 3" xfId="8491"/>
    <cellStyle name="Обычный 16 51" xfId="8492"/>
    <cellStyle name="Обычный 16 51 2" xfId="8493"/>
    <cellStyle name="Обычный 16 51 3" xfId="8494"/>
    <cellStyle name="Обычный 16 52" xfId="8495"/>
    <cellStyle name="Обычный 16 52 2" xfId="8496"/>
    <cellStyle name="Обычный 16 52 3" xfId="8497"/>
    <cellStyle name="Обычный 16 53" xfId="8498"/>
    <cellStyle name="Обычный 16 53 2" xfId="8499"/>
    <cellStyle name="Обычный 16 53 3" xfId="8500"/>
    <cellStyle name="Обычный 16 54" xfId="8501"/>
    <cellStyle name="Обычный 16 54 2" xfId="8502"/>
    <cellStyle name="Обычный 16 54 3" xfId="8503"/>
    <cellStyle name="Обычный 16 55" xfId="8504"/>
    <cellStyle name="Обычный 16 55 2" xfId="8505"/>
    <cellStyle name="Обычный 16 55 3" xfId="8506"/>
    <cellStyle name="Обычный 16 56" xfId="8507"/>
    <cellStyle name="Обычный 16 56 2" xfId="8508"/>
    <cellStyle name="Обычный 16 56 3" xfId="8509"/>
    <cellStyle name="Обычный 16 57" xfId="8510"/>
    <cellStyle name="Обычный 16 57 2" xfId="8511"/>
    <cellStyle name="Обычный 16 57 3" xfId="8512"/>
    <cellStyle name="Обычный 16 58" xfId="8513"/>
    <cellStyle name="Обычный 16 58 2" xfId="8514"/>
    <cellStyle name="Обычный 16 58 3" xfId="8515"/>
    <cellStyle name="Обычный 16 59" xfId="8516"/>
    <cellStyle name="Обычный 16 59 2" xfId="8517"/>
    <cellStyle name="Обычный 16 59 3" xfId="8518"/>
    <cellStyle name="Обычный 16 6" xfId="8519"/>
    <cellStyle name="Обычный 16 6 10" xfId="8520"/>
    <cellStyle name="Обычный 16 6 10 2" xfId="8521"/>
    <cellStyle name="Обычный 16 6 10 3" xfId="8522"/>
    <cellStyle name="Обычный 16 6 11" xfId="8523"/>
    <cellStyle name="Обычный 16 6 11 2" xfId="8524"/>
    <cellStyle name="Обычный 16 6 11 3" xfId="8525"/>
    <cellStyle name="Обычный 16 6 12" xfId="8526"/>
    <cellStyle name="Обычный 16 6 12 2" xfId="8527"/>
    <cellStyle name="Обычный 16 6 12 3" xfId="8528"/>
    <cellStyle name="Обычный 16 6 13" xfId="8529"/>
    <cellStyle name="Обычный 16 6 13 2" xfId="8530"/>
    <cellStyle name="Обычный 16 6 13 3" xfId="8531"/>
    <cellStyle name="Обычный 16 6 14" xfId="8532"/>
    <cellStyle name="Обычный 16 6 14 2" xfId="8533"/>
    <cellStyle name="Обычный 16 6 14 3" xfId="8534"/>
    <cellStyle name="Обычный 16 6 15" xfId="8535"/>
    <cellStyle name="Обычный 16 6 15 2" xfId="8536"/>
    <cellStyle name="Обычный 16 6 15 3" xfId="8537"/>
    <cellStyle name="Обычный 16 6 16" xfId="8538"/>
    <cellStyle name="Обычный 16 6 16 2" xfId="8539"/>
    <cellStyle name="Обычный 16 6 16 3" xfId="8540"/>
    <cellStyle name="Обычный 16 6 17" xfId="8541"/>
    <cellStyle name="Обычный 16 6 17 2" xfId="8542"/>
    <cellStyle name="Обычный 16 6 17 3" xfId="8543"/>
    <cellStyle name="Обычный 16 6 18" xfId="8544"/>
    <cellStyle name="Обычный 16 6 18 2" xfId="8545"/>
    <cellStyle name="Обычный 16 6 18 3" xfId="8546"/>
    <cellStyle name="Обычный 16 6 19" xfId="8547"/>
    <cellStyle name="Обычный 16 6 19 2" xfId="8548"/>
    <cellStyle name="Обычный 16 6 19 3" xfId="8549"/>
    <cellStyle name="Обычный 16 6 2" xfId="8550"/>
    <cellStyle name="Обычный 16 6 2 2" xfId="8551"/>
    <cellStyle name="Обычный 16 6 2 3" xfId="8552"/>
    <cellStyle name="Обычный 16 6 20" xfId="8553"/>
    <cellStyle name="Обычный 16 6 20 2" xfId="8554"/>
    <cellStyle name="Обычный 16 6 20 3" xfId="8555"/>
    <cellStyle name="Обычный 16 6 21" xfId="8556"/>
    <cellStyle name="Обычный 16 6 21 2" xfId="8557"/>
    <cellStyle name="Обычный 16 6 21 3" xfId="8558"/>
    <cellStyle name="Обычный 16 6 22" xfId="8559"/>
    <cellStyle name="Обычный 16 6 22 2" xfId="8560"/>
    <cellStyle name="Обычный 16 6 22 3" xfId="8561"/>
    <cellStyle name="Обычный 16 6 23" xfId="8562"/>
    <cellStyle name="Обычный 16 6 23 2" xfId="8563"/>
    <cellStyle name="Обычный 16 6 23 3" xfId="8564"/>
    <cellStyle name="Обычный 16 6 24" xfId="8565"/>
    <cellStyle name="Обычный 16 6 24 2" xfId="8566"/>
    <cellStyle name="Обычный 16 6 24 3" xfId="8567"/>
    <cellStyle name="Обычный 16 6 25" xfId="8568"/>
    <cellStyle name="Обычный 16 6 25 2" xfId="8569"/>
    <cellStyle name="Обычный 16 6 25 3" xfId="8570"/>
    <cellStyle name="Обычный 16 6 26" xfId="8571"/>
    <cellStyle name="Обычный 16 6 26 2" xfId="8572"/>
    <cellStyle name="Обычный 16 6 26 3" xfId="8573"/>
    <cellStyle name="Обычный 16 6 27" xfId="8574"/>
    <cellStyle name="Обычный 16 6 27 2" xfId="8575"/>
    <cellStyle name="Обычный 16 6 27 3" xfId="8576"/>
    <cellStyle name="Обычный 16 6 28" xfId="8577"/>
    <cellStyle name="Обычный 16 6 28 2" xfId="8578"/>
    <cellStyle name="Обычный 16 6 28 3" xfId="8579"/>
    <cellStyle name="Обычный 16 6 29" xfId="8580"/>
    <cellStyle name="Обычный 16 6 29 2" xfId="8581"/>
    <cellStyle name="Обычный 16 6 29 3" xfId="8582"/>
    <cellStyle name="Обычный 16 6 3" xfId="8583"/>
    <cellStyle name="Обычный 16 6 3 2" xfId="8584"/>
    <cellStyle name="Обычный 16 6 3 3" xfId="8585"/>
    <cellStyle name="Обычный 16 6 30" xfId="8586"/>
    <cellStyle name="Обычный 16 6 30 2" xfId="8587"/>
    <cellStyle name="Обычный 16 6 30 3" xfId="8588"/>
    <cellStyle name="Обычный 16 6 31" xfId="8589"/>
    <cellStyle name="Обычный 16 6 31 2" xfId="8590"/>
    <cellStyle name="Обычный 16 6 31 3" xfId="8591"/>
    <cellStyle name="Обычный 16 6 32" xfId="8592"/>
    <cellStyle name="Обычный 16 6 32 2" xfId="8593"/>
    <cellStyle name="Обычный 16 6 32 3" xfId="8594"/>
    <cellStyle name="Обычный 16 6 33" xfId="8595"/>
    <cellStyle name="Обычный 16 6 33 2" xfId="8596"/>
    <cellStyle name="Обычный 16 6 33 3" xfId="8597"/>
    <cellStyle name="Обычный 16 6 34" xfId="8598"/>
    <cellStyle name="Обычный 16 6 34 2" xfId="8599"/>
    <cellStyle name="Обычный 16 6 34 3" xfId="8600"/>
    <cellStyle name="Обычный 16 6 35" xfId="8601"/>
    <cellStyle name="Обычный 16 6 35 2" xfId="8602"/>
    <cellStyle name="Обычный 16 6 35 3" xfId="8603"/>
    <cellStyle name="Обычный 16 6 36" xfId="8604"/>
    <cellStyle name="Обычный 16 6 36 2" xfId="8605"/>
    <cellStyle name="Обычный 16 6 36 3" xfId="8606"/>
    <cellStyle name="Обычный 16 6 37" xfId="8607"/>
    <cellStyle name="Обычный 16 6 37 2" xfId="8608"/>
    <cellStyle name="Обычный 16 6 37 3" xfId="8609"/>
    <cellStyle name="Обычный 16 6 38" xfId="8610"/>
    <cellStyle name="Обычный 16 6 38 2" xfId="8611"/>
    <cellStyle name="Обычный 16 6 38 3" xfId="8612"/>
    <cellStyle name="Обычный 16 6 39" xfId="8613"/>
    <cellStyle name="Обычный 16 6 39 2" xfId="8614"/>
    <cellStyle name="Обычный 16 6 39 3" xfId="8615"/>
    <cellStyle name="Обычный 16 6 4" xfId="8616"/>
    <cellStyle name="Обычный 16 6 4 2" xfId="8617"/>
    <cellStyle name="Обычный 16 6 4 3" xfId="8618"/>
    <cellStyle name="Обычный 16 6 40" xfId="8619"/>
    <cellStyle name="Обычный 16 6 40 2" xfId="8620"/>
    <cellStyle name="Обычный 16 6 40 3" xfId="8621"/>
    <cellStyle name="Обычный 16 6 41" xfId="8622"/>
    <cellStyle name="Обычный 16 6 41 2" xfId="8623"/>
    <cellStyle name="Обычный 16 6 41 3" xfId="8624"/>
    <cellStyle name="Обычный 16 6 42" xfId="8625"/>
    <cellStyle name="Обычный 16 6 42 2" xfId="8626"/>
    <cellStyle name="Обычный 16 6 42 3" xfId="8627"/>
    <cellStyle name="Обычный 16 6 43" xfId="8628"/>
    <cellStyle name="Обычный 16 6 43 2" xfId="8629"/>
    <cellStyle name="Обычный 16 6 43 3" xfId="8630"/>
    <cellStyle name="Обычный 16 6 44" xfId="8631"/>
    <cellStyle name="Обычный 16 6 44 2" xfId="8632"/>
    <cellStyle name="Обычный 16 6 44 3" xfId="8633"/>
    <cellStyle name="Обычный 16 6 45" xfId="8634"/>
    <cellStyle name="Обычный 16 6 45 2" xfId="8635"/>
    <cellStyle name="Обычный 16 6 45 3" xfId="8636"/>
    <cellStyle name="Обычный 16 6 46" xfId="8637"/>
    <cellStyle name="Обычный 16 6 46 2" xfId="8638"/>
    <cellStyle name="Обычный 16 6 46 3" xfId="8639"/>
    <cellStyle name="Обычный 16 6 47" xfId="8640"/>
    <cellStyle name="Обычный 16 6 47 2" xfId="8641"/>
    <cellStyle name="Обычный 16 6 47 3" xfId="8642"/>
    <cellStyle name="Обычный 16 6 48" xfId="8643"/>
    <cellStyle name="Обычный 16 6 48 2" xfId="8644"/>
    <cellStyle name="Обычный 16 6 48 3" xfId="8645"/>
    <cellStyle name="Обычный 16 6 49" xfId="8646"/>
    <cellStyle name="Обычный 16 6 49 2" xfId="8647"/>
    <cellStyle name="Обычный 16 6 49 3" xfId="8648"/>
    <cellStyle name="Обычный 16 6 5" xfId="8649"/>
    <cellStyle name="Обычный 16 6 5 2" xfId="8650"/>
    <cellStyle name="Обычный 16 6 5 3" xfId="8651"/>
    <cellStyle name="Обычный 16 6 50" xfId="8652"/>
    <cellStyle name="Обычный 16 6 50 2" xfId="8653"/>
    <cellStyle name="Обычный 16 6 50 3" xfId="8654"/>
    <cellStyle name="Обычный 16 6 51" xfId="8655"/>
    <cellStyle name="Обычный 16 6 51 2" xfId="8656"/>
    <cellStyle name="Обычный 16 6 51 3" xfId="8657"/>
    <cellStyle name="Обычный 16 6 52" xfId="8658"/>
    <cellStyle name="Обычный 16 6 52 2" xfId="8659"/>
    <cellStyle name="Обычный 16 6 52 3" xfId="8660"/>
    <cellStyle name="Обычный 16 6 53" xfId="8661"/>
    <cellStyle name="Обычный 16 6 53 2" xfId="8662"/>
    <cellStyle name="Обычный 16 6 53 3" xfId="8663"/>
    <cellStyle name="Обычный 16 6 54" xfId="8664"/>
    <cellStyle name="Обычный 16 6 54 2" xfId="8665"/>
    <cellStyle name="Обычный 16 6 54 3" xfId="8666"/>
    <cellStyle name="Обычный 16 6 55" xfId="8667"/>
    <cellStyle name="Обычный 16 6 55 2" xfId="8668"/>
    <cellStyle name="Обычный 16 6 55 3" xfId="8669"/>
    <cellStyle name="Обычный 16 6 56" xfId="8670"/>
    <cellStyle name="Обычный 16 6 56 2" xfId="8671"/>
    <cellStyle name="Обычный 16 6 56 3" xfId="8672"/>
    <cellStyle name="Обычный 16 6 57" xfId="8673"/>
    <cellStyle name="Обычный 16 6 57 2" xfId="8674"/>
    <cellStyle name="Обычный 16 6 57 3" xfId="8675"/>
    <cellStyle name="Обычный 16 6 58" xfId="8676"/>
    <cellStyle name="Обычный 16 6 58 2" xfId="8677"/>
    <cellStyle name="Обычный 16 6 58 3" xfId="8678"/>
    <cellStyle name="Обычный 16 6 59" xfId="8679"/>
    <cellStyle name="Обычный 16 6 59 2" xfId="8680"/>
    <cellStyle name="Обычный 16 6 59 3" xfId="8681"/>
    <cellStyle name="Обычный 16 6 6" xfId="8682"/>
    <cellStyle name="Обычный 16 6 6 2" xfId="8683"/>
    <cellStyle name="Обычный 16 6 6 3" xfId="8684"/>
    <cellStyle name="Обычный 16 6 60" xfId="8685"/>
    <cellStyle name="Обычный 16 6 60 2" xfId="8686"/>
    <cellStyle name="Обычный 16 6 60 3" xfId="8687"/>
    <cellStyle name="Обычный 16 6 61" xfId="8688"/>
    <cellStyle name="Обычный 16 6 61 2" xfId="8689"/>
    <cellStyle name="Обычный 16 6 61 3" xfId="8690"/>
    <cellStyle name="Обычный 16 6 62" xfId="8691"/>
    <cellStyle name="Обычный 16 6 62 2" xfId="8692"/>
    <cellStyle name="Обычный 16 6 62 3" xfId="8693"/>
    <cellStyle name="Обычный 16 6 63" xfId="8694"/>
    <cellStyle name="Обычный 16 6 63 2" xfId="8695"/>
    <cellStyle name="Обычный 16 6 63 3" xfId="8696"/>
    <cellStyle name="Обычный 16 6 64" xfId="8697"/>
    <cellStyle name="Обычный 16 6 65" xfId="8698"/>
    <cellStyle name="Обычный 16 6 7" xfId="8699"/>
    <cellStyle name="Обычный 16 6 7 2" xfId="8700"/>
    <cellStyle name="Обычный 16 6 7 3" xfId="8701"/>
    <cellStyle name="Обычный 16 6 8" xfId="8702"/>
    <cellStyle name="Обычный 16 6 8 2" xfId="8703"/>
    <cellStyle name="Обычный 16 6 8 3" xfId="8704"/>
    <cellStyle name="Обычный 16 6 9" xfId="8705"/>
    <cellStyle name="Обычный 16 6 9 2" xfId="8706"/>
    <cellStyle name="Обычный 16 6 9 3" xfId="8707"/>
    <cellStyle name="Обычный 16 60" xfId="8708"/>
    <cellStyle name="Обычный 16 60 2" xfId="8709"/>
    <cellStyle name="Обычный 16 60 3" xfId="8710"/>
    <cellStyle name="Обычный 16 61" xfId="8711"/>
    <cellStyle name="Обычный 16 61 2" xfId="8712"/>
    <cellStyle name="Обычный 16 61 3" xfId="8713"/>
    <cellStyle name="Обычный 16 62" xfId="8714"/>
    <cellStyle name="Обычный 16 62 2" xfId="8715"/>
    <cellStyle name="Обычный 16 62 3" xfId="8716"/>
    <cellStyle name="Обычный 16 63" xfId="8717"/>
    <cellStyle name="Обычный 16 63 2" xfId="8718"/>
    <cellStyle name="Обычный 16 63 3" xfId="8719"/>
    <cellStyle name="Обычный 16 64" xfId="8720"/>
    <cellStyle name="Обычный 16 64 2" xfId="8721"/>
    <cellStyle name="Обычный 16 64 3" xfId="8722"/>
    <cellStyle name="Обычный 16 65" xfId="8723"/>
    <cellStyle name="Обычный 16 65 2" xfId="8724"/>
    <cellStyle name="Обычный 16 65 3" xfId="8725"/>
    <cellStyle name="Обычный 16 66" xfId="8726"/>
    <cellStyle name="Обычный 16 66 2" xfId="8727"/>
    <cellStyle name="Обычный 16 66 3" xfId="8728"/>
    <cellStyle name="Обычный 16 67" xfId="8729"/>
    <cellStyle name="Обычный 16 67 2" xfId="8730"/>
    <cellStyle name="Обычный 16 67 3" xfId="8731"/>
    <cellStyle name="Обычный 16 68" xfId="8732"/>
    <cellStyle name="Обычный 16 68 2" xfId="8733"/>
    <cellStyle name="Обычный 16 68 3" xfId="8734"/>
    <cellStyle name="Обычный 16 69" xfId="8735"/>
    <cellStyle name="Обычный 16 69 2" xfId="8736"/>
    <cellStyle name="Обычный 16 69 3" xfId="8737"/>
    <cellStyle name="Обычный 16 7" xfId="8738"/>
    <cellStyle name="Обычный 16 7 10" xfId="8739"/>
    <cellStyle name="Обычный 16 7 10 2" xfId="8740"/>
    <cellStyle name="Обычный 16 7 10 3" xfId="8741"/>
    <cellStyle name="Обычный 16 7 11" xfId="8742"/>
    <cellStyle name="Обычный 16 7 11 2" xfId="8743"/>
    <cellStyle name="Обычный 16 7 11 3" xfId="8744"/>
    <cellStyle name="Обычный 16 7 12" xfId="8745"/>
    <cellStyle name="Обычный 16 7 12 2" xfId="8746"/>
    <cellStyle name="Обычный 16 7 12 3" xfId="8747"/>
    <cellStyle name="Обычный 16 7 13" xfId="8748"/>
    <cellStyle name="Обычный 16 7 13 2" xfId="8749"/>
    <cellStyle name="Обычный 16 7 13 3" xfId="8750"/>
    <cellStyle name="Обычный 16 7 14" xfId="8751"/>
    <cellStyle name="Обычный 16 7 14 2" xfId="8752"/>
    <cellStyle name="Обычный 16 7 14 3" xfId="8753"/>
    <cellStyle name="Обычный 16 7 15" xfId="8754"/>
    <cellStyle name="Обычный 16 7 15 2" xfId="8755"/>
    <cellStyle name="Обычный 16 7 15 3" xfId="8756"/>
    <cellStyle name="Обычный 16 7 16" xfId="8757"/>
    <cellStyle name="Обычный 16 7 16 2" xfId="8758"/>
    <cellStyle name="Обычный 16 7 16 3" xfId="8759"/>
    <cellStyle name="Обычный 16 7 17" xfId="8760"/>
    <cellStyle name="Обычный 16 7 17 2" xfId="8761"/>
    <cellStyle name="Обычный 16 7 17 3" xfId="8762"/>
    <cellStyle name="Обычный 16 7 18" xfId="8763"/>
    <cellStyle name="Обычный 16 7 18 2" xfId="8764"/>
    <cellStyle name="Обычный 16 7 18 3" xfId="8765"/>
    <cellStyle name="Обычный 16 7 19" xfId="8766"/>
    <cellStyle name="Обычный 16 7 19 2" xfId="8767"/>
    <cellStyle name="Обычный 16 7 19 3" xfId="8768"/>
    <cellStyle name="Обычный 16 7 2" xfId="8769"/>
    <cellStyle name="Обычный 16 7 2 2" xfId="8770"/>
    <cellStyle name="Обычный 16 7 2 3" xfId="8771"/>
    <cellStyle name="Обычный 16 7 20" xfId="8772"/>
    <cellStyle name="Обычный 16 7 20 2" xfId="8773"/>
    <cellStyle name="Обычный 16 7 20 3" xfId="8774"/>
    <cellStyle name="Обычный 16 7 21" xfId="8775"/>
    <cellStyle name="Обычный 16 7 21 2" xfId="8776"/>
    <cellStyle name="Обычный 16 7 21 3" xfId="8777"/>
    <cellStyle name="Обычный 16 7 22" xfId="8778"/>
    <cellStyle name="Обычный 16 7 22 2" xfId="8779"/>
    <cellStyle name="Обычный 16 7 22 3" xfId="8780"/>
    <cellStyle name="Обычный 16 7 23" xfId="8781"/>
    <cellStyle name="Обычный 16 7 23 2" xfId="8782"/>
    <cellStyle name="Обычный 16 7 23 3" xfId="8783"/>
    <cellStyle name="Обычный 16 7 24" xfId="8784"/>
    <cellStyle name="Обычный 16 7 24 2" xfId="8785"/>
    <cellStyle name="Обычный 16 7 24 3" xfId="8786"/>
    <cellStyle name="Обычный 16 7 25" xfId="8787"/>
    <cellStyle name="Обычный 16 7 25 2" xfId="8788"/>
    <cellStyle name="Обычный 16 7 25 3" xfId="8789"/>
    <cellStyle name="Обычный 16 7 26" xfId="8790"/>
    <cellStyle name="Обычный 16 7 26 2" xfId="8791"/>
    <cellStyle name="Обычный 16 7 26 3" xfId="8792"/>
    <cellStyle name="Обычный 16 7 27" xfId="8793"/>
    <cellStyle name="Обычный 16 7 27 2" xfId="8794"/>
    <cellStyle name="Обычный 16 7 27 3" xfId="8795"/>
    <cellStyle name="Обычный 16 7 28" xfId="8796"/>
    <cellStyle name="Обычный 16 7 28 2" xfId="8797"/>
    <cellStyle name="Обычный 16 7 28 3" xfId="8798"/>
    <cellStyle name="Обычный 16 7 29" xfId="8799"/>
    <cellStyle name="Обычный 16 7 29 2" xfId="8800"/>
    <cellStyle name="Обычный 16 7 29 3" xfId="8801"/>
    <cellStyle name="Обычный 16 7 3" xfId="8802"/>
    <cellStyle name="Обычный 16 7 3 2" xfId="8803"/>
    <cellStyle name="Обычный 16 7 3 3" xfId="8804"/>
    <cellStyle name="Обычный 16 7 30" xfId="8805"/>
    <cellStyle name="Обычный 16 7 30 2" xfId="8806"/>
    <cellStyle name="Обычный 16 7 30 3" xfId="8807"/>
    <cellStyle name="Обычный 16 7 31" xfId="8808"/>
    <cellStyle name="Обычный 16 7 31 2" xfId="8809"/>
    <cellStyle name="Обычный 16 7 31 3" xfId="8810"/>
    <cellStyle name="Обычный 16 7 32" xfId="8811"/>
    <cellStyle name="Обычный 16 7 32 2" xfId="8812"/>
    <cellStyle name="Обычный 16 7 32 3" xfId="8813"/>
    <cellStyle name="Обычный 16 7 33" xfId="8814"/>
    <cellStyle name="Обычный 16 7 33 2" xfId="8815"/>
    <cellStyle name="Обычный 16 7 33 3" xfId="8816"/>
    <cellStyle name="Обычный 16 7 34" xfId="8817"/>
    <cellStyle name="Обычный 16 7 34 2" xfId="8818"/>
    <cellStyle name="Обычный 16 7 34 3" xfId="8819"/>
    <cellStyle name="Обычный 16 7 35" xfId="8820"/>
    <cellStyle name="Обычный 16 7 35 2" xfId="8821"/>
    <cellStyle name="Обычный 16 7 35 3" xfId="8822"/>
    <cellStyle name="Обычный 16 7 36" xfId="8823"/>
    <cellStyle name="Обычный 16 7 36 2" xfId="8824"/>
    <cellStyle name="Обычный 16 7 36 3" xfId="8825"/>
    <cellStyle name="Обычный 16 7 37" xfId="8826"/>
    <cellStyle name="Обычный 16 7 37 2" xfId="8827"/>
    <cellStyle name="Обычный 16 7 37 3" xfId="8828"/>
    <cellStyle name="Обычный 16 7 38" xfId="8829"/>
    <cellStyle name="Обычный 16 7 38 2" xfId="8830"/>
    <cellStyle name="Обычный 16 7 38 3" xfId="8831"/>
    <cellStyle name="Обычный 16 7 39" xfId="8832"/>
    <cellStyle name="Обычный 16 7 39 2" xfId="8833"/>
    <cellStyle name="Обычный 16 7 39 3" xfId="8834"/>
    <cellStyle name="Обычный 16 7 4" xfId="8835"/>
    <cellStyle name="Обычный 16 7 4 2" xfId="8836"/>
    <cellStyle name="Обычный 16 7 4 3" xfId="8837"/>
    <cellStyle name="Обычный 16 7 40" xfId="8838"/>
    <cellStyle name="Обычный 16 7 40 2" xfId="8839"/>
    <cellStyle name="Обычный 16 7 40 3" xfId="8840"/>
    <cellStyle name="Обычный 16 7 41" xfId="8841"/>
    <cellStyle name="Обычный 16 7 41 2" xfId="8842"/>
    <cellStyle name="Обычный 16 7 41 3" xfId="8843"/>
    <cellStyle name="Обычный 16 7 42" xfId="8844"/>
    <cellStyle name="Обычный 16 7 42 2" xfId="8845"/>
    <cellStyle name="Обычный 16 7 42 3" xfId="8846"/>
    <cellStyle name="Обычный 16 7 43" xfId="8847"/>
    <cellStyle name="Обычный 16 7 43 2" xfId="8848"/>
    <cellStyle name="Обычный 16 7 43 3" xfId="8849"/>
    <cellStyle name="Обычный 16 7 44" xfId="8850"/>
    <cellStyle name="Обычный 16 7 44 2" xfId="8851"/>
    <cellStyle name="Обычный 16 7 44 3" xfId="8852"/>
    <cellStyle name="Обычный 16 7 45" xfId="8853"/>
    <cellStyle name="Обычный 16 7 45 2" xfId="8854"/>
    <cellStyle name="Обычный 16 7 45 3" xfId="8855"/>
    <cellStyle name="Обычный 16 7 46" xfId="8856"/>
    <cellStyle name="Обычный 16 7 46 2" xfId="8857"/>
    <cellStyle name="Обычный 16 7 46 3" xfId="8858"/>
    <cellStyle name="Обычный 16 7 47" xfId="8859"/>
    <cellStyle name="Обычный 16 7 47 2" xfId="8860"/>
    <cellStyle name="Обычный 16 7 47 3" xfId="8861"/>
    <cellStyle name="Обычный 16 7 48" xfId="8862"/>
    <cellStyle name="Обычный 16 7 48 2" xfId="8863"/>
    <cellStyle name="Обычный 16 7 48 3" xfId="8864"/>
    <cellStyle name="Обычный 16 7 49" xfId="8865"/>
    <cellStyle name="Обычный 16 7 49 2" xfId="8866"/>
    <cellStyle name="Обычный 16 7 49 3" xfId="8867"/>
    <cellStyle name="Обычный 16 7 5" xfId="8868"/>
    <cellStyle name="Обычный 16 7 5 2" xfId="8869"/>
    <cellStyle name="Обычный 16 7 5 3" xfId="8870"/>
    <cellStyle name="Обычный 16 7 50" xfId="8871"/>
    <cellStyle name="Обычный 16 7 50 2" xfId="8872"/>
    <cellStyle name="Обычный 16 7 50 3" xfId="8873"/>
    <cellStyle name="Обычный 16 7 51" xfId="8874"/>
    <cellStyle name="Обычный 16 7 51 2" xfId="8875"/>
    <cellStyle name="Обычный 16 7 51 3" xfId="8876"/>
    <cellStyle name="Обычный 16 7 52" xfId="8877"/>
    <cellStyle name="Обычный 16 7 52 2" xfId="8878"/>
    <cellStyle name="Обычный 16 7 52 3" xfId="8879"/>
    <cellStyle name="Обычный 16 7 53" xfId="8880"/>
    <cellStyle name="Обычный 16 7 53 2" xfId="8881"/>
    <cellStyle name="Обычный 16 7 53 3" xfId="8882"/>
    <cellStyle name="Обычный 16 7 54" xfId="8883"/>
    <cellStyle name="Обычный 16 7 54 2" xfId="8884"/>
    <cellStyle name="Обычный 16 7 54 3" xfId="8885"/>
    <cellStyle name="Обычный 16 7 55" xfId="8886"/>
    <cellStyle name="Обычный 16 7 55 2" xfId="8887"/>
    <cellStyle name="Обычный 16 7 55 3" xfId="8888"/>
    <cellStyle name="Обычный 16 7 56" xfId="8889"/>
    <cellStyle name="Обычный 16 7 56 2" xfId="8890"/>
    <cellStyle name="Обычный 16 7 56 3" xfId="8891"/>
    <cellStyle name="Обычный 16 7 57" xfId="8892"/>
    <cellStyle name="Обычный 16 7 57 2" xfId="8893"/>
    <cellStyle name="Обычный 16 7 57 3" xfId="8894"/>
    <cellStyle name="Обычный 16 7 58" xfId="8895"/>
    <cellStyle name="Обычный 16 7 58 2" xfId="8896"/>
    <cellStyle name="Обычный 16 7 58 3" xfId="8897"/>
    <cellStyle name="Обычный 16 7 59" xfId="8898"/>
    <cellStyle name="Обычный 16 7 59 2" xfId="8899"/>
    <cellStyle name="Обычный 16 7 59 3" xfId="8900"/>
    <cellStyle name="Обычный 16 7 6" xfId="8901"/>
    <cellStyle name="Обычный 16 7 6 2" xfId="8902"/>
    <cellStyle name="Обычный 16 7 6 3" xfId="8903"/>
    <cellStyle name="Обычный 16 7 60" xfId="8904"/>
    <cellStyle name="Обычный 16 7 60 2" xfId="8905"/>
    <cellStyle name="Обычный 16 7 60 3" xfId="8906"/>
    <cellStyle name="Обычный 16 7 61" xfId="8907"/>
    <cellStyle name="Обычный 16 7 61 2" xfId="8908"/>
    <cellStyle name="Обычный 16 7 61 3" xfId="8909"/>
    <cellStyle name="Обычный 16 7 62" xfId="8910"/>
    <cellStyle name="Обычный 16 7 62 2" xfId="8911"/>
    <cellStyle name="Обычный 16 7 62 3" xfId="8912"/>
    <cellStyle name="Обычный 16 7 63" xfId="8913"/>
    <cellStyle name="Обычный 16 7 63 2" xfId="8914"/>
    <cellStyle name="Обычный 16 7 63 3" xfId="8915"/>
    <cellStyle name="Обычный 16 7 64" xfId="8916"/>
    <cellStyle name="Обычный 16 7 65" xfId="8917"/>
    <cellStyle name="Обычный 16 7 7" xfId="8918"/>
    <cellStyle name="Обычный 16 7 7 2" xfId="8919"/>
    <cellStyle name="Обычный 16 7 7 3" xfId="8920"/>
    <cellStyle name="Обычный 16 7 8" xfId="8921"/>
    <cellStyle name="Обычный 16 7 8 2" xfId="8922"/>
    <cellStyle name="Обычный 16 7 8 3" xfId="8923"/>
    <cellStyle name="Обычный 16 7 9" xfId="8924"/>
    <cellStyle name="Обычный 16 7 9 2" xfId="8925"/>
    <cellStyle name="Обычный 16 7 9 3" xfId="8926"/>
    <cellStyle name="Обычный 16 70" xfId="8927"/>
    <cellStyle name="Обычный 16 70 2" xfId="8928"/>
    <cellStyle name="Обычный 16 70 3" xfId="8929"/>
    <cellStyle name="Обычный 16 71" xfId="8930"/>
    <cellStyle name="Обычный 16 72" xfId="8931"/>
    <cellStyle name="Обычный 16 8" xfId="8932"/>
    <cellStyle name="Обычный 16 8 10" xfId="8933"/>
    <cellStyle name="Обычный 16 8 10 2" xfId="8934"/>
    <cellStyle name="Обычный 16 8 10 3" xfId="8935"/>
    <cellStyle name="Обычный 16 8 11" xfId="8936"/>
    <cellStyle name="Обычный 16 8 11 2" xfId="8937"/>
    <cellStyle name="Обычный 16 8 11 3" xfId="8938"/>
    <cellStyle name="Обычный 16 8 12" xfId="8939"/>
    <cellStyle name="Обычный 16 8 12 2" xfId="8940"/>
    <cellStyle name="Обычный 16 8 12 3" xfId="8941"/>
    <cellStyle name="Обычный 16 8 13" xfId="8942"/>
    <cellStyle name="Обычный 16 8 13 2" xfId="8943"/>
    <cellStyle name="Обычный 16 8 13 3" xfId="8944"/>
    <cellStyle name="Обычный 16 8 14" xfId="8945"/>
    <cellStyle name="Обычный 16 8 14 2" xfId="8946"/>
    <cellStyle name="Обычный 16 8 14 3" xfId="8947"/>
    <cellStyle name="Обычный 16 8 15" xfId="8948"/>
    <cellStyle name="Обычный 16 8 15 2" xfId="8949"/>
    <cellStyle name="Обычный 16 8 15 3" xfId="8950"/>
    <cellStyle name="Обычный 16 8 16" xfId="8951"/>
    <cellStyle name="Обычный 16 8 16 2" xfId="8952"/>
    <cellStyle name="Обычный 16 8 16 3" xfId="8953"/>
    <cellStyle name="Обычный 16 8 17" xfId="8954"/>
    <cellStyle name="Обычный 16 8 17 2" xfId="8955"/>
    <cellStyle name="Обычный 16 8 17 3" xfId="8956"/>
    <cellStyle name="Обычный 16 8 18" xfId="8957"/>
    <cellStyle name="Обычный 16 8 18 2" xfId="8958"/>
    <cellStyle name="Обычный 16 8 18 3" xfId="8959"/>
    <cellStyle name="Обычный 16 8 19" xfId="8960"/>
    <cellStyle name="Обычный 16 8 19 2" xfId="8961"/>
    <cellStyle name="Обычный 16 8 19 3" xfId="8962"/>
    <cellStyle name="Обычный 16 8 2" xfId="8963"/>
    <cellStyle name="Обычный 16 8 2 2" xfId="8964"/>
    <cellStyle name="Обычный 16 8 2 3" xfId="8965"/>
    <cellStyle name="Обычный 16 8 20" xfId="8966"/>
    <cellStyle name="Обычный 16 8 20 2" xfId="8967"/>
    <cellStyle name="Обычный 16 8 20 3" xfId="8968"/>
    <cellStyle name="Обычный 16 8 21" xfId="8969"/>
    <cellStyle name="Обычный 16 8 21 2" xfId="8970"/>
    <cellStyle name="Обычный 16 8 21 3" xfId="8971"/>
    <cellStyle name="Обычный 16 8 22" xfId="8972"/>
    <cellStyle name="Обычный 16 8 22 2" xfId="8973"/>
    <cellStyle name="Обычный 16 8 22 3" xfId="8974"/>
    <cellStyle name="Обычный 16 8 23" xfId="8975"/>
    <cellStyle name="Обычный 16 8 23 2" xfId="8976"/>
    <cellStyle name="Обычный 16 8 23 3" xfId="8977"/>
    <cellStyle name="Обычный 16 8 24" xfId="8978"/>
    <cellStyle name="Обычный 16 8 24 2" xfId="8979"/>
    <cellStyle name="Обычный 16 8 24 3" xfId="8980"/>
    <cellStyle name="Обычный 16 8 25" xfId="8981"/>
    <cellStyle name="Обычный 16 8 25 2" xfId="8982"/>
    <cellStyle name="Обычный 16 8 25 3" xfId="8983"/>
    <cellStyle name="Обычный 16 8 26" xfId="8984"/>
    <cellStyle name="Обычный 16 8 26 2" xfId="8985"/>
    <cellStyle name="Обычный 16 8 26 3" xfId="8986"/>
    <cellStyle name="Обычный 16 8 27" xfId="8987"/>
    <cellStyle name="Обычный 16 8 27 2" xfId="8988"/>
    <cellStyle name="Обычный 16 8 27 3" xfId="8989"/>
    <cellStyle name="Обычный 16 8 28" xfId="8990"/>
    <cellStyle name="Обычный 16 8 28 2" xfId="8991"/>
    <cellStyle name="Обычный 16 8 28 3" xfId="8992"/>
    <cellStyle name="Обычный 16 8 29" xfId="8993"/>
    <cellStyle name="Обычный 16 8 29 2" xfId="8994"/>
    <cellStyle name="Обычный 16 8 29 3" xfId="8995"/>
    <cellStyle name="Обычный 16 8 3" xfId="8996"/>
    <cellStyle name="Обычный 16 8 3 2" xfId="8997"/>
    <cellStyle name="Обычный 16 8 3 3" xfId="8998"/>
    <cellStyle name="Обычный 16 8 30" xfId="8999"/>
    <cellStyle name="Обычный 16 8 30 2" xfId="9000"/>
    <cellStyle name="Обычный 16 8 30 3" xfId="9001"/>
    <cellStyle name="Обычный 16 8 31" xfId="9002"/>
    <cellStyle name="Обычный 16 8 31 2" xfId="9003"/>
    <cellStyle name="Обычный 16 8 31 3" xfId="9004"/>
    <cellStyle name="Обычный 16 8 32" xfId="9005"/>
    <cellStyle name="Обычный 16 8 32 2" xfId="9006"/>
    <cellStyle name="Обычный 16 8 32 3" xfId="9007"/>
    <cellStyle name="Обычный 16 8 33" xfId="9008"/>
    <cellStyle name="Обычный 16 8 33 2" xfId="9009"/>
    <cellStyle name="Обычный 16 8 33 3" xfId="9010"/>
    <cellStyle name="Обычный 16 8 34" xfId="9011"/>
    <cellStyle name="Обычный 16 8 34 2" xfId="9012"/>
    <cellStyle name="Обычный 16 8 34 3" xfId="9013"/>
    <cellStyle name="Обычный 16 8 35" xfId="9014"/>
    <cellStyle name="Обычный 16 8 35 2" xfId="9015"/>
    <cellStyle name="Обычный 16 8 35 3" xfId="9016"/>
    <cellStyle name="Обычный 16 8 36" xfId="9017"/>
    <cellStyle name="Обычный 16 8 36 2" xfId="9018"/>
    <cellStyle name="Обычный 16 8 36 3" xfId="9019"/>
    <cellStyle name="Обычный 16 8 37" xfId="9020"/>
    <cellStyle name="Обычный 16 8 37 2" xfId="9021"/>
    <cellStyle name="Обычный 16 8 37 3" xfId="9022"/>
    <cellStyle name="Обычный 16 8 38" xfId="9023"/>
    <cellStyle name="Обычный 16 8 38 2" xfId="9024"/>
    <cellStyle name="Обычный 16 8 38 3" xfId="9025"/>
    <cellStyle name="Обычный 16 8 39" xfId="9026"/>
    <cellStyle name="Обычный 16 8 39 2" xfId="9027"/>
    <cellStyle name="Обычный 16 8 39 3" xfId="9028"/>
    <cellStyle name="Обычный 16 8 4" xfId="9029"/>
    <cellStyle name="Обычный 16 8 4 2" xfId="9030"/>
    <cellStyle name="Обычный 16 8 4 3" xfId="9031"/>
    <cellStyle name="Обычный 16 8 40" xfId="9032"/>
    <cellStyle name="Обычный 16 8 40 2" xfId="9033"/>
    <cellStyle name="Обычный 16 8 40 3" xfId="9034"/>
    <cellStyle name="Обычный 16 8 41" xfId="9035"/>
    <cellStyle name="Обычный 16 8 41 2" xfId="9036"/>
    <cellStyle name="Обычный 16 8 41 3" xfId="9037"/>
    <cellStyle name="Обычный 16 8 42" xfId="9038"/>
    <cellStyle name="Обычный 16 8 42 2" xfId="9039"/>
    <cellStyle name="Обычный 16 8 42 3" xfId="9040"/>
    <cellStyle name="Обычный 16 8 43" xfId="9041"/>
    <cellStyle name="Обычный 16 8 43 2" xfId="9042"/>
    <cellStyle name="Обычный 16 8 43 3" xfId="9043"/>
    <cellStyle name="Обычный 16 8 44" xfId="9044"/>
    <cellStyle name="Обычный 16 8 44 2" xfId="9045"/>
    <cellStyle name="Обычный 16 8 44 3" xfId="9046"/>
    <cellStyle name="Обычный 16 8 45" xfId="9047"/>
    <cellStyle name="Обычный 16 8 45 2" xfId="9048"/>
    <cellStyle name="Обычный 16 8 45 3" xfId="9049"/>
    <cellStyle name="Обычный 16 8 46" xfId="9050"/>
    <cellStyle name="Обычный 16 8 46 2" xfId="9051"/>
    <cellStyle name="Обычный 16 8 46 3" xfId="9052"/>
    <cellStyle name="Обычный 16 8 47" xfId="9053"/>
    <cellStyle name="Обычный 16 8 47 2" xfId="9054"/>
    <cellStyle name="Обычный 16 8 47 3" xfId="9055"/>
    <cellStyle name="Обычный 16 8 48" xfId="9056"/>
    <cellStyle name="Обычный 16 8 48 2" xfId="9057"/>
    <cellStyle name="Обычный 16 8 48 3" xfId="9058"/>
    <cellStyle name="Обычный 16 8 49" xfId="9059"/>
    <cellStyle name="Обычный 16 8 49 2" xfId="9060"/>
    <cellStyle name="Обычный 16 8 49 3" xfId="9061"/>
    <cellStyle name="Обычный 16 8 5" xfId="9062"/>
    <cellStyle name="Обычный 16 8 5 2" xfId="9063"/>
    <cellStyle name="Обычный 16 8 5 3" xfId="9064"/>
    <cellStyle name="Обычный 16 8 50" xfId="9065"/>
    <cellStyle name="Обычный 16 8 50 2" xfId="9066"/>
    <cellStyle name="Обычный 16 8 50 3" xfId="9067"/>
    <cellStyle name="Обычный 16 8 51" xfId="9068"/>
    <cellStyle name="Обычный 16 8 51 2" xfId="9069"/>
    <cellStyle name="Обычный 16 8 51 3" xfId="9070"/>
    <cellStyle name="Обычный 16 8 52" xfId="9071"/>
    <cellStyle name="Обычный 16 8 52 2" xfId="9072"/>
    <cellStyle name="Обычный 16 8 52 3" xfId="9073"/>
    <cellStyle name="Обычный 16 8 53" xfId="9074"/>
    <cellStyle name="Обычный 16 8 53 2" xfId="9075"/>
    <cellStyle name="Обычный 16 8 53 3" xfId="9076"/>
    <cellStyle name="Обычный 16 8 54" xfId="9077"/>
    <cellStyle name="Обычный 16 8 54 2" xfId="9078"/>
    <cellStyle name="Обычный 16 8 54 3" xfId="9079"/>
    <cellStyle name="Обычный 16 8 55" xfId="9080"/>
    <cellStyle name="Обычный 16 8 55 2" xfId="9081"/>
    <cellStyle name="Обычный 16 8 55 3" xfId="9082"/>
    <cellStyle name="Обычный 16 8 56" xfId="9083"/>
    <cellStyle name="Обычный 16 8 56 2" xfId="9084"/>
    <cellStyle name="Обычный 16 8 56 3" xfId="9085"/>
    <cellStyle name="Обычный 16 8 57" xfId="9086"/>
    <cellStyle name="Обычный 16 8 57 2" xfId="9087"/>
    <cellStyle name="Обычный 16 8 57 3" xfId="9088"/>
    <cellStyle name="Обычный 16 8 58" xfId="9089"/>
    <cellStyle name="Обычный 16 8 58 2" xfId="9090"/>
    <cellStyle name="Обычный 16 8 58 3" xfId="9091"/>
    <cellStyle name="Обычный 16 8 59" xfId="9092"/>
    <cellStyle name="Обычный 16 8 59 2" xfId="9093"/>
    <cellStyle name="Обычный 16 8 59 3" xfId="9094"/>
    <cellStyle name="Обычный 16 8 6" xfId="9095"/>
    <cellStyle name="Обычный 16 8 6 2" xfId="9096"/>
    <cellStyle name="Обычный 16 8 6 3" xfId="9097"/>
    <cellStyle name="Обычный 16 8 60" xfId="9098"/>
    <cellStyle name="Обычный 16 8 60 2" xfId="9099"/>
    <cellStyle name="Обычный 16 8 60 3" xfId="9100"/>
    <cellStyle name="Обычный 16 8 61" xfId="9101"/>
    <cellStyle name="Обычный 16 8 61 2" xfId="9102"/>
    <cellStyle name="Обычный 16 8 61 3" xfId="9103"/>
    <cellStyle name="Обычный 16 8 62" xfId="9104"/>
    <cellStyle name="Обычный 16 8 62 2" xfId="9105"/>
    <cellStyle name="Обычный 16 8 62 3" xfId="9106"/>
    <cellStyle name="Обычный 16 8 63" xfId="9107"/>
    <cellStyle name="Обычный 16 8 63 2" xfId="9108"/>
    <cellStyle name="Обычный 16 8 63 3" xfId="9109"/>
    <cellStyle name="Обычный 16 8 64" xfId="9110"/>
    <cellStyle name="Обычный 16 8 65" xfId="9111"/>
    <cellStyle name="Обычный 16 8 7" xfId="9112"/>
    <cellStyle name="Обычный 16 8 7 2" xfId="9113"/>
    <cellStyle name="Обычный 16 8 7 3" xfId="9114"/>
    <cellStyle name="Обычный 16 8 8" xfId="9115"/>
    <cellStyle name="Обычный 16 8 8 2" xfId="9116"/>
    <cellStyle name="Обычный 16 8 8 3" xfId="9117"/>
    <cellStyle name="Обычный 16 8 9" xfId="9118"/>
    <cellStyle name="Обычный 16 8 9 2" xfId="9119"/>
    <cellStyle name="Обычный 16 8 9 3" xfId="9120"/>
    <cellStyle name="Обычный 16 9" xfId="9121"/>
    <cellStyle name="Обычный 16 9 2" xfId="9122"/>
    <cellStyle name="Обычный 16 9 3" xfId="9123"/>
    <cellStyle name="Обычный 17" xfId="9124"/>
    <cellStyle name="Обычный 17 10" xfId="9125"/>
    <cellStyle name="Обычный 17 10 2" xfId="9126"/>
    <cellStyle name="Обычный 17 10 3" xfId="9127"/>
    <cellStyle name="Обычный 17 11" xfId="9128"/>
    <cellStyle name="Обычный 17 11 2" xfId="9129"/>
    <cellStyle name="Обычный 17 11 3" xfId="9130"/>
    <cellStyle name="Обычный 17 12" xfId="9131"/>
    <cellStyle name="Обычный 17 12 2" xfId="9132"/>
    <cellStyle name="Обычный 17 12 3" xfId="9133"/>
    <cellStyle name="Обычный 17 13" xfId="9134"/>
    <cellStyle name="Обычный 17 13 2" xfId="9135"/>
    <cellStyle name="Обычный 17 13 3" xfId="9136"/>
    <cellStyle name="Обычный 17 14" xfId="9137"/>
    <cellStyle name="Обычный 17 14 2" xfId="9138"/>
    <cellStyle name="Обычный 17 14 3" xfId="9139"/>
    <cellStyle name="Обычный 17 15" xfId="9140"/>
    <cellStyle name="Обычный 17 15 2" xfId="9141"/>
    <cellStyle name="Обычный 17 15 3" xfId="9142"/>
    <cellStyle name="Обычный 17 16" xfId="9143"/>
    <cellStyle name="Обычный 17 16 2" xfId="9144"/>
    <cellStyle name="Обычный 17 16 3" xfId="9145"/>
    <cellStyle name="Обычный 17 17" xfId="9146"/>
    <cellStyle name="Обычный 17 17 2" xfId="9147"/>
    <cellStyle name="Обычный 17 17 3" xfId="9148"/>
    <cellStyle name="Обычный 17 18" xfId="9149"/>
    <cellStyle name="Обычный 17 18 2" xfId="9150"/>
    <cellStyle name="Обычный 17 18 3" xfId="9151"/>
    <cellStyle name="Обычный 17 19" xfId="9152"/>
    <cellStyle name="Обычный 17 19 2" xfId="9153"/>
    <cellStyle name="Обычный 17 19 3" xfId="9154"/>
    <cellStyle name="Обычный 17 2" xfId="9155"/>
    <cellStyle name="Обычный 17 2 2" xfId="9156"/>
    <cellStyle name="Обычный 17 2 2 10" xfId="9157"/>
    <cellStyle name="Обычный 17 2 2 10 2" xfId="9158"/>
    <cellStyle name="Обычный 17 2 2 10 3" xfId="9159"/>
    <cellStyle name="Обычный 17 2 2 11" xfId="9160"/>
    <cellStyle name="Обычный 17 2 2 11 2" xfId="9161"/>
    <cellStyle name="Обычный 17 2 2 11 3" xfId="9162"/>
    <cellStyle name="Обычный 17 2 2 12" xfId="9163"/>
    <cellStyle name="Обычный 17 2 2 12 2" xfId="9164"/>
    <cellStyle name="Обычный 17 2 2 12 3" xfId="9165"/>
    <cellStyle name="Обычный 17 2 2 13" xfId="9166"/>
    <cellStyle name="Обычный 17 2 2 13 2" xfId="9167"/>
    <cellStyle name="Обычный 17 2 2 13 3" xfId="9168"/>
    <cellStyle name="Обычный 17 2 2 14" xfId="9169"/>
    <cellStyle name="Обычный 17 2 2 14 2" xfId="9170"/>
    <cellStyle name="Обычный 17 2 2 14 3" xfId="9171"/>
    <cellStyle name="Обычный 17 2 2 15" xfId="9172"/>
    <cellStyle name="Обычный 17 2 2 15 2" xfId="9173"/>
    <cellStyle name="Обычный 17 2 2 15 3" xfId="9174"/>
    <cellStyle name="Обычный 17 2 2 16" xfId="9175"/>
    <cellStyle name="Обычный 17 2 2 16 2" xfId="9176"/>
    <cellStyle name="Обычный 17 2 2 16 3" xfId="9177"/>
    <cellStyle name="Обычный 17 2 2 17" xfId="9178"/>
    <cellStyle name="Обычный 17 2 2 17 2" xfId="9179"/>
    <cellStyle name="Обычный 17 2 2 17 3" xfId="9180"/>
    <cellStyle name="Обычный 17 2 2 18" xfId="9181"/>
    <cellStyle name="Обычный 17 2 2 18 2" xfId="9182"/>
    <cellStyle name="Обычный 17 2 2 18 3" xfId="9183"/>
    <cellStyle name="Обычный 17 2 2 19" xfId="9184"/>
    <cellStyle name="Обычный 17 2 2 19 2" xfId="9185"/>
    <cellStyle name="Обычный 17 2 2 19 3" xfId="9186"/>
    <cellStyle name="Обычный 17 2 2 2" xfId="9187"/>
    <cellStyle name="Обычный 17 2 2 20" xfId="9188"/>
    <cellStyle name="Обычный 17 2 2 20 2" xfId="9189"/>
    <cellStyle name="Обычный 17 2 2 20 3" xfId="9190"/>
    <cellStyle name="Обычный 17 2 2 21" xfId="9191"/>
    <cellStyle name="Обычный 17 2 2 21 2" xfId="9192"/>
    <cellStyle name="Обычный 17 2 2 21 3" xfId="9193"/>
    <cellStyle name="Обычный 17 2 2 22" xfId="9194"/>
    <cellStyle name="Обычный 17 2 2 22 2" xfId="9195"/>
    <cellStyle name="Обычный 17 2 2 22 3" xfId="9196"/>
    <cellStyle name="Обычный 17 2 2 23" xfId="9197"/>
    <cellStyle name="Обычный 17 2 2 23 2" xfId="9198"/>
    <cellStyle name="Обычный 17 2 2 23 3" xfId="9199"/>
    <cellStyle name="Обычный 17 2 2 24" xfId="9200"/>
    <cellStyle name="Обычный 17 2 2 24 2" xfId="9201"/>
    <cellStyle name="Обычный 17 2 2 24 3" xfId="9202"/>
    <cellStyle name="Обычный 17 2 2 25" xfId="9203"/>
    <cellStyle name="Обычный 17 2 2 25 2" xfId="9204"/>
    <cellStyle name="Обычный 17 2 2 25 3" xfId="9205"/>
    <cellStyle name="Обычный 17 2 2 26" xfId="9206"/>
    <cellStyle name="Обычный 17 2 2 26 2" xfId="9207"/>
    <cellStyle name="Обычный 17 2 2 26 3" xfId="9208"/>
    <cellStyle name="Обычный 17 2 2 27" xfId="9209"/>
    <cellStyle name="Обычный 17 2 2 27 2" xfId="9210"/>
    <cellStyle name="Обычный 17 2 2 27 3" xfId="9211"/>
    <cellStyle name="Обычный 17 2 2 28" xfId="9212"/>
    <cellStyle name="Обычный 17 2 2 28 2" xfId="9213"/>
    <cellStyle name="Обычный 17 2 2 28 3" xfId="9214"/>
    <cellStyle name="Обычный 17 2 2 29" xfId="9215"/>
    <cellStyle name="Обычный 17 2 2 29 2" xfId="9216"/>
    <cellStyle name="Обычный 17 2 2 29 3" xfId="9217"/>
    <cellStyle name="Обычный 17 2 2 3" xfId="9218"/>
    <cellStyle name="Обычный 17 2 2 30" xfId="9219"/>
    <cellStyle name="Обычный 17 2 2 30 2" xfId="9220"/>
    <cellStyle name="Обычный 17 2 2 30 3" xfId="9221"/>
    <cellStyle name="Обычный 17 2 2 31" xfId="9222"/>
    <cellStyle name="Обычный 17 2 2 31 2" xfId="9223"/>
    <cellStyle name="Обычный 17 2 2 31 3" xfId="9224"/>
    <cellStyle name="Обычный 17 2 2 32" xfId="9225"/>
    <cellStyle name="Обычный 17 2 2 32 2" xfId="9226"/>
    <cellStyle name="Обычный 17 2 2 32 3" xfId="9227"/>
    <cellStyle name="Обычный 17 2 2 33" xfId="9228"/>
    <cellStyle name="Обычный 17 2 2 33 2" xfId="9229"/>
    <cellStyle name="Обычный 17 2 2 33 3" xfId="9230"/>
    <cellStyle name="Обычный 17 2 2 34" xfId="9231"/>
    <cellStyle name="Обычный 17 2 2 34 2" xfId="9232"/>
    <cellStyle name="Обычный 17 2 2 34 3" xfId="9233"/>
    <cellStyle name="Обычный 17 2 2 35" xfId="9234"/>
    <cellStyle name="Обычный 17 2 2 35 2" xfId="9235"/>
    <cellStyle name="Обычный 17 2 2 35 3" xfId="9236"/>
    <cellStyle name="Обычный 17 2 2 36" xfId="9237"/>
    <cellStyle name="Обычный 17 2 2 36 2" xfId="9238"/>
    <cellStyle name="Обычный 17 2 2 36 3" xfId="9239"/>
    <cellStyle name="Обычный 17 2 2 37" xfId="9240"/>
    <cellStyle name="Обычный 17 2 2 37 2" xfId="9241"/>
    <cellStyle name="Обычный 17 2 2 37 3" xfId="9242"/>
    <cellStyle name="Обычный 17 2 2 38" xfId="9243"/>
    <cellStyle name="Обычный 17 2 2 38 2" xfId="9244"/>
    <cellStyle name="Обычный 17 2 2 38 3" xfId="9245"/>
    <cellStyle name="Обычный 17 2 2 39" xfId="9246"/>
    <cellStyle name="Обычный 17 2 2 39 2" xfId="9247"/>
    <cellStyle name="Обычный 17 2 2 39 3" xfId="9248"/>
    <cellStyle name="Обычный 17 2 2 4" xfId="9249"/>
    <cellStyle name="Обычный 17 2 2 40" xfId="9250"/>
    <cellStyle name="Обычный 17 2 2 40 2" xfId="9251"/>
    <cellStyle name="Обычный 17 2 2 40 3" xfId="9252"/>
    <cellStyle name="Обычный 17 2 2 41" xfId="9253"/>
    <cellStyle name="Обычный 17 2 2 41 2" xfId="9254"/>
    <cellStyle name="Обычный 17 2 2 41 3" xfId="9255"/>
    <cellStyle name="Обычный 17 2 2 42" xfId="9256"/>
    <cellStyle name="Обычный 17 2 2 42 2" xfId="9257"/>
    <cellStyle name="Обычный 17 2 2 42 3" xfId="9258"/>
    <cellStyle name="Обычный 17 2 2 43" xfId="9259"/>
    <cellStyle name="Обычный 17 2 2 43 2" xfId="9260"/>
    <cellStyle name="Обычный 17 2 2 43 3" xfId="9261"/>
    <cellStyle name="Обычный 17 2 2 44" xfId="9262"/>
    <cellStyle name="Обычный 17 2 2 44 2" xfId="9263"/>
    <cellStyle name="Обычный 17 2 2 44 3" xfId="9264"/>
    <cellStyle name="Обычный 17 2 2 45" xfId="9265"/>
    <cellStyle name="Обычный 17 2 2 45 2" xfId="9266"/>
    <cellStyle name="Обычный 17 2 2 45 3" xfId="9267"/>
    <cellStyle name="Обычный 17 2 2 46" xfId="9268"/>
    <cellStyle name="Обычный 17 2 2 46 2" xfId="9269"/>
    <cellStyle name="Обычный 17 2 2 46 3" xfId="9270"/>
    <cellStyle name="Обычный 17 2 2 47" xfId="9271"/>
    <cellStyle name="Обычный 17 2 2 47 2" xfId="9272"/>
    <cellStyle name="Обычный 17 2 2 47 3" xfId="9273"/>
    <cellStyle name="Обычный 17 2 2 48" xfId="9274"/>
    <cellStyle name="Обычный 17 2 2 48 2" xfId="9275"/>
    <cellStyle name="Обычный 17 2 2 48 3" xfId="9276"/>
    <cellStyle name="Обычный 17 2 2 49" xfId="9277"/>
    <cellStyle name="Обычный 17 2 2 49 2" xfId="9278"/>
    <cellStyle name="Обычный 17 2 2 49 3" xfId="9279"/>
    <cellStyle name="Обычный 17 2 2 5" xfId="9280"/>
    <cellStyle name="Обычный 17 2 2 50" xfId="9281"/>
    <cellStyle name="Обычный 17 2 2 50 2" xfId="9282"/>
    <cellStyle name="Обычный 17 2 2 50 3" xfId="9283"/>
    <cellStyle name="Обычный 17 2 2 51" xfId="9284"/>
    <cellStyle name="Обычный 17 2 2 51 2" xfId="9285"/>
    <cellStyle name="Обычный 17 2 2 51 3" xfId="9286"/>
    <cellStyle name="Обычный 17 2 2 52" xfId="9287"/>
    <cellStyle name="Обычный 17 2 2 52 2" xfId="9288"/>
    <cellStyle name="Обычный 17 2 2 52 3" xfId="9289"/>
    <cellStyle name="Обычный 17 2 2 53" xfId="9290"/>
    <cellStyle name="Обычный 17 2 2 53 2" xfId="9291"/>
    <cellStyle name="Обычный 17 2 2 53 3" xfId="9292"/>
    <cellStyle name="Обычный 17 2 2 54" xfId="9293"/>
    <cellStyle name="Обычный 17 2 2 54 2" xfId="9294"/>
    <cellStyle name="Обычный 17 2 2 54 3" xfId="9295"/>
    <cellStyle name="Обычный 17 2 2 55" xfId="9296"/>
    <cellStyle name="Обычный 17 2 2 55 2" xfId="9297"/>
    <cellStyle name="Обычный 17 2 2 55 3" xfId="9298"/>
    <cellStyle name="Обычный 17 2 2 56" xfId="9299"/>
    <cellStyle name="Обычный 17 2 2 56 2" xfId="9300"/>
    <cellStyle name="Обычный 17 2 2 56 3" xfId="9301"/>
    <cellStyle name="Обычный 17 2 2 57" xfId="9302"/>
    <cellStyle name="Обычный 17 2 2 57 2" xfId="9303"/>
    <cellStyle name="Обычный 17 2 2 57 3" xfId="9304"/>
    <cellStyle name="Обычный 17 2 2 58" xfId="9305"/>
    <cellStyle name="Обычный 17 2 2 58 2" xfId="9306"/>
    <cellStyle name="Обычный 17 2 2 58 3" xfId="9307"/>
    <cellStyle name="Обычный 17 2 2 59" xfId="9308"/>
    <cellStyle name="Обычный 17 2 2 59 2" xfId="9309"/>
    <cellStyle name="Обычный 17 2 2 59 3" xfId="9310"/>
    <cellStyle name="Обычный 17 2 2 6" xfId="9311"/>
    <cellStyle name="Обычный 17 2 2 60" xfId="9312"/>
    <cellStyle name="Обычный 17 2 2 60 2" xfId="9313"/>
    <cellStyle name="Обычный 17 2 2 60 3" xfId="9314"/>
    <cellStyle name="Обычный 17 2 2 61" xfId="9315"/>
    <cellStyle name="Обычный 17 2 2 61 2" xfId="9316"/>
    <cellStyle name="Обычный 17 2 2 61 3" xfId="9317"/>
    <cellStyle name="Обычный 17 2 2 62" xfId="9318"/>
    <cellStyle name="Обычный 17 2 2 62 2" xfId="9319"/>
    <cellStyle name="Обычный 17 2 2 62 3" xfId="9320"/>
    <cellStyle name="Обычный 17 2 2 63" xfId="9321"/>
    <cellStyle name="Обычный 17 2 2 63 2" xfId="9322"/>
    <cellStyle name="Обычный 17 2 2 63 3" xfId="9323"/>
    <cellStyle name="Обычный 17 2 2 64" xfId="9324"/>
    <cellStyle name="Обычный 17 2 2 64 2" xfId="9325"/>
    <cellStyle name="Обычный 17 2 2 64 3" xfId="9326"/>
    <cellStyle name="Обычный 17 2 2 65" xfId="9327"/>
    <cellStyle name="Обычный 17 2 2 65 2" xfId="9328"/>
    <cellStyle name="Обычный 17 2 2 65 3" xfId="9329"/>
    <cellStyle name="Обычный 17 2 2 66" xfId="9330"/>
    <cellStyle name="Обычный 17 2 2 66 2" xfId="9331"/>
    <cellStyle name="Обычный 17 2 2 66 3" xfId="9332"/>
    <cellStyle name="Обычный 17 2 2 67" xfId="9333"/>
    <cellStyle name="Обычный 17 2 2 67 2" xfId="9334"/>
    <cellStyle name="Обычный 17 2 2 67 3" xfId="9335"/>
    <cellStyle name="Обычный 17 2 2 68" xfId="9336"/>
    <cellStyle name="Обычный 17 2 2 68 2" xfId="9337"/>
    <cellStyle name="Обычный 17 2 2 68 3" xfId="9338"/>
    <cellStyle name="Обычный 17 2 2 69" xfId="9339"/>
    <cellStyle name="Обычный 17 2 2 7" xfId="9340"/>
    <cellStyle name="Обычный 17 2 2 7 2" xfId="9341"/>
    <cellStyle name="Обычный 17 2 2 7 3" xfId="9342"/>
    <cellStyle name="Обычный 17 2 2 70" xfId="9343"/>
    <cellStyle name="Обычный 17 2 2 8" xfId="9344"/>
    <cellStyle name="Обычный 17 2 2 8 2" xfId="9345"/>
    <cellStyle name="Обычный 17 2 2 8 3" xfId="9346"/>
    <cellStyle name="Обычный 17 2 2 9" xfId="9347"/>
    <cellStyle name="Обычный 17 2 2 9 2" xfId="9348"/>
    <cellStyle name="Обычный 17 2 2 9 3" xfId="9349"/>
    <cellStyle name="Обычный 17 2 3" xfId="9350"/>
    <cellStyle name="Обычный 17 2 3 10" xfId="9351"/>
    <cellStyle name="Обычный 17 2 3 10 2" xfId="9352"/>
    <cellStyle name="Обычный 17 2 3 10 3" xfId="9353"/>
    <cellStyle name="Обычный 17 2 3 11" xfId="9354"/>
    <cellStyle name="Обычный 17 2 3 11 2" xfId="9355"/>
    <cellStyle name="Обычный 17 2 3 11 3" xfId="9356"/>
    <cellStyle name="Обычный 17 2 3 12" xfId="9357"/>
    <cellStyle name="Обычный 17 2 3 12 2" xfId="9358"/>
    <cellStyle name="Обычный 17 2 3 12 3" xfId="9359"/>
    <cellStyle name="Обычный 17 2 3 13" xfId="9360"/>
    <cellStyle name="Обычный 17 2 3 13 2" xfId="9361"/>
    <cellStyle name="Обычный 17 2 3 13 3" xfId="9362"/>
    <cellStyle name="Обычный 17 2 3 14" xfId="9363"/>
    <cellStyle name="Обычный 17 2 3 14 2" xfId="9364"/>
    <cellStyle name="Обычный 17 2 3 14 3" xfId="9365"/>
    <cellStyle name="Обычный 17 2 3 15" xfId="9366"/>
    <cellStyle name="Обычный 17 2 3 15 2" xfId="9367"/>
    <cellStyle name="Обычный 17 2 3 15 3" xfId="9368"/>
    <cellStyle name="Обычный 17 2 3 16" xfId="9369"/>
    <cellStyle name="Обычный 17 2 3 16 2" xfId="9370"/>
    <cellStyle name="Обычный 17 2 3 16 3" xfId="9371"/>
    <cellStyle name="Обычный 17 2 3 17" xfId="9372"/>
    <cellStyle name="Обычный 17 2 3 17 2" xfId="9373"/>
    <cellStyle name="Обычный 17 2 3 17 3" xfId="9374"/>
    <cellStyle name="Обычный 17 2 3 18" xfId="9375"/>
    <cellStyle name="Обычный 17 2 3 18 2" xfId="9376"/>
    <cellStyle name="Обычный 17 2 3 18 3" xfId="9377"/>
    <cellStyle name="Обычный 17 2 3 19" xfId="9378"/>
    <cellStyle name="Обычный 17 2 3 19 2" xfId="9379"/>
    <cellStyle name="Обычный 17 2 3 19 3" xfId="9380"/>
    <cellStyle name="Обычный 17 2 3 2" xfId="9381"/>
    <cellStyle name="Обычный 17 2 3 2 2" xfId="9382"/>
    <cellStyle name="Обычный 17 2 3 2 3" xfId="9383"/>
    <cellStyle name="Обычный 17 2 3 20" xfId="9384"/>
    <cellStyle name="Обычный 17 2 3 20 2" xfId="9385"/>
    <cellStyle name="Обычный 17 2 3 20 3" xfId="9386"/>
    <cellStyle name="Обычный 17 2 3 21" xfId="9387"/>
    <cellStyle name="Обычный 17 2 3 21 2" xfId="9388"/>
    <cellStyle name="Обычный 17 2 3 21 3" xfId="9389"/>
    <cellStyle name="Обычный 17 2 3 22" xfId="9390"/>
    <cellStyle name="Обычный 17 2 3 22 2" xfId="9391"/>
    <cellStyle name="Обычный 17 2 3 22 3" xfId="9392"/>
    <cellStyle name="Обычный 17 2 3 23" xfId="9393"/>
    <cellStyle name="Обычный 17 2 3 23 2" xfId="9394"/>
    <cellStyle name="Обычный 17 2 3 23 3" xfId="9395"/>
    <cellStyle name="Обычный 17 2 3 24" xfId="9396"/>
    <cellStyle name="Обычный 17 2 3 24 2" xfId="9397"/>
    <cellStyle name="Обычный 17 2 3 24 3" xfId="9398"/>
    <cellStyle name="Обычный 17 2 3 25" xfId="9399"/>
    <cellStyle name="Обычный 17 2 3 25 2" xfId="9400"/>
    <cellStyle name="Обычный 17 2 3 25 3" xfId="9401"/>
    <cellStyle name="Обычный 17 2 3 26" xfId="9402"/>
    <cellStyle name="Обычный 17 2 3 26 2" xfId="9403"/>
    <cellStyle name="Обычный 17 2 3 26 3" xfId="9404"/>
    <cellStyle name="Обычный 17 2 3 27" xfId="9405"/>
    <cellStyle name="Обычный 17 2 3 27 2" xfId="9406"/>
    <cellStyle name="Обычный 17 2 3 27 3" xfId="9407"/>
    <cellStyle name="Обычный 17 2 3 28" xfId="9408"/>
    <cellStyle name="Обычный 17 2 3 28 2" xfId="9409"/>
    <cellStyle name="Обычный 17 2 3 28 3" xfId="9410"/>
    <cellStyle name="Обычный 17 2 3 29" xfId="9411"/>
    <cellStyle name="Обычный 17 2 3 29 2" xfId="9412"/>
    <cellStyle name="Обычный 17 2 3 29 3" xfId="9413"/>
    <cellStyle name="Обычный 17 2 3 3" xfId="9414"/>
    <cellStyle name="Обычный 17 2 3 3 2" xfId="9415"/>
    <cellStyle name="Обычный 17 2 3 3 3" xfId="9416"/>
    <cellStyle name="Обычный 17 2 3 30" xfId="9417"/>
    <cellStyle name="Обычный 17 2 3 30 2" xfId="9418"/>
    <cellStyle name="Обычный 17 2 3 30 3" xfId="9419"/>
    <cellStyle name="Обычный 17 2 3 31" xfId="9420"/>
    <cellStyle name="Обычный 17 2 3 31 2" xfId="9421"/>
    <cellStyle name="Обычный 17 2 3 31 3" xfId="9422"/>
    <cellStyle name="Обычный 17 2 3 32" xfId="9423"/>
    <cellStyle name="Обычный 17 2 3 32 2" xfId="9424"/>
    <cellStyle name="Обычный 17 2 3 32 3" xfId="9425"/>
    <cellStyle name="Обычный 17 2 3 33" xfId="9426"/>
    <cellStyle name="Обычный 17 2 3 33 2" xfId="9427"/>
    <cellStyle name="Обычный 17 2 3 33 3" xfId="9428"/>
    <cellStyle name="Обычный 17 2 3 34" xfId="9429"/>
    <cellStyle name="Обычный 17 2 3 34 2" xfId="9430"/>
    <cellStyle name="Обычный 17 2 3 34 3" xfId="9431"/>
    <cellStyle name="Обычный 17 2 3 35" xfId="9432"/>
    <cellStyle name="Обычный 17 2 3 35 2" xfId="9433"/>
    <cellStyle name="Обычный 17 2 3 35 3" xfId="9434"/>
    <cellStyle name="Обычный 17 2 3 36" xfId="9435"/>
    <cellStyle name="Обычный 17 2 3 36 2" xfId="9436"/>
    <cellStyle name="Обычный 17 2 3 36 3" xfId="9437"/>
    <cellStyle name="Обычный 17 2 3 37" xfId="9438"/>
    <cellStyle name="Обычный 17 2 3 37 2" xfId="9439"/>
    <cellStyle name="Обычный 17 2 3 37 3" xfId="9440"/>
    <cellStyle name="Обычный 17 2 3 38" xfId="9441"/>
    <cellStyle name="Обычный 17 2 3 38 2" xfId="9442"/>
    <cellStyle name="Обычный 17 2 3 38 3" xfId="9443"/>
    <cellStyle name="Обычный 17 2 3 39" xfId="9444"/>
    <cellStyle name="Обычный 17 2 3 39 2" xfId="9445"/>
    <cellStyle name="Обычный 17 2 3 39 3" xfId="9446"/>
    <cellStyle name="Обычный 17 2 3 4" xfId="9447"/>
    <cellStyle name="Обычный 17 2 3 4 2" xfId="9448"/>
    <cellStyle name="Обычный 17 2 3 4 3" xfId="9449"/>
    <cellStyle name="Обычный 17 2 3 40" xfId="9450"/>
    <cellStyle name="Обычный 17 2 3 40 2" xfId="9451"/>
    <cellStyle name="Обычный 17 2 3 40 3" xfId="9452"/>
    <cellStyle name="Обычный 17 2 3 41" xfId="9453"/>
    <cellStyle name="Обычный 17 2 3 41 2" xfId="9454"/>
    <cellStyle name="Обычный 17 2 3 41 3" xfId="9455"/>
    <cellStyle name="Обычный 17 2 3 42" xfId="9456"/>
    <cellStyle name="Обычный 17 2 3 42 2" xfId="9457"/>
    <cellStyle name="Обычный 17 2 3 42 3" xfId="9458"/>
    <cellStyle name="Обычный 17 2 3 43" xfId="9459"/>
    <cellStyle name="Обычный 17 2 3 43 2" xfId="9460"/>
    <cellStyle name="Обычный 17 2 3 43 3" xfId="9461"/>
    <cellStyle name="Обычный 17 2 3 44" xfId="9462"/>
    <cellStyle name="Обычный 17 2 3 44 2" xfId="9463"/>
    <cellStyle name="Обычный 17 2 3 44 3" xfId="9464"/>
    <cellStyle name="Обычный 17 2 3 45" xfId="9465"/>
    <cellStyle name="Обычный 17 2 3 45 2" xfId="9466"/>
    <cellStyle name="Обычный 17 2 3 45 3" xfId="9467"/>
    <cellStyle name="Обычный 17 2 3 46" xfId="9468"/>
    <cellStyle name="Обычный 17 2 3 46 2" xfId="9469"/>
    <cellStyle name="Обычный 17 2 3 46 3" xfId="9470"/>
    <cellStyle name="Обычный 17 2 3 47" xfId="9471"/>
    <cellStyle name="Обычный 17 2 3 47 2" xfId="9472"/>
    <cellStyle name="Обычный 17 2 3 47 3" xfId="9473"/>
    <cellStyle name="Обычный 17 2 3 48" xfId="9474"/>
    <cellStyle name="Обычный 17 2 3 48 2" xfId="9475"/>
    <cellStyle name="Обычный 17 2 3 48 3" xfId="9476"/>
    <cellStyle name="Обычный 17 2 3 49" xfId="9477"/>
    <cellStyle name="Обычный 17 2 3 49 2" xfId="9478"/>
    <cellStyle name="Обычный 17 2 3 49 3" xfId="9479"/>
    <cellStyle name="Обычный 17 2 3 5" xfId="9480"/>
    <cellStyle name="Обычный 17 2 3 5 2" xfId="9481"/>
    <cellStyle name="Обычный 17 2 3 5 3" xfId="9482"/>
    <cellStyle name="Обычный 17 2 3 50" xfId="9483"/>
    <cellStyle name="Обычный 17 2 3 50 2" xfId="9484"/>
    <cellStyle name="Обычный 17 2 3 50 3" xfId="9485"/>
    <cellStyle name="Обычный 17 2 3 51" xfId="9486"/>
    <cellStyle name="Обычный 17 2 3 51 2" xfId="9487"/>
    <cellStyle name="Обычный 17 2 3 51 3" xfId="9488"/>
    <cellStyle name="Обычный 17 2 3 52" xfId="9489"/>
    <cellStyle name="Обычный 17 2 3 52 2" xfId="9490"/>
    <cellStyle name="Обычный 17 2 3 52 3" xfId="9491"/>
    <cellStyle name="Обычный 17 2 3 53" xfId="9492"/>
    <cellStyle name="Обычный 17 2 3 53 2" xfId="9493"/>
    <cellStyle name="Обычный 17 2 3 53 3" xfId="9494"/>
    <cellStyle name="Обычный 17 2 3 54" xfId="9495"/>
    <cellStyle name="Обычный 17 2 3 54 2" xfId="9496"/>
    <cellStyle name="Обычный 17 2 3 54 3" xfId="9497"/>
    <cellStyle name="Обычный 17 2 3 55" xfId="9498"/>
    <cellStyle name="Обычный 17 2 3 55 2" xfId="9499"/>
    <cellStyle name="Обычный 17 2 3 55 3" xfId="9500"/>
    <cellStyle name="Обычный 17 2 3 56" xfId="9501"/>
    <cellStyle name="Обычный 17 2 3 56 2" xfId="9502"/>
    <cellStyle name="Обычный 17 2 3 56 3" xfId="9503"/>
    <cellStyle name="Обычный 17 2 3 57" xfId="9504"/>
    <cellStyle name="Обычный 17 2 3 57 2" xfId="9505"/>
    <cellStyle name="Обычный 17 2 3 57 3" xfId="9506"/>
    <cellStyle name="Обычный 17 2 3 58" xfId="9507"/>
    <cellStyle name="Обычный 17 2 3 58 2" xfId="9508"/>
    <cellStyle name="Обычный 17 2 3 58 3" xfId="9509"/>
    <cellStyle name="Обычный 17 2 3 59" xfId="9510"/>
    <cellStyle name="Обычный 17 2 3 59 2" xfId="9511"/>
    <cellStyle name="Обычный 17 2 3 59 3" xfId="9512"/>
    <cellStyle name="Обычный 17 2 3 6" xfId="9513"/>
    <cellStyle name="Обычный 17 2 3 6 2" xfId="9514"/>
    <cellStyle name="Обычный 17 2 3 6 3" xfId="9515"/>
    <cellStyle name="Обычный 17 2 3 60" xfId="9516"/>
    <cellStyle name="Обычный 17 2 3 60 2" xfId="9517"/>
    <cellStyle name="Обычный 17 2 3 60 3" xfId="9518"/>
    <cellStyle name="Обычный 17 2 3 61" xfId="9519"/>
    <cellStyle name="Обычный 17 2 3 61 2" xfId="9520"/>
    <cellStyle name="Обычный 17 2 3 61 3" xfId="9521"/>
    <cellStyle name="Обычный 17 2 3 62" xfId="9522"/>
    <cellStyle name="Обычный 17 2 3 62 2" xfId="9523"/>
    <cellStyle name="Обычный 17 2 3 62 3" xfId="9524"/>
    <cellStyle name="Обычный 17 2 3 63" xfId="9525"/>
    <cellStyle name="Обычный 17 2 3 63 2" xfId="9526"/>
    <cellStyle name="Обычный 17 2 3 63 3" xfId="9527"/>
    <cellStyle name="Обычный 17 2 3 64" xfId="9528"/>
    <cellStyle name="Обычный 17 2 3 65" xfId="9529"/>
    <cellStyle name="Обычный 17 2 3 7" xfId="9530"/>
    <cellStyle name="Обычный 17 2 3 7 2" xfId="9531"/>
    <cellStyle name="Обычный 17 2 3 7 3" xfId="9532"/>
    <cellStyle name="Обычный 17 2 3 8" xfId="9533"/>
    <cellStyle name="Обычный 17 2 3 8 2" xfId="9534"/>
    <cellStyle name="Обычный 17 2 3 8 3" xfId="9535"/>
    <cellStyle name="Обычный 17 2 3 9" xfId="9536"/>
    <cellStyle name="Обычный 17 2 3 9 2" xfId="9537"/>
    <cellStyle name="Обычный 17 2 3 9 3" xfId="9538"/>
    <cellStyle name="Обычный 17 2 4" xfId="9539"/>
    <cellStyle name="Обычный 17 2 4 10" xfId="9540"/>
    <cellStyle name="Обычный 17 2 4 10 2" xfId="9541"/>
    <cellStyle name="Обычный 17 2 4 10 3" xfId="9542"/>
    <cellStyle name="Обычный 17 2 4 11" xfId="9543"/>
    <cellStyle name="Обычный 17 2 4 11 2" xfId="9544"/>
    <cellStyle name="Обычный 17 2 4 11 3" xfId="9545"/>
    <cellStyle name="Обычный 17 2 4 12" xfId="9546"/>
    <cellStyle name="Обычный 17 2 4 12 2" xfId="9547"/>
    <cellStyle name="Обычный 17 2 4 12 3" xfId="9548"/>
    <cellStyle name="Обычный 17 2 4 13" xfId="9549"/>
    <cellStyle name="Обычный 17 2 4 13 2" xfId="9550"/>
    <cellStyle name="Обычный 17 2 4 13 3" xfId="9551"/>
    <cellStyle name="Обычный 17 2 4 14" xfId="9552"/>
    <cellStyle name="Обычный 17 2 4 14 2" xfId="9553"/>
    <cellStyle name="Обычный 17 2 4 14 3" xfId="9554"/>
    <cellStyle name="Обычный 17 2 4 15" xfId="9555"/>
    <cellStyle name="Обычный 17 2 4 15 2" xfId="9556"/>
    <cellStyle name="Обычный 17 2 4 15 3" xfId="9557"/>
    <cellStyle name="Обычный 17 2 4 16" xfId="9558"/>
    <cellStyle name="Обычный 17 2 4 16 2" xfId="9559"/>
    <cellStyle name="Обычный 17 2 4 16 3" xfId="9560"/>
    <cellStyle name="Обычный 17 2 4 17" xfId="9561"/>
    <cellStyle name="Обычный 17 2 4 17 2" xfId="9562"/>
    <cellStyle name="Обычный 17 2 4 17 3" xfId="9563"/>
    <cellStyle name="Обычный 17 2 4 18" xfId="9564"/>
    <cellStyle name="Обычный 17 2 4 18 2" xfId="9565"/>
    <cellStyle name="Обычный 17 2 4 18 3" xfId="9566"/>
    <cellStyle name="Обычный 17 2 4 19" xfId="9567"/>
    <cellStyle name="Обычный 17 2 4 19 2" xfId="9568"/>
    <cellStyle name="Обычный 17 2 4 19 3" xfId="9569"/>
    <cellStyle name="Обычный 17 2 4 2" xfId="9570"/>
    <cellStyle name="Обычный 17 2 4 2 2" xfId="9571"/>
    <cellStyle name="Обычный 17 2 4 2 3" xfId="9572"/>
    <cellStyle name="Обычный 17 2 4 20" xfId="9573"/>
    <cellStyle name="Обычный 17 2 4 20 2" xfId="9574"/>
    <cellStyle name="Обычный 17 2 4 20 3" xfId="9575"/>
    <cellStyle name="Обычный 17 2 4 21" xfId="9576"/>
    <cellStyle name="Обычный 17 2 4 21 2" xfId="9577"/>
    <cellStyle name="Обычный 17 2 4 21 3" xfId="9578"/>
    <cellStyle name="Обычный 17 2 4 22" xfId="9579"/>
    <cellStyle name="Обычный 17 2 4 22 2" xfId="9580"/>
    <cellStyle name="Обычный 17 2 4 22 3" xfId="9581"/>
    <cellStyle name="Обычный 17 2 4 23" xfId="9582"/>
    <cellStyle name="Обычный 17 2 4 23 2" xfId="9583"/>
    <cellStyle name="Обычный 17 2 4 23 3" xfId="9584"/>
    <cellStyle name="Обычный 17 2 4 24" xfId="9585"/>
    <cellStyle name="Обычный 17 2 4 24 2" xfId="9586"/>
    <cellStyle name="Обычный 17 2 4 24 3" xfId="9587"/>
    <cellStyle name="Обычный 17 2 4 25" xfId="9588"/>
    <cellStyle name="Обычный 17 2 4 25 2" xfId="9589"/>
    <cellStyle name="Обычный 17 2 4 25 3" xfId="9590"/>
    <cellStyle name="Обычный 17 2 4 26" xfId="9591"/>
    <cellStyle name="Обычный 17 2 4 26 2" xfId="9592"/>
    <cellStyle name="Обычный 17 2 4 26 3" xfId="9593"/>
    <cellStyle name="Обычный 17 2 4 27" xfId="9594"/>
    <cellStyle name="Обычный 17 2 4 27 2" xfId="9595"/>
    <cellStyle name="Обычный 17 2 4 27 3" xfId="9596"/>
    <cellStyle name="Обычный 17 2 4 28" xfId="9597"/>
    <cellStyle name="Обычный 17 2 4 28 2" xfId="9598"/>
    <cellStyle name="Обычный 17 2 4 28 3" xfId="9599"/>
    <cellStyle name="Обычный 17 2 4 29" xfId="9600"/>
    <cellStyle name="Обычный 17 2 4 29 2" xfId="9601"/>
    <cellStyle name="Обычный 17 2 4 29 3" xfId="9602"/>
    <cellStyle name="Обычный 17 2 4 3" xfId="9603"/>
    <cellStyle name="Обычный 17 2 4 3 2" xfId="9604"/>
    <cellStyle name="Обычный 17 2 4 3 3" xfId="9605"/>
    <cellStyle name="Обычный 17 2 4 30" xfId="9606"/>
    <cellStyle name="Обычный 17 2 4 30 2" xfId="9607"/>
    <cellStyle name="Обычный 17 2 4 30 3" xfId="9608"/>
    <cellStyle name="Обычный 17 2 4 31" xfId="9609"/>
    <cellStyle name="Обычный 17 2 4 31 2" xfId="9610"/>
    <cellStyle name="Обычный 17 2 4 31 3" xfId="9611"/>
    <cellStyle name="Обычный 17 2 4 32" xfId="9612"/>
    <cellStyle name="Обычный 17 2 4 32 2" xfId="9613"/>
    <cellStyle name="Обычный 17 2 4 32 3" xfId="9614"/>
    <cellStyle name="Обычный 17 2 4 33" xfId="9615"/>
    <cellStyle name="Обычный 17 2 4 33 2" xfId="9616"/>
    <cellStyle name="Обычный 17 2 4 33 3" xfId="9617"/>
    <cellStyle name="Обычный 17 2 4 34" xfId="9618"/>
    <cellStyle name="Обычный 17 2 4 34 2" xfId="9619"/>
    <cellStyle name="Обычный 17 2 4 34 3" xfId="9620"/>
    <cellStyle name="Обычный 17 2 4 35" xfId="9621"/>
    <cellStyle name="Обычный 17 2 4 35 2" xfId="9622"/>
    <cellStyle name="Обычный 17 2 4 35 3" xfId="9623"/>
    <cellStyle name="Обычный 17 2 4 36" xfId="9624"/>
    <cellStyle name="Обычный 17 2 4 36 2" xfId="9625"/>
    <cellStyle name="Обычный 17 2 4 36 3" xfId="9626"/>
    <cellStyle name="Обычный 17 2 4 37" xfId="9627"/>
    <cellStyle name="Обычный 17 2 4 37 2" xfId="9628"/>
    <cellStyle name="Обычный 17 2 4 37 3" xfId="9629"/>
    <cellStyle name="Обычный 17 2 4 38" xfId="9630"/>
    <cellStyle name="Обычный 17 2 4 38 2" xfId="9631"/>
    <cellStyle name="Обычный 17 2 4 38 3" xfId="9632"/>
    <cellStyle name="Обычный 17 2 4 39" xfId="9633"/>
    <cellStyle name="Обычный 17 2 4 39 2" xfId="9634"/>
    <cellStyle name="Обычный 17 2 4 39 3" xfId="9635"/>
    <cellStyle name="Обычный 17 2 4 4" xfId="9636"/>
    <cellStyle name="Обычный 17 2 4 4 2" xfId="9637"/>
    <cellStyle name="Обычный 17 2 4 4 3" xfId="9638"/>
    <cellStyle name="Обычный 17 2 4 40" xfId="9639"/>
    <cellStyle name="Обычный 17 2 4 40 2" xfId="9640"/>
    <cellStyle name="Обычный 17 2 4 40 3" xfId="9641"/>
    <cellStyle name="Обычный 17 2 4 41" xfId="9642"/>
    <cellStyle name="Обычный 17 2 4 41 2" xfId="9643"/>
    <cellStyle name="Обычный 17 2 4 41 3" xfId="9644"/>
    <cellStyle name="Обычный 17 2 4 42" xfId="9645"/>
    <cellStyle name="Обычный 17 2 4 42 2" xfId="9646"/>
    <cellStyle name="Обычный 17 2 4 42 3" xfId="9647"/>
    <cellStyle name="Обычный 17 2 4 43" xfId="9648"/>
    <cellStyle name="Обычный 17 2 4 43 2" xfId="9649"/>
    <cellStyle name="Обычный 17 2 4 43 3" xfId="9650"/>
    <cellStyle name="Обычный 17 2 4 44" xfId="9651"/>
    <cellStyle name="Обычный 17 2 4 44 2" xfId="9652"/>
    <cellStyle name="Обычный 17 2 4 44 3" xfId="9653"/>
    <cellStyle name="Обычный 17 2 4 45" xfId="9654"/>
    <cellStyle name="Обычный 17 2 4 45 2" xfId="9655"/>
    <cellStyle name="Обычный 17 2 4 45 3" xfId="9656"/>
    <cellStyle name="Обычный 17 2 4 46" xfId="9657"/>
    <cellStyle name="Обычный 17 2 4 46 2" xfId="9658"/>
    <cellStyle name="Обычный 17 2 4 46 3" xfId="9659"/>
    <cellStyle name="Обычный 17 2 4 47" xfId="9660"/>
    <cellStyle name="Обычный 17 2 4 47 2" xfId="9661"/>
    <cellStyle name="Обычный 17 2 4 47 3" xfId="9662"/>
    <cellStyle name="Обычный 17 2 4 48" xfId="9663"/>
    <cellStyle name="Обычный 17 2 4 48 2" xfId="9664"/>
    <cellStyle name="Обычный 17 2 4 48 3" xfId="9665"/>
    <cellStyle name="Обычный 17 2 4 49" xfId="9666"/>
    <cellStyle name="Обычный 17 2 4 49 2" xfId="9667"/>
    <cellStyle name="Обычный 17 2 4 49 3" xfId="9668"/>
    <cellStyle name="Обычный 17 2 4 5" xfId="9669"/>
    <cellStyle name="Обычный 17 2 4 5 2" xfId="9670"/>
    <cellStyle name="Обычный 17 2 4 5 3" xfId="9671"/>
    <cellStyle name="Обычный 17 2 4 50" xfId="9672"/>
    <cellStyle name="Обычный 17 2 4 50 2" xfId="9673"/>
    <cellStyle name="Обычный 17 2 4 50 3" xfId="9674"/>
    <cellStyle name="Обычный 17 2 4 51" xfId="9675"/>
    <cellStyle name="Обычный 17 2 4 51 2" xfId="9676"/>
    <cellStyle name="Обычный 17 2 4 51 3" xfId="9677"/>
    <cellStyle name="Обычный 17 2 4 52" xfId="9678"/>
    <cellStyle name="Обычный 17 2 4 52 2" xfId="9679"/>
    <cellStyle name="Обычный 17 2 4 52 3" xfId="9680"/>
    <cellStyle name="Обычный 17 2 4 53" xfId="9681"/>
    <cellStyle name="Обычный 17 2 4 53 2" xfId="9682"/>
    <cellStyle name="Обычный 17 2 4 53 3" xfId="9683"/>
    <cellStyle name="Обычный 17 2 4 54" xfId="9684"/>
    <cellStyle name="Обычный 17 2 4 54 2" xfId="9685"/>
    <cellStyle name="Обычный 17 2 4 54 3" xfId="9686"/>
    <cellStyle name="Обычный 17 2 4 55" xfId="9687"/>
    <cellStyle name="Обычный 17 2 4 55 2" xfId="9688"/>
    <cellStyle name="Обычный 17 2 4 55 3" xfId="9689"/>
    <cellStyle name="Обычный 17 2 4 56" xfId="9690"/>
    <cellStyle name="Обычный 17 2 4 56 2" xfId="9691"/>
    <cellStyle name="Обычный 17 2 4 56 3" xfId="9692"/>
    <cellStyle name="Обычный 17 2 4 57" xfId="9693"/>
    <cellStyle name="Обычный 17 2 4 57 2" xfId="9694"/>
    <cellStyle name="Обычный 17 2 4 57 3" xfId="9695"/>
    <cellStyle name="Обычный 17 2 4 58" xfId="9696"/>
    <cellStyle name="Обычный 17 2 4 58 2" xfId="9697"/>
    <cellStyle name="Обычный 17 2 4 58 3" xfId="9698"/>
    <cellStyle name="Обычный 17 2 4 59" xfId="9699"/>
    <cellStyle name="Обычный 17 2 4 59 2" xfId="9700"/>
    <cellStyle name="Обычный 17 2 4 59 3" xfId="9701"/>
    <cellStyle name="Обычный 17 2 4 6" xfId="9702"/>
    <cellStyle name="Обычный 17 2 4 6 2" xfId="9703"/>
    <cellStyle name="Обычный 17 2 4 6 3" xfId="9704"/>
    <cellStyle name="Обычный 17 2 4 60" xfId="9705"/>
    <cellStyle name="Обычный 17 2 4 60 2" xfId="9706"/>
    <cellStyle name="Обычный 17 2 4 60 3" xfId="9707"/>
    <cellStyle name="Обычный 17 2 4 61" xfId="9708"/>
    <cellStyle name="Обычный 17 2 4 61 2" xfId="9709"/>
    <cellStyle name="Обычный 17 2 4 61 3" xfId="9710"/>
    <cellStyle name="Обычный 17 2 4 62" xfId="9711"/>
    <cellStyle name="Обычный 17 2 4 62 2" xfId="9712"/>
    <cellStyle name="Обычный 17 2 4 62 3" xfId="9713"/>
    <cellStyle name="Обычный 17 2 4 63" xfId="9714"/>
    <cellStyle name="Обычный 17 2 4 63 2" xfId="9715"/>
    <cellStyle name="Обычный 17 2 4 63 3" xfId="9716"/>
    <cellStyle name="Обычный 17 2 4 64" xfId="9717"/>
    <cellStyle name="Обычный 17 2 4 65" xfId="9718"/>
    <cellStyle name="Обычный 17 2 4 7" xfId="9719"/>
    <cellStyle name="Обычный 17 2 4 7 2" xfId="9720"/>
    <cellStyle name="Обычный 17 2 4 7 3" xfId="9721"/>
    <cellStyle name="Обычный 17 2 4 8" xfId="9722"/>
    <cellStyle name="Обычный 17 2 4 8 2" xfId="9723"/>
    <cellStyle name="Обычный 17 2 4 8 3" xfId="9724"/>
    <cellStyle name="Обычный 17 2 4 9" xfId="9725"/>
    <cellStyle name="Обычный 17 2 4 9 2" xfId="9726"/>
    <cellStyle name="Обычный 17 2 4 9 3" xfId="9727"/>
    <cellStyle name="Обычный 17 2 5" xfId="9728"/>
    <cellStyle name="Обычный 17 2 5 10" xfId="9729"/>
    <cellStyle name="Обычный 17 2 5 10 2" xfId="9730"/>
    <cellStyle name="Обычный 17 2 5 10 3" xfId="9731"/>
    <cellStyle name="Обычный 17 2 5 11" xfId="9732"/>
    <cellStyle name="Обычный 17 2 5 11 2" xfId="9733"/>
    <cellStyle name="Обычный 17 2 5 11 3" xfId="9734"/>
    <cellStyle name="Обычный 17 2 5 12" xfId="9735"/>
    <cellStyle name="Обычный 17 2 5 12 2" xfId="9736"/>
    <cellStyle name="Обычный 17 2 5 12 3" xfId="9737"/>
    <cellStyle name="Обычный 17 2 5 13" xfId="9738"/>
    <cellStyle name="Обычный 17 2 5 13 2" xfId="9739"/>
    <cellStyle name="Обычный 17 2 5 13 3" xfId="9740"/>
    <cellStyle name="Обычный 17 2 5 14" xfId="9741"/>
    <cellStyle name="Обычный 17 2 5 14 2" xfId="9742"/>
    <cellStyle name="Обычный 17 2 5 14 3" xfId="9743"/>
    <cellStyle name="Обычный 17 2 5 15" xfId="9744"/>
    <cellStyle name="Обычный 17 2 5 15 2" xfId="9745"/>
    <cellStyle name="Обычный 17 2 5 15 3" xfId="9746"/>
    <cellStyle name="Обычный 17 2 5 16" xfId="9747"/>
    <cellStyle name="Обычный 17 2 5 16 2" xfId="9748"/>
    <cellStyle name="Обычный 17 2 5 16 3" xfId="9749"/>
    <cellStyle name="Обычный 17 2 5 17" xfId="9750"/>
    <cellStyle name="Обычный 17 2 5 17 2" xfId="9751"/>
    <cellStyle name="Обычный 17 2 5 17 3" xfId="9752"/>
    <cellStyle name="Обычный 17 2 5 18" xfId="9753"/>
    <cellStyle name="Обычный 17 2 5 18 2" xfId="9754"/>
    <cellStyle name="Обычный 17 2 5 18 3" xfId="9755"/>
    <cellStyle name="Обычный 17 2 5 19" xfId="9756"/>
    <cellStyle name="Обычный 17 2 5 19 2" xfId="9757"/>
    <cellStyle name="Обычный 17 2 5 19 3" xfId="9758"/>
    <cellStyle name="Обычный 17 2 5 2" xfId="9759"/>
    <cellStyle name="Обычный 17 2 5 2 2" xfId="9760"/>
    <cellStyle name="Обычный 17 2 5 2 3" xfId="9761"/>
    <cellStyle name="Обычный 17 2 5 20" xfId="9762"/>
    <cellStyle name="Обычный 17 2 5 20 2" xfId="9763"/>
    <cellStyle name="Обычный 17 2 5 20 3" xfId="9764"/>
    <cellStyle name="Обычный 17 2 5 21" xfId="9765"/>
    <cellStyle name="Обычный 17 2 5 21 2" xfId="9766"/>
    <cellStyle name="Обычный 17 2 5 21 3" xfId="9767"/>
    <cellStyle name="Обычный 17 2 5 22" xfId="9768"/>
    <cellStyle name="Обычный 17 2 5 22 2" xfId="9769"/>
    <cellStyle name="Обычный 17 2 5 22 3" xfId="9770"/>
    <cellStyle name="Обычный 17 2 5 23" xfId="9771"/>
    <cellStyle name="Обычный 17 2 5 23 2" xfId="9772"/>
    <cellStyle name="Обычный 17 2 5 23 3" xfId="9773"/>
    <cellStyle name="Обычный 17 2 5 24" xfId="9774"/>
    <cellStyle name="Обычный 17 2 5 24 2" xfId="9775"/>
    <cellStyle name="Обычный 17 2 5 24 3" xfId="9776"/>
    <cellStyle name="Обычный 17 2 5 25" xfId="9777"/>
    <cellStyle name="Обычный 17 2 5 25 2" xfId="9778"/>
    <cellStyle name="Обычный 17 2 5 25 3" xfId="9779"/>
    <cellStyle name="Обычный 17 2 5 26" xfId="9780"/>
    <cellStyle name="Обычный 17 2 5 26 2" xfId="9781"/>
    <cellStyle name="Обычный 17 2 5 26 3" xfId="9782"/>
    <cellStyle name="Обычный 17 2 5 27" xfId="9783"/>
    <cellStyle name="Обычный 17 2 5 27 2" xfId="9784"/>
    <cellStyle name="Обычный 17 2 5 27 3" xfId="9785"/>
    <cellStyle name="Обычный 17 2 5 28" xfId="9786"/>
    <cellStyle name="Обычный 17 2 5 28 2" xfId="9787"/>
    <cellStyle name="Обычный 17 2 5 28 3" xfId="9788"/>
    <cellStyle name="Обычный 17 2 5 29" xfId="9789"/>
    <cellStyle name="Обычный 17 2 5 29 2" xfId="9790"/>
    <cellStyle name="Обычный 17 2 5 29 3" xfId="9791"/>
    <cellStyle name="Обычный 17 2 5 3" xfId="9792"/>
    <cellStyle name="Обычный 17 2 5 3 2" xfId="9793"/>
    <cellStyle name="Обычный 17 2 5 3 3" xfId="9794"/>
    <cellStyle name="Обычный 17 2 5 30" xfId="9795"/>
    <cellStyle name="Обычный 17 2 5 30 2" xfId="9796"/>
    <cellStyle name="Обычный 17 2 5 30 3" xfId="9797"/>
    <cellStyle name="Обычный 17 2 5 31" xfId="9798"/>
    <cellStyle name="Обычный 17 2 5 31 2" xfId="9799"/>
    <cellStyle name="Обычный 17 2 5 31 3" xfId="9800"/>
    <cellStyle name="Обычный 17 2 5 32" xfId="9801"/>
    <cellStyle name="Обычный 17 2 5 32 2" xfId="9802"/>
    <cellStyle name="Обычный 17 2 5 32 3" xfId="9803"/>
    <cellStyle name="Обычный 17 2 5 33" xfId="9804"/>
    <cellStyle name="Обычный 17 2 5 33 2" xfId="9805"/>
    <cellStyle name="Обычный 17 2 5 33 3" xfId="9806"/>
    <cellStyle name="Обычный 17 2 5 34" xfId="9807"/>
    <cellStyle name="Обычный 17 2 5 34 2" xfId="9808"/>
    <cellStyle name="Обычный 17 2 5 34 3" xfId="9809"/>
    <cellStyle name="Обычный 17 2 5 35" xfId="9810"/>
    <cellStyle name="Обычный 17 2 5 35 2" xfId="9811"/>
    <cellStyle name="Обычный 17 2 5 35 3" xfId="9812"/>
    <cellStyle name="Обычный 17 2 5 36" xfId="9813"/>
    <cellStyle name="Обычный 17 2 5 36 2" xfId="9814"/>
    <cellStyle name="Обычный 17 2 5 36 3" xfId="9815"/>
    <cellStyle name="Обычный 17 2 5 37" xfId="9816"/>
    <cellStyle name="Обычный 17 2 5 37 2" xfId="9817"/>
    <cellStyle name="Обычный 17 2 5 37 3" xfId="9818"/>
    <cellStyle name="Обычный 17 2 5 38" xfId="9819"/>
    <cellStyle name="Обычный 17 2 5 38 2" xfId="9820"/>
    <cellStyle name="Обычный 17 2 5 38 3" xfId="9821"/>
    <cellStyle name="Обычный 17 2 5 39" xfId="9822"/>
    <cellStyle name="Обычный 17 2 5 39 2" xfId="9823"/>
    <cellStyle name="Обычный 17 2 5 39 3" xfId="9824"/>
    <cellStyle name="Обычный 17 2 5 4" xfId="9825"/>
    <cellStyle name="Обычный 17 2 5 4 2" xfId="9826"/>
    <cellStyle name="Обычный 17 2 5 4 3" xfId="9827"/>
    <cellStyle name="Обычный 17 2 5 40" xfId="9828"/>
    <cellStyle name="Обычный 17 2 5 40 2" xfId="9829"/>
    <cellStyle name="Обычный 17 2 5 40 3" xfId="9830"/>
    <cellStyle name="Обычный 17 2 5 41" xfId="9831"/>
    <cellStyle name="Обычный 17 2 5 41 2" xfId="9832"/>
    <cellStyle name="Обычный 17 2 5 41 3" xfId="9833"/>
    <cellStyle name="Обычный 17 2 5 42" xfId="9834"/>
    <cellStyle name="Обычный 17 2 5 42 2" xfId="9835"/>
    <cellStyle name="Обычный 17 2 5 42 3" xfId="9836"/>
    <cellStyle name="Обычный 17 2 5 43" xfId="9837"/>
    <cellStyle name="Обычный 17 2 5 43 2" xfId="9838"/>
    <cellStyle name="Обычный 17 2 5 43 3" xfId="9839"/>
    <cellStyle name="Обычный 17 2 5 44" xfId="9840"/>
    <cellStyle name="Обычный 17 2 5 44 2" xfId="9841"/>
    <cellStyle name="Обычный 17 2 5 44 3" xfId="9842"/>
    <cellStyle name="Обычный 17 2 5 45" xfId="9843"/>
    <cellStyle name="Обычный 17 2 5 45 2" xfId="9844"/>
    <cellStyle name="Обычный 17 2 5 45 3" xfId="9845"/>
    <cellStyle name="Обычный 17 2 5 46" xfId="9846"/>
    <cellStyle name="Обычный 17 2 5 46 2" xfId="9847"/>
    <cellStyle name="Обычный 17 2 5 46 3" xfId="9848"/>
    <cellStyle name="Обычный 17 2 5 47" xfId="9849"/>
    <cellStyle name="Обычный 17 2 5 47 2" xfId="9850"/>
    <cellStyle name="Обычный 17 2 5 47 3" xfId="9851"/>
    <cellStyle name="Обычный 17 2 5 48" xfId="9852"/>
    <cellStyle name="Обычный 17 2 5 48 2" xfId="9853"/>
    <cellStyle name="Обычный 17 2 5 48 3" xfId="9854"/>
    <cellStyle name="Обычный 17 2 5 49" xfId="9855"/>
    <cellStyle name="Обычный 17 2 5 49 2" xfId="9856"/>
    <cellStyle name="Обычный 17 2 5 49 3" xfId="9857"/>
    <cellStyle name="Обычный 17 2 5 5" xfId="9858"/>
    <cellStyle name="Обычный 17 2 5 5 2" xfId="9859"/>
    <cellStyle name="Обычный 17 2 5 5 3" xfId="9860"/>
    <cellStyle name="Обычный 17 2 5 50" xfId="9861"/>
    <cellStyle name="Обычный 17 2 5 50 2" xfId="9862"/>
    <cellStyle name="Обычный 17 2 5 50 3" xfId="9863"/>
    <cellStyle name="Обычный 17 2 5 51" xfId="9864"/>
    <cellStyle name="Обычный 17 2 5 51 2" xfId="9865"/>
    <cellStyle name="Обычный 17 2 5 51 3" xfId="9866"/>
    <cellStyle name="Обычный 17 2 5 52" xfId="9867"/>
    <cellStyle name="Обычный 17 2 5 52 2" xfId="9868"/>
    <cellStyle name="Обычный 17 2 5 52 3" xfId="9869"/>
    <cellStyle name="Обычный 17 2 5 53" xfId="9870"/>
    <cellStyle name="Обычный 17 2 5 53 2" xfId="9871"/>
    <cellStyle name="Обычный 17 2 5 53 3" xfId="9872"/>
    <cellStyle name="Обычный 17 2 5 54" xfId="9873"/>
    <cellStyle name="Обычный 17 2 5 54 2" xfId="9874"/>
    <cellStyle name="Обычный 17 2 5 54 3" xfId="9875"/>
    <cellStyle name="Обычный 17 2 5 55" xfId="9876"/>
    <cellStyle name="Обычный 17 2 5 55 2" xfId="9877"/>
    <cellStyle name="Обычный 17 2 5 55 3" xfId="9878"/>
    <cellStyle name="Обычный 17 2 5 56" xfId="9879"/>
    <cellStyle name="Обычный 17 2 5 56 2" xfId="9880"/>
    <cellStyle name="Обычный 17 2 5 56 3" xfId="9881"/>
    <cellStyle name="Обычный 17 2 5 57" xfId="9882"/>
    <cellStyle name="Обычный 17 2 5 57 2" xfId="9883"/>
    <cellStyle name="Обычный 17 2 5 57 3" xfId="9884"/>
    <cellStyle name="Обычный 17 2 5 58" xfId="9885"/>
    <cellStyle name="Обычный 17 2 5 58 2" xfId="9886"/>
    <cellStyle name="Обычный 17 2 5 58 3" xfId="9887"/>
    <cellStyle name="Обычный 17 2 5 59" xfId="9888"/>
    <cellStyle name="Обычный 17 2 5 59 2" xfId="9889"/>
    <cellStyle name="Обычный 17 2 5 59 3" xfId="9890"/>
    <cellStyle name="Обычный 17 2 5 6" xfId="9891"/>
    <cellStyle name="Обычный 17 2 5 6 2" xfId="9892"/>
    <cellStyle name="Обычный 17 2 5 6 3" xfId="9893"/>
    <cellStyle name="Обычный 17 2 5 60" xfId="9894"/>
    <cellStyle name="Обычный 17 2 5 60 2" xfId="9895"/>
    <cellStyle name="Обычный 17 2 5 60 3" xfId="9896"/>
    <cellStyle name="Обычный 17 2 5 61" xfId="9897"/>
    <cellStyle name="Обычный 17 2 5 61 2" xfId="9898"/>
    <cellStyle name="Обычный 17 2 5 61 3" xfId="9899"/>
    <cellStyle name="Обычный 17 2 5 62" xfId="9900"/>
    <cellStyle name="Обычный 17 2 5 62 2" xfId="9901"/>
    <cellStyle name="Обычный 17 2 5 62 3" xfId="9902"/>
    <cellStyle name="Обычный 17 2 5 63" xfId="9903"/>
    <cellStyle name="Обычный 17 2 5 63 2" xfId="9904"/>
    <cellStyle name="Обычный 17 2 5 63 3" xfId="9905"/>
    <cellStyle name="Обычный 17 2 5 64" xfId="9906"/>
    <cellStyle name="Обычный 17 2 5 65" xfId="9907"/>
    <cellStyle name="Обычный 17 2 5 7" xfId="9908"/>
    <cellStyle name="Обычный 17 2 5 7 2" xfId="9909"/>
    <cellStyle name="Обычный 17 2 5 7 3" xfId="9910"/>
    <cellStyle name="Обычный 17 2 5 8" xfId="9911"/>
    <cellStyle name="Обычный 17 2 5 8 2" xfId="9912"/>
    <cellStyle name="Обычный 17 2 5 8 3" xfId="9913"/>
    <cellStyle name="Обычный 17 2 5 9" xfId="9914"/>
    <cellStyle name="Обычный 17 2 5 9 2" xfId="9915"/>
    <cellStyle name="Обычный 17 2 5 9 3" xfId="9916"/>
    <cellStyle name="Обычный 17 2 6" xfId="9917"/>
    <cellStyle name="Обычный 17 2 6 10" xfId="9918"/>
    <cellStyle name="Обычный 17 2 6 10 2" xfId="9919"/>
    <cellStyle name="Обычный 17 2 6 10 3" xfId="9920"/>
    <cellStyle name="Обычный 17 2 6 11" xfId="9921"/>
    <cellStyle name="Обычный 17 2 6 11 2" xfId="9922"/>
    <cellStyle name="Обычный 17 2 6 11 3" xfId="9923"/>
    <cellStyle name="Обычный 17 2 6 12" xfId="9924"/>
    <cellStyle name="Обычный 17 2 6 12 2" xfId="9925"/>
    <cellStyle name="Обычный 17 2 6 12 3" xfId="9926"/>
    <cellStyle name="Обычный 17 2 6 13" xfId="9927"/>
    <cellStyle name="Обычный 17 2 6 13 2" xfId="9928"/>
    <cellStyle name="Обычный 17 2 6 13 3" xfId="9929"/>
    <cellStyle name="Обычный 17 2 6 14" xfId="9930"/>
    <cellStyle name="Обычный 17 2 6 14 2" xfId="9931"/>
    <cellStyle name="Обычный 17 2 6 14 3" xfId="9932"/>
    <cellStyle name="Обычный 17 2 6 15" xfId="9933"/>
    <cellStyle name="Обычный 17 2 6 15 2" xfId="9934"/>
    <cellStyle name="Обычный 17 2 6 15 3" xfId="9935"/>
    <cellStyle name="Обычный 17 2 6 16" xfId="9936"/>
    <cellStyle name="Обычный 17 2 6 16 2" xfId="9937"/>
    <cellStyle name="Обычный 17 2 6 16 3" xfId="9938"/>
    <cellStyle name="Обычный 17 2 6 17" xfId="9939"/>
    <cellStyle name="Обычный 17 2 6 17 2" xfId="9940"/>
    <cellStyle name="Обычный 17 2 6 17 3" xfId="9941"/>
    <cellStyle name="Обычный 17 2 6 18" xfId="9942"/>
    <cellStyle name="Обычный 17 2 6 18 2" xfId="9943"/>
    <cellStyle name="Обычный 17 2 6 18 3" xfId="9944"/>
    <cellStyle name="Обычный 17 2 6 19" xfId="9945"/>
    <cellStyle name="Обычный 17 2 6 19 2" xfId="9946"/>
    <cellStyle name="Обычный 17 2 6 19 3" xfId="9947"/>
    <cellStyle name="Обычный 17 2 6 2" xfId="9948"/>
    <cellStyle name="Обычный 17 2 6 2 2" xfId="9949"/>
    <cellStyle name="Обычный 17 2 6 2 3" xfId="9950"/>
    <cellStyle name="Обычный 17 2 6 20" xfId="9951"/>
    <cellStyle name="Обычный 17 2 6 20 2" xfId="9952"/>
    <cellStyle name="Обычный 17 2 6 20 3" xfId="9953"/>
    <cellStyle name="Обычный 17 2 6 21" xfId="9954"/>
    <cellStyle name="Обычный 17 2 6 21 2" xfId="9955"/>
    <cellStyle name="Обычный 17 2 6 21 3" xfId="9956"/>
    <cellStyle name="Обычный 17 2 6 22" xfId="9957"/>
    <cellStyle name="Обычный 17 2 6 22 2" xfId="9958"/>
    <cellStyle name="Обычный 17 2 6 22 3" xfId="9959"/>
    <cellStyle name="Обычный 17 2 6 23" xfId="9960"/>
    <cellStyle name="Обычный 17 2 6 23 2" xfId="9961"/>
    <cellStyle name="Обычный 17 2 6 23 3" xfId="9962"/>
    <cellStyle name="Обычный 17 2 6 24" xfId="9963"/>
    <cellStyle name="Обычный 17 2 6 24 2" xfId="9964"/>
    <cellStyle name="Обычный 17 2 6 24 3" xfId="9965"/>
    <cellStyle name="Обычный 17 2 6 25" xfId="9966"/>
    <cellStyle name="Обычный 17 2 6 25 2" xfId="9967"/>
    <cellStyle name="Обычный 17 2 6 25 3" xfId="9968"/>
    <cellStyle name="Обычный 17 2 6 26" xfId="9969"/>
    <cellStyle name="Обычный 17 2 6 26 2" xfId="9970"/>
    <cellStyle name="Обычный 17 2 6 26 3" xfId="9971"/>
    <cellStyle name="Обычный 17 2 6 27" xfId="9972"/>
    <cellStyle name="Обычный 17 2 6 27 2" xfId="9973"/>
    <cellStyle name="Обычный 17 2 6 27 3" xfId="9974"/>
    <cellStyle name="Обычный 17 2 6 28" xfId="9975"/>
    <cellStyle name="Обычный 17 2 6 28 2" xfId="9976"/>
    <cellStyle name="Обычный 17 2 6 28 3" xfId="9977"/>
    <cellStyle name="Обычный 17 2 6 29" xfId="9978"/>
    <cellStyle name="Обычный 17 2 6 29 2" xfId="9979"/>
    <cellStyle name="Обычный 17 2 6 29 3" xfId="9980"/>
    <cellStyle name="Обычный 17 2 6 3" xfId="9981"/>
    <cellStyle name="Обычный 17 2 6 3 2" xfId="9982"/>
    <cellStyle name="Обычный 17 2 6 3 3" xfId="9983"/>
    <cellStyle name="Обычный 17 2 6 30" xfId="9984"/>
    <cellStyle name="Обычный 17 2 6 30 2" xfId="9985"/>
    <cellStyle name="Обычный 17 2 6 30 3" xfId="9986"/>
    <cellStyle name="Обычный 17 2 6 31" xfId="9987"/>
    <cellStyle name="Обычный 17 2 6 31 2" xfId="9988"/>
    <cellStyle name="Обычный 17 2 6 31 3" xfId="9989"/>
    <cellStyle name="Обычный 17 2 6 32" xfId="9990"/>
    <cellStyle name="Обычный 17 2 6 32 2" xfId="9991"/>
    <cellStyle name="Обычный 17 2 6 32 3" xfId="9992"/>
    <cellStyle name="Обычный 17 2 6 33" xfId="9993"/>
    <cellStyle name="Обычный 17 2 6 33 2" xfId="9994"/>
    <cellStyle name="Обычный 17 2 6 33 3" xfId="9995"/>
    <cellStyle name="Обычный 17 2 6 34" xfId="9996"/>
    <cellStyle name="Обычный 17 2 6 34 2" xfId="9997"/>
    <cellStyle name="Обычный 17 2 6 34 3" xfId="9998"/>
    <cellStyle name="Обычный 17 2 6 35" xfId="9999"/>
    <cellStyle name="Обычный 17 2 6 35 2" xfId="10000"/>
    <cellStyle name="Обычный 17 2 6 35 3" xfId="10001"/>
    <cellStyle name="Обычный 17 2 6 36" xfId="10002"/>
    <cellStyle name="Обычный 17 2 6 36 2" xfId="10003"/>
    <cellStyle name="Обычный 17 2 6 36 3" xfId="10004"/>
    <cellStyle name="Обычный 17 2 6 37" xfId="10005"/>
    <cellStyle name="Обычный 17 2 6 37 2" xfId="10006"/>
    <cellStyle name="Обычный 17 2 6 37 3" xfId="10007"/>
    <cellStyle name="Обычный 17 2 6 38" xfId="10008"/>
    <cellStyle name="Обычный 17 2 6 38 2" xfId="10009"/>
    <cellStyle name="Обычный 17 2 6 38 3" xfId="10010"/>
    <cellStyle name="Обычный 17 2 6 39" xfId="10011"/>
    <cellStyle name="Обычный 17 2 6 39 2" xfId="10012"/>
    <cellStyle name="Обычный 17 2 6 39 3" xfId="10013"/>
    <cellStyle name="Обычный 17 2 6 4" xfId="10014"/>
    <cellStyle name="Обычный 17 2 6 4 2" xfId="10015"/>
    <cellStyle name="Обычный 17 2 6 4 3" xfId="10016"/>
    <cellStyle name="Обычный 17 2 6 40" xfId="10017"/>
    <cellStyle name="Обычный 17 2 6 40 2" xfId="10018"/>
    <cellStyle name="Обычный 17 2 6 40 3" xfId="10019"/>
    <cellStyle name="Обычный 17 2 6 41" xfId="10020"/>
    <cellStyle name="Обычный 17 2 6 41 2" xfId="10021"/>
    <cellStyle name="Обычный 17 2 6 41 3" xfId="10022"/>
    <cellStyle name="Обычный 17 2 6 42" xfId="10023"/>
    <cellStyle name="Обычный 17 2 6 42 2" xfId="10024"/>
    <cellStyle name="Обычный 17 2 6 42 3" xfId="10025"/>
    <cellStyle name="Обычный 17 2 6 43" xfId="10026"/>
    <cellStyle name="Обычный 17 2 6 43 2" xfId="10027"/>
    <cellStyle name="Обычный 17 2 6 43 3" xfId="10028"/>
    <cellStyle name="Обычный 17 2 6 44" xfId="10029"/>
    <cellStyle name="Обычный 17 2 6 44 2" xfId="10030"/>
    <cellStyle name="Обычный 17 2 6 44 3" xfId="10031"/>
    <cellStyle name="Обычный 17 2 6 45" xfId="10032"/>
    <cellStyle name="Обычный 17 2 6 45 2" xfId="10033"/>
    <cellStyle name="Обычный 17 2 6 45 3" xfId="10034"/>
    <cellStyle name="Обычный 17 2 6 46" xfId="10035"/>
    <cellStyle name="Обычный 17 2 6 46 2" xfId="10036"/>
    <cellStyle name="Обычный 17 2 6 46 3" xfId="10037"/>
    <cellStyle name="Обычный 17 2 6 47" xfId="10038"/>
    <cellStyle name="Обычный 17 2 6 47 2" xfId="10039"/>
    <cellStyle name="Обычный 17 2 6 47 3" xfId="10040"/>
    <cellStyle name="Обычный 17 2 6 48" xfId="10041"/>
    <cellStyle name="Обычный 17 2 6 48 2" xfId="10042"/>
    <cellStyle name="Обычный 17 2 6 48 3" xfId="10043"/>
    <cellStyle name="Обычный 17 2 6 49" xfId="10044"/>
    <cellStyle name="Обычный 17 2 6 49 2" xfId="10045"/>
    <cellStyle name="Обычный 17 2 6 49 3" xfId="10046"/>
    <cellStyle name="Обычный 17 2 6 5" xfId="10047"/>
    <cellStyle name="Обычный 17 2 6 5 2" xfId="10048"/>
    <cellStyle name="Обычный 17 2 6 5 3" xfId="10049"/>
    <cellStyle name="Обычный 17 2 6 50" xfId="10050"/>
    <cellStyle name="Обычный 17 2 6 50 2" xfId="10051"/>
    <cellStyle name="Обычный 17 2 6 50 3" xfId="10052"/>
    <cellStyle name="Обычный 17 2 6 51" xfId="10053"/>
    <cellStyle name="Обычный 17 2 6 51 2" xfId="10054"/>
    <cellStyle name="Обычный 17 2 6 51 3" xfId="10055"/>
    <cellStyle name="Обычный 17 2 6 52" xfId="10056"/>
    <cellStyle name="Обычный 17 2 6 52 2" xfId="10057"/>
    <cellStyle name="Обычный 17 2 6 52 3" xfId="10058"/>
    <cellStyle name="Обычный 17 2 6 53" xfId="10059"/>
    <cellStyle name="Обычный 17 2 6 53 2" xfId="10060"/>
    <cellStyle name="Обычный 17 2 6 53 3" xfId="10061"/>
    <cellStyle name="Обычный 17 2 6 54" xfId="10062"/>
    <cellStyle name="Обычный 17 2 6 54 2" xfId="10063"/>
    <cellStyle name="Обычный 17 2 6 54 3" xfId="10064"/>
    <cellStyle name="Обычный 17 2 6 55" xfId="10065"/>
    <cellStyle name="Обычный 17 2 6 55 2" xfId="10066"/>
    <cellStyle name="Обычный 17 2 6 55 3" xfId="10067"/>
    <cellStyle name="Обычный 17 2 6 56" xfId="10068"/>
    <cellStyle name="Обычный 17 2 6 56 2" xfId="10069"/>
    <cellStyle name="Обычный 17 2 6 56 3" xfId="10070"/>
    <cellStyle name="Обычный 17 2 6 57" xfId="10071"/>
    <cellStyle name="Обычный 17 2 6 57 2" xfId="10072"/>
    <cellStyle name="Обычный 17 2 6 57 3" xfId="10073"/>
    <cellStyle name="Обычный 17 2 6 58" xfId="10074"/>
    <cellStyle name="Обычный 17 2 6 58 2" xfId="10075"/>
    <cellStyle name="Обычный 17 2 6 58 3" xfId="10076"/>
    <cellStyle name="Обычный 17 2 6 59" xfId="10077"/>
    <cellStyle name="Обычный 17 2 6 59 2" xfId="10078"/>
    <cellStyle name="Обычный 17 2 6 59 3" xfId="10079"/>
    <cellStyle name="Обычный 17 2 6 6" xfId="10080"/>
    <cellStyle name="Обычный 17 2 6 6 2" xfId="10081"/>
    <cellStyle name="Обычный 17 2 6 6 3" xfId="10082"/>
    <cellStyle name="Обычный 17 2 6 60" xfId="10083"/>
    <cellStyle name="Обычный 17 2 6 60 2" xfId="10084"/>
    <cellStyle name="Обычный 17 2 6 60 3" xfId="10085"/>
    <cellStyle name="Обычный 17 2 6 61" xfId="10086"/>
    <cellStyle name="Обычный 17 2 6 61 2" xfId="10087"/>
    <cellStyle name="Обычный 17 2 6 61 3" xfId="10088"/>
    <cellStyle name="Обычный 17 2 6 62" xfId="10089"/>
    <cellStyle name="Обычный 17 2 6 62 2" xfId="10090"/>
    <cellStyle name="Обычный 17 2 6 62 3" xfId="10091"/>
    <cellStyle name="Обычный 17 2 6 63" xfId="10092"/>
    <cellStyle name="Обычный 17 2 6 63 2" xfId="10093"/>
    <cellStyle name="Обычный 17 2 6 63 3" xfId="10094"/>
    <cellStyle name="Обычный 17 2 6 64" xfId="10095"/>
    <cellStyle name="Обычный 17 2 6 65" xfId="10096"/>
    <cellStyle name="Обычный 17 2 6 7" xfId="10097"/>
    <cellStyle name="Обычный 17 2 6 7 2" xfId="10098"/>
    <cellStyle name="Обычный 17 2 6 7 3" xfId="10099"/>
    <cellStyle name="Обычный 17 2 6 8" xfId="10100"/>
    <cellStyle name="Обычный 17 2 6 8 2" xfId="10101"/>
    <cellStyle name="Обычный 17 2 6 8 3" xfId="10102"/>
    <cellStyle name="Обычный 17 2 6 9" xfId="10103"/>
    <cellStyle name="Обычный 17 2 6 9 2" xfId="10104"/>
    <cellStyle name="Обычный 17 2 6 9 3" xfId="10105"/>
    <cellStyle name="Обычный 17 20" xfId="10106"/>
    <cellStyle name="Обычный 17 20 2" xfId="10107"/>
    <cellStyle name="Обычный 17 20 3" xfId="10108"/>
    <cellStyle name="Обычный 17 21" xfId="10109"/>
    <cellStyle name="Обычный 17 21 2" xfId="10110"/>
    <cellStyle name="Обычный 17 21 3" xfId="10111"/>
    <cellStyle name="Обычный 17 22" xfId="10112"/>
    <cellStyle name="Обычный 17 22 2" xfId="10113"/>
    <cellStyle name="Обычный 17 22 3" xfId="10114"/>
    <cellStyle name="Обычный 17 23" xfId="10115"/>
    <cellStyle name="Обычный 17 23 2" xfId="10116"/>
    <cellStyle name="Обычный 17 23 3" xfId="10117"/>
    <cellStyle name="Обычный 17 24" xfId="10118"/>
    <cellStyle name="Обычный 17 24 2" xfId="10119"/>
    <cellStyle name="Обычный 17 24 3" xfId="10120"/>
    <cellStyle name="Обычный 17 25" xfId="10121"/>
    <cellStyle name="Обычный 17 25 2" xfId="10122"/>
    <cellStyle name="Обычный 17 25 3" xfId="10123"/>
    <cellStyle name="Обычный 17 26" xfId="10124"/>
    <cellStyle name="Обычный 17 26 2" xfId="10125"/>
    <cellStyle name="Обычный 17 26 3" xfId="10126"/>
    <cellStyle name="Обычный 17 27" xfId="10127"/>
    <cellStyle name="Обычный 17 27 2" xfId="10128"/>
    <cellStyle name="Обычный 17 27 3" xfId="10129"/>
    <cellStyle name="Обычный 17 28" xfId="10130"/>
    <cellStyle name="Обычный 17 28 2" xfId="10131"/>
    <cellStyle name="Обычный 17 28 3" xfId="10132"/>
    <cellStyle name="Обычный 17 29" xfId="10133"/>
    <cellStyle name="Обычный 17 29 2" xfId="10134"/>
    <cellStyle name="Обычный 17 29 3" xfId="10135"/>
    <cellStyle name="Обычный 17 3" xfId="10136"/>
    <cellStyle name="Обычный 17 30" xfId="10137"/>
    <cellStyle name="Обычный 17 30 2" xfId="10138"/>
    <cellStyle name="Обычный 17 30 3" xfId="10139"/>
    <cellStyle name="Обычный 17 31" xfId="10140"/>
    <cellStyle name="Обычный 17 31 2" xfId="10141"/>
    <cellStyle name="Обычный 17 31 3" xfId="10142"/>
    <cellStyle name="Обычный 17 32" xfId="10143"/>
    <cellStyle name="Обычный 17 32 2" xfId="10144"/>
    <cellStyle name="Обычный 17 32 3" xfId="10145"/>
    <cellStyle name="Обычный 17 33" xfId="10146"/>
    <cellStyle name="Обычный 17 33 2" xfId="10147"/>
    <cellStyle name="Обычный 17 33 3" xfId="10148"/>
    <cellStyle name="Обычный 17 34" xfId="10149"/>
    <cellStyle name="Обычный 17 34 2" xfId="10150"/>
    <cellStyle name="Обычный 17 34 3" xfId="10151"/>
    <cellStyle name="Обычный 17 35" xfId="10152"/>
    <cellStyle name="Обычный 17 35 2" xfId="10153"/>
    <cellStyle name="Обычный 17 35 3" xfId="10154"/>
    <cellStyle name="Обычный 17 36" xfId="10155"/>
    <cellStyle name="Обычный 17 36 2" xfId="10156"/>
    <cellStyle name="Обычный 17 36 3" xfId="10157"/>
    <cellStyle name="Обычный 17 37" xfId="10158"/>
    <cellStyle name="Обычный 17 37 2" xfId="10159"/>
    <cellStyle name="Обычный 17 37 3" xfId="10160"/>
    <cellStyle name="Обычный 17 38" xfId="10161"/>
    <cellStyle name="Обычный 17 38 2" xfId="10162"/>
    <cellStyle name="Обычный 17 38 3" xfId="10163"/>
    <cellStyle name="Обычный 17 39" xfId="10164"/>
    <cellStyle name="Обычный 17 39 2" xfId="10165"/>
    <cellStyle name="Обычный 17 39 3" xfId="10166"/>
    <cellStyle name="Обычный 17 4" xfId="10167"/>
    <cellStyle name="Обычный 17 4 2" xfId="10168"/>
    <cellStyle name="Обычный 17 4 3" xfId="10169"/>
    <cellStyle name="Обычный 17 40" xfId="10170"/>
    <cellStyle name="Обычный 17 40 2" xfId="10171"/>
    <cellStyle name="Обычный 17 40 3" xfId="10172"/>
    <cellStyle name="Обычный 17 41" xfId="10173"/>
    <cellStyle name="Обычный 17 41 2" xfId="10174"/>
    <cellStyle name="Обычный 17 41 3" xfId="10175"/>
    <cellStyle name="Обычный 17 42" xfId="10176"/>
    <cellStyle name="Обычный 17 42 2" xfId="10177"/>
    <cellStyle name="Обычный 17 42 3" xfId="10178"/>
    <cellStyle name="Обычный 17 43" xfId="10179"/>
    <cellStyle name="Обычный 17 43 2" xfId="10180"/>
    <cellStyle name="Обычный 17 43 3" xfId="10181"/>
    <cellStyle name="Обычный 17 44" xfId="10182"/>
    <cellStyle name="Обычный 17 44 2" xfId="10183"/>
    <cellStyle name="Обычный 17 44 3" xfId="10184"/>
    <cellStyle name="Обычный 17 45" xfId="10185"/>
    <cellStyle name="Обычный 17 45 2" xfId="10186"/>
    <cellStyle name="Обычный 17 45 3" xfId="10187"/>
    <cellStyle name="Обычный 17 46" xfId="10188"/>
    <cellStyle name="Обычный 17 46 2" xfId="10189"/>
    <cellStyle name="Обычный 17 46 3" xfId="10190"/>
    <cellStyle name="Обычный 17 47" xfId="10191"/>
    <cellStyle name="Обычный 17 47 2" xfId="10192"/>
    <cellStyle name="Обычный 17 47 3" xfId="10193"/>
    <cellStyle name="Обычный 17 48" xfId="10194"/>
    <cellStyle name="Обычный 17 48 2" xfId="10195"/>
    <cellStyle name="Обычный 17 48 3" xfId="10196"/>
    <cellStyle name="Обычный 17 49" xfId="10197"/>
    <cellStyle name="Обычный 17 49 2" xfId="10198"/>
    <cellStyle name="Обычный 17 49 3" xfId="10199"/>
    <cellStyle name="Обычный 17 5" xfId="10200"/>
    <cellStyle name="Обычный 17 5 2" xfId="10201"/>
    <cellStyle name="Обычный 17 5 3" xfId="10202"/>
    <cellStyle name="Обычный 17 50" xfId="10203"/>
    <cellStyle name="Обычный 17 50 2" xfId="10204"/>
    <cellStyle name="Обычный 17 50 3" xfId="10205"/>
    <cellStyle name="Обычный 17 51" xfId="10206"/>
    <cellStyle name="Обычный 17 51 2" xfId="10207"/>
    <cellStyle name="Обычный 17 51 3" xfId="10208"/>
    <cellStyle name="Обычный 17 52" xfId="10209"/>
    <cellStyle name="Обычный 17 52 2" xfId="10210"/>
    <cellStyle name="Обычный 17 52 3" xfId="10211"/>
    <cellStyle name="Обычный 17 53" xfId="10212"/>
    <cellStyle name="Обычный 17 53 2" xfId="10213"/>
    <cellStyle name="Обычный 17 53 3" xfId="10214"/>
    <cellStyle name="Обычный 17 54" xfId="10215"/>
    <cellStyle name="Обычный 17 54 2" xfId="10216"/>
    <cellStyle name="Обычный 17 54 3" xfId="10217"/>
    <cellStyle name="Обычный 17 55" xfId="10218"/>
    <cellStyle name="Обычный 17 55 2" xfId="10219"/>
    <cellStyle name="Обычный 17 55 3" xfId="10220"/>
    <cellStyle name="Обычный 17 56" xfId="10221"/>
    <cellStyle name="Обычный 17 56 2" xfId="10222"/>
    <cellStyle name="Обычный 17 56 3" xfId="10223"/>
    <cellStyle name="Обычный 17 57" xfId="10224"/>
    <cellStyle name="Обычный 17 57 2" xfId="10225"/>
    <cellStyle name="Обычный 17 57 3" xfId="10226"/>
    <cellStyle name="Обычный 17 58" xfId="10227"/>
    <cellStyle name="Обычный 17 58 2" xfId="10228"/>
    <cellStyle name="Обычный 17 58 3" xfId="10229"/>
    <cellStyle name="Обычный 17 59" xfId="10230"/>
    <cellStyle name="Обычный 17 59 2" xfId="10231"/>
    <cellStyle name="Обычный 17 59 3" xfId="10232"/>
    <cellStyle name="Обычный 17 6" xfId="10233"/>
    <cellStyle name="Обычный 17 6 2" xfId="10234"/>
    <cellStyle name="Обычный 17 6 3" xfId="10235"/>
    <cellStyle name="Обычный 17 60" xfId="10236"/>
    <cellStyle name="Обычный 17 60 2" xfId="10237"/>
    <cellStyle name="Обычный 17 60 3" xfId="10238"/>
    <cellStyle name="Обычный 17 61" xfId="10239"/>
    <cellStyle name="Обычный 17 61 2" xfId="10240"/>
    <cellStyle name="Обычный 17 61 3" xfId="10241"/>
    <cellStyle name="Обычный 17 62" xfId="10242"/>
    <cellStyle name="Обычный 17 62 2" xfId="10243"/>
    <cellStyle name="Обычный 17 62 3" xfId="10244"/>
    <cellStyle name="Обычный 17 63" xfId="10245"/>
    <cellStyle name="Обычный 17 63 2" xfId="10246"/>
    <cellStyle name="Обычный 17 63 3" xfId="10247"/>
    <cellStyle name="Обычный 17 64" xfId="10248"/>
    <cellStyle name="Обычный 17 64 2" xfId="10249"/>
    <cellStyle name="Обычный 17 64 3" xfId="10250"/>
    <cellStyle name="Обычный 17 65" xfId="10251"/>
    <cellStyle name="Обычный 17 65 2" xfId="10252"/>
    <cellStyle name="Обычный 17 65 3" xfId="10253"/>
    <cellStyle name="Обычный 17 66" xfId="10254"/>
    <cellStyle name="Обычный 17 67" xfId="10255"/>
    <cellStyle name="Обычный 17 7" xfId="10256"/>
    <cellStyle name="Обычный 17 7 2" xfId="10257"/>
    <cellStyle name="Обычный 17 7 3" xfId="10258"/>
    <cellStyle name="Обычный 17 8" xfId="10259"/>
    <cellStyle name="Обычный 17 8 2" xfId="10260"/>
    <cellStyle name="Обычный 17 8 3" xfId="10261"/>
    <cellStyle name="Обычный 17 9" xfId="10262"/>
    <cellStyle name="Обычный 17 9 2" xfId="10263"/>
    <cellStyle name="Обычный 17 9 3" xfId="10264"/>
    <cellStyle name="Обычный 18" xfId="10265"/>
    <cellStyle name="Обычный 18 2" xfId="10266"/>
    <cellStyle name="Обычный 19" xfId="10267"/>
    <cellStyle name="Обычный 19 2" xfId="10268"/>
    <cellStyle name="Обычный 2" xfId="57"/>
    <cellStyle name="Обычный 2 10" xfId="58"/>
    <cellStyle name="Обычный 2 11" xfId="59"/>
    <cellStyle name="Обычный 2 12" xfId="60"/>
    <cellStyle name="Обычный 2 12 10" xfId="61"/>
    <cellStyle name="Обычный 2 12 11" xfId="10269"/>
    <cellStyle name="Обычный 2 12 12" xfId="10270"/>
    <cellStyle name="Обычный 2 12 13" xfId="10271"/>
    <cellStyle name="Обычный 2 12 14" xfId="10272"/>
    <cellStyle name="Обычный 2 12 15" xfId="10273"/>
    <cellStyle name="Обычный 2 12 16" xfId="10274"/>
    <cellStyle name="Обычный 2 12 2" xfId="10275"/>
    <cellStyle name="Обычный 2 12 2 2" xfId="10276"/>
    <cellStyle name="Обычный 2 12 2 2 2" xfId="10277"/>
    <cellStyle name="Обычный 2 12 2 2 3" xfId="10278"/>
    <cellStyle name="Обычный 2 12 2 3" xfId="10279"/>
    <cellStyle name="Обычный 2 12 2 4" xfId="10280"/>
    <cellStyle name="Обычный 2 12 2 5" xfId="10281"/>
    <cellStyle name="Обычный 2 12 2 6" xfId="10282"/>
    <cellStyle name="Обычный 2 12 2 7" xfId="10283"/>
    <cellStyle name="Обычный 2 12 2 8" xfId="10284"/>
    <cellStyle name="Обычный 2 12 3" xfId="10285"/>
    <cellStyle name="Обычный 2 12 4" xfId="10286"/>
    <cellStyle name="Обычный 2 12 4 2" xfId="10287"/>
    <cellStyle name="Обычный 2 12 4 3" xfId="10288"/>
    <cellStyle name="Обычный 2 12 5" xfId="10289"/>
    <cellStyle name="Обычный 2 12 6" xfId="10290"/>
    <cellStyle name="Обычный 2 12 7" xfId="10291"/>
    <cellStyle name="Обычный 2 12 8" xfId="10292"/>
    <cellStyle name="Обычный 2 12 9" xfId="10293"/>
    <cellStyle name="Обычный 2 13" xfId="62"/>
    <cellStyle name="Обычный 2 14" xfId="63"/>
    <cellStyle name="Обычный 2 15" xfId="64"/>
    <cellStyle name="Обычный 2 16" xfId="10294"/>
    <cellStyle name="Обычный 2 17" xfId="10295"/>
    <cellStyle name="Обычный 2 18" xfId="10296"/>
    <cellStyle name="Обычный 2 18 2" xfId="10297"/>
    <cellStyle name="Обычный 2 18 2 2" xfId="10298"/>
    <cellStyle name="Обычный 2 18 2 3" xfId="10299"/>
    <cellStyle name="Обычный 2 18 3" xfId="10300"/>
    <cellStyle name="Обычный 2 18 4" xfId="10301"/>
    <cellStyle name="Обычный 2 18 5" xfId="10302"/>
    <cellStyle name="Обычный 2 18 6" xfId="10303"/>
    <cellStyle name="Обычный 2 18 7" xfId="10304"/>
    <cellStyle name="Обычный 2 18 8" xfId="10305"/>
    <cellStyle name="Обычный 2 19" xfId="10306"/>
    <cellStyle name="Обычный 2 2" xfId="65"/>
    <cellStyle name="Обычный 2 2 10" xfId="10307"/>
    <cellStyle name="Обычный 2 2 100" xfId="10308"/>
    <cellStyle name="Обычный 2 2 101" xfId="10309"/>
    <cellStyle name="Обычный 2 2 101 2" xfId="10310"/>
    <cellStyle name="Обычный 2 2 101 3" xfId="10311"/>
    <cellStyle name="Обычный 2 2 102" xfId="10312"/>
    <cellStyle name="Обычный 2 2 103" xfId="10313"/>
    <cellStyle name="Обычный 2 2 104" xfId="10314"/>
    <cellStyle name="Обычный 2 2 105" xfId="10315"/>
    <cellStyle name="Обычный 2 2 11" xfId="10316"/>
    <cellStyle name="Обычный 2 2 12" xfId="10317"/>
    <cellStyle name="Обычный 2 2 12 10" xfId="10318"/>
    <cellStyle name="Обычный 2 2 12 11" xfId="10319"/>
    <cellStyle name="Обычный 2 2 12 12" xfId="10320"/>
    <cellStyle name="Обычный 2 2 12 13" xfId="10321"/>
    <cellStyle name="Обычный 2 2 12 14" xfId="10322"/>
    <cellStyle name="Обычный 2 2 12 15" xfId="10323"/>
    <cellStyle name="Обычный 2 2 12 16" xfId="10324"/>
    <cellStyle name="Обычный 2 2 12 2" xfId="10325"/>
    <cellStyle name="Обычный 2 2 12 2 2" xfId="10326"/>
    <cellStyle name="Обычный 2 2 12 2 2 2" xfId="10327"/>
    <cellStyle name="Обычный 2 2 12 2 2 3" xfId="10328"/>
    <cellStyle name="Обычный 2 2 12 2 3" xfId="10329"/>
    <cellStyle name="Обычный 2 2 12 2 4" xfId="10330"/>
    <cellStyle name="Обычный 2 2 12 2 5" xfId="10331"/>
    <cellStyle name="Обычный 2 2 12 2 6" xfId="10332"/>
    <cellStyle name="Обычный 2 2 12 2 7" xfId="10333"/>
    <cellStyle name="Обычный 2 2 12 2 8" xfId="10334"/>
    <cellStyle name="Обычный 2 2 12 3" xfId="10335"/>
    <cellStyle name="Обычный 2 2 12 4" xfId="10336"/>
    <cellStyle name="Обычный 2 2 12 4 2" xfId="10337"/>
    <cellStyle name="Обычный 2 2 12 4 3" xfId="10338"/>
    <cellStyle name="Обычный 2 2 12 5" xfId="10339"/>
    <cellStyle name="Обычный 2 2 12 6" xfId="10340"/>
    <cellStyle name="Обычный 2 2 12 7" xfId="10341"/>
    <cellStyle name="Обычный 2 2 12 8" xfId="10342"/>
    <cellStyle name="Обычный 2 2 12 9" xfId="10343"/>
    <cellStyle name="Обычный 2 2 13" xfId="10344"/>
    <cellStyle name="Обычный 2 2 14" xfId="10345"/>
    <cellStyle name="Обычный 2 2 15" xfId="10346"/>
    <cellStyle name="Обычный 2 2 16" xfId="10347"/>
    <cellStyle name="Обычный 2 2 17" xfId="10348"/>
    <cellStyle name="Обычный 2 2 18" xfId="10349"/>
    <cellStyle name="Обычный 2 2 18 2" xfId="10350"/>
    <cellStyle name="Обычный 2 2 18 2 2" xfId="10351"/>
    <cellStyle name="Обычный 2 2 18 2 3" xfId="10352"/>
    <cellStyle name="Обычный 2 2 18 3" xfId="10353"/>
    <cellStyle name="Обычный 2 2 18 4" xfId="10354"/>
    <cellStyle name="Обычный 2 2 18 5" xfId="10355"/>
    <cellStyle name="Обычный 2 2 18 6" xfId="10356"/>
    <cellStyle name="Обычный 2 2 18 7" xfId="10357"/>
    <cellStyle name="Обычный 2 2 18 8" xfId="10358"/>
    <cellStyle name="Обычный 2 2 19" xfId="10359"/>
    <cellStyle name="Обычный 2 2 19 2" xfId="10360"/>
    <cellStyle name="Обычный 2 2 19 3" xfId="10361"/>
    <cellStyle name="Обычный 2 2 2" xfId="66"/>
    <cellStyle name="Обычный 2 2 2 2" xfId="67"/>
    <cellStyle name="Обычный 2 2 2 2 2" xfId="68"/>
    <cellStyle name="Обычный 2 2 2 2 2 2" xfId="69"/>
    <cellStyle name="Обычный 2 2 2 2 2 2 2" xfId="70"/>
    <cellStyle name="Обычный 2 2 2 2 2 3" xfId="71"/>
    <cellStyle name="Обычный 2 2 2 2 2 4" xfId="72"/>
    <cellStyle name="Обычный 2 2 2 2 3" xfId="73"/>
    <cellStyle name="Обычный 2 2 2 2 3 2" xfId="74"/>
    <cellStyle name="Обычный 2 2 2 2 4" xfId="75"/>
    <cellStyle name="Обычный 2 2 2 3" xfId="76"/>
    <cellStyle name="Обычный 2 2 2 3 2" xfId="77"/>
    <cellStyle name="Обычный 2 2 2 4" xfId="78"/>
    <cellStyle name="Обычный 2 2 20" xfId="10362"/>
    <cellStyle name="Обычный 2 2 21" xfId="10363"/>
    <cellStyle name="Обычный 2 2 22" xfId="10364"/>
    <cellStyle name="Обычный 2 2 23" xfId="10365"/>
    <cellStyle name="Обычный 2 2 24" xfId="10366"/>
    <cellStyle name="Обычный 2 2 25" xfId="10367"/>
    <cellStyle name="Обычный 2 2 25 2" xfId="10368"/>
    <cellStyle name="Обычный 2 2 25 2 2" xfId="10369"/>
    <cellStyle name="Обычный 2 2 25 2 2 2" xfId="10370"/>
    <cellStyle name="Обычный 2 2 25 2 2 3" xfId="10371"/>
    <cellStyle name="Обычный 2 2 25 2 2 4" xfId="10372"/>
    <cellStyle name="Обычный 2 2 25 2 2 5" xfId="10373"/>
    <cellStyle name="Обычный 2 2 25 2 2 6" xfId="10374"/>
    <cellStyle name="Обычный 2 2 25 2 3" xfId="10375"/>
    <cellStyle name="Обычный 2 2 25 2 4" xfId="10376"/>
    <cellStyle name="Обычный 2 2 25 2 5" xfId="10377"/>
    <cellStyle name="Обычный 2 2 25 2 6" xfId="10378"/>
    <cellStyle name="Обычный 2 2 25 3" xfId="10379"/>
    <cellStyle name="Обычный 2 2 25 4" xfId="10380"/>
    <cellStyle name="Обычный 2 2 25 5" xfId="10381"/>
    <cellStyle name="Обычный 2 2 25 6" xfId="10382"/>
    <cellStyle name="Обычный 2 2 25 7" xfId="10383"/>
    <cellStyle name="Обычный 2 2 25 8" xfId="10384"/>
    <cellStyle name="Обычный 2 2 26" xfId="10385"/>
    <cellStyle name="Обычный 2 2 27" xfId="10386"/>
    <cellStyle name="Обычный 2 2 28" xfId="10387"/>
    <cellStyle name="Обычный 2 2 29" xfId="10388"/>
    <cellStyle name="Обычный 2 2 29 2" xfId="10389"/>
    <cellStyle name="Обычный 2 2 29 2 2" xfId="10390"/>
    <cellStyle name="Обычный 2 2 29 2 3" xfId="10391"/>
    <cellStyle name="Обычный 2 2 29 2 4" xfId="10392"/>
    <cellStyle name="Обычный 2 2 29 2 5" xfId="10393"/>
    <cellStyle name="Обычный 2 2 29 2 6" xfId="10394"/>
    <cellStyle name="Обычный 2 2 29 3" xfId="10395"/>
    <cellStyle name="Обычный 2 2 29 4" xfId="10396"/>
    <cellStyle name="Обычный 2 2 29 5" xfId="10397"/>
    <cellStyle name="Обычный 2 2 29 6" xfId="10398"/>
    <cellStyle name="Обычный 2 2 3" xfId="79"/>
    <cellStyle name="Обычный 2 2 30" xfId="10399"/>
    <cellStyle name="Обычный 2 2 31" xfId="10400"/>
    <cellStyle name="Обычный 2 2 32" xfId="10401"/>
    <cellStyle name="Обычный 2 2 33" xfId="10402"/>
    <cellStyle name="Обычный 2 2 34" xfId="10403"/>
    <cellStyle name="Обычный 2 2 35" xfId="10404"/>
    <cellStyle name="Обычный 2 2 35 10" xfId="10405"/>
    <cellStyle name="Обычный 2 2 35 11" xfId="10406"/>
    <cellStyle name="Обычный 2 2 35 12" xfId="10407"/>
    <cellStyle name="Обычный 2 2 35 13" xfId="10408"/>
    <cellStyle name="Обычный 2 2 35 14" xfId="10409"/>
    <cellStyle name="Обычный 2 2 35 15" xfId="10410"/>
    <cellStyle name="Обычный 2 2 35 16" xfId="10411"/>
    <cellStyle name="Обычный 2 2 35 17" xfId="10412"/>
    <cellStyle name="Обычный 2 2 35 18" xfId="10413"/>
    <cellStyle name="Обычный 2 2 35 19" xfId="10414"/>
    <cellStyle name="Обычный 2 2 35 2" xfId="10415"/>
    <cellStyle name="Обычный 2 2 35 2 10" xfId="10416"/>
    <cellStyle name="Обычный 2 2 35 2 11" xfId="10417"/>
    <cellStyle name="Обычный 2 2 35 2 12" xfId="10418"/>
    <cellStyle name="Обычный 2 2 35 2 13" xfId="10419"/>
    <cellStyle name="Обычный 2 2 35 2 14" xfId="10420"/>
    <cellStyle name="Обычный 2 2 35 2 15" xfId="10421"/>
    <cellStyle name="Обычный 2 2 35 2 16" xfId="10422"/>
    <cellStyle name="Обычный 2 2 35 2 17" xfId="10423"/>
    <cellStyle name="Обычный 2 2 35 2 18" xfId="10424"/>
    <cellStyle name="Обычный 2 2 35 2 19" xfId="10425"/>
    <cellStyle name="Обычный 2 2 35 2 2" xfId="10426"/>
    <cellStyle name="Обычный 2 2 35 2 2 10" xfId="10427"/>
    <cellStyle name="Обычный 2 2 35 2 2 11" xfId="10428"/>
    <cellStyle name="Обычный 2 2 35 2 2 12" xfId="10429"/>
    <cellStyle name="Обычный 2 2 35 2 2 13" xfId="10430"/>
    <cellStyle name="Обычный 2 2 35 2 2 14" xfId="10431"/>
    <cellStyle name="Обычный 2 2 35 2 2 15" xfId="10432"/>
    <cellStyle name="Обычный 2 2 35 2 2 16" xfId="10433"/>
    <cellStyle name="Обычный 2 2 35 2 2 17" xfId="10434"/>
    <cellStyle name="Обычный 2 2 35 2 2 18" xfId="10435"/>
    <cellStyle name="Обычный 2 2 35 2 2 19" xfId="10436"/>
    <cellStyle name="Обычный 2 2 35 2 2 2" xfId="10437"/>
    <cellStyle name="Обычный 2 2 35 2 2 20" xfId="10438"/>
    <cellStyle name="Обычный 2 2 35 2 2 21" xfId="10439"/>
    <cellStyle name="Обычный 2 2 35 2 2 22" xfId="10440"/>
    <cellStyle name="Обычный 2 2 35 2 2 23" xfId="10441"/>
    <cellStyle name="Обычный 2 2 35 2 2 24" xfId="10442"/>
    <cellStyle name="Обычный 2 2 35 2 2 25" xfId="10443"/>
    <cellStyle name="Обычный 2 2 35 2 2 26" xfId="10444"/>
    <cellStyle name="Обычный 2 2 35 2 2 27" xfId="10445"/>
    <cellStyle name="Обычный 2 2 35 2 2 28" xfId="10446"/>
    <cellStyle name="Обычный 2 2 35 2 2 29" xfId="10447"/>
    <cellStyle name="Обычный 2 2 35 2 2 3" xfId="10448"/>
    <cellStyle name="Обычный 2 2 35 2 2 30" xfId="10449"/>
    <cellStyle name="Обычный 2 2 35 2 2 31" xfId="10450"/>
    <cellStyle name="Обычный 2 2 35 2 2 32" xfId="10451"/>
    <cellStyle name="Обычный 2 2 35 2 2 33" xfId="10452"/>
    <cellStyle name="Обычный 2 2 35 2 2 34" xfId="10453"/>
    <cellStyle name="Обычный 2 2 35 2 2 35" xfId="10454"/>
    <cellStyle name="Обычный 2 2 35 2 2 36" xfId="10455"/>
    <cellStyle name="Обычный 2 2 35 2 2 37" xfId="10456"/>
    <cellStyle name="Обычный 2 2 35 2 2 38" xfId="10457"/>
    <cellStyle name="Обычный 2 2 35 2 2 39" xfId="10458"/>
    <cellStyle name="Обычный 2 2 35 2 2 4" xfId="10459"/>
    <cellStyle name="Обычный 2 2 35 2 2 40" xfId="10460"/>
    <cellStyle name="Обычный 2 2 35 2 2 41" xfId="10461"/>
    <cellStyle name="Обычный 2 2 35 2 2 42" xfId="10462"/>
    <cellStyle name="Обычный 2 2 35 2 2 43" xfId="10463"/>
    <cellStyle name="Обычный 2 2 35 2 2 44" xfId="10464"/>
    <cellStyle name="Обычный 2 2 35 2 2 45" xfId="10465"/>
    <cellStyle name="Обычный 2 2 35 2 2 46" xfId="10466"/>
    <cellStyle name="Обычный 2 2 35 2 2 47" xfId="10467"/>
    <cellStyle name="Обычный 2 2 35 2 2 48" xfId="10468"/>
    <cellStyle name="Обычный 2 2 35 2 2 49" xfId="10469"/>
    <cellStyle name="Обычный 2 2 35 2 2 5" xfId="10470"/>
    <cellStyle name="Обычный 2 2 35 2 2 50" xfId="10471"/>
    <cellStyle name="Обычный 2 2 35 2 2 51" xfId="10472"/>
    <cellStyle name="Обычный 2 2 35 2 2 52" xfId="10473"/>
    <cellStyle name="Обычный 2 2 35 2 2 53" xfId="10474"/>
    <cellStyle name="Обычный 2 2 35 2 2 54" xfId="10475"/>
    <cellStyle name="Обычный 2 2 35 2 2 55" xfId="10476"/>
    <cellStyle name="Обычный 2 2 35 2 2 56" xfId="10477"/>
    <cellStyle name="Обычный 2 2 35 2 2 57" xfId="10478"/>
    <cellStyle name="Обычный 2 2 35 2 2 6" xfId="10479"/>
    <cellStyle name="Обычный 2 2 35 2 2 7" xfId="10480"/>
    <cellStyle name="Обычный 2 2 35 2 2 8" xfId="10481"/>
    <cellStyle name="Обычный 2 2 35 2 2 9" xfId="10482"/>
    <cellStyle name="Обычный 2 2 35 2 20" xfId="10483"/>
    <cellStyle name="Обычный 2 2 35 2 21" xfId="10484"/>
    <cellStyle name="Обычный 2 2 35 2 22" xfId="10485"/>
    <cellStyle name="Обычный 2 2 35 2 23" xfId="10486"/>
    <cellStyle name="Обычный 2 2 35 2 24" xfId="10487"/>
    <cellStyle name="Обычный 2 2 35 2 25" xfId="10488"/>
    <cellStyle name="Обычный 2 2 35 2 26" xfId="10489"/>
    <cellStyle name="Обычный 2 2 35 2 27" xfId="10490"/>
    <cellStyle name="Обычный 2 2 35 2 28" xfId="10491"/>
    <cellStyle name="Обычный 2 2 35 2 29" xfId="10492"/>
    <cellStyle name="Обычный 2 2 35 2 3" xfId="10493"/>
    <cellStyle name="Обычный 2 2 35 2 30" xfId="10494"/>
    <cellStyle name="Обычный 2 2 35 2 31" xfId="10495"/>
    <cellStyle name="Обычный 2 2 35 2 32" xfId="10496"/>
    <cellStyle name="Обычный 2 2 35 2 33" xfId="10497"/>
    <cellStyle name="Обычный 2 2 35 2 34" xfId="10498"/>
    <cellStyle name="Обычный 2 2 35 2 35" xfId="10499"/>
    <cellStyle name="Обычный 2 2 35 2 36" xfId="10500"/>
    <cellStyle name="Обычный 2 2 35 2 37" xfId="10501"/>
    <cellStyle name="Обычный 2 2 35 2 38" xfId="10502"/>
    <cellStyle name="Обычный 2 2 35 2 39" xfId="10503"/>
    <cellStyle name="Обычный 2 2 35 2 4" xfId="10504"/>
    <cellStyle name="Обычный 2 2 35 2 40" xfId="10505"/>
    <cellStyle name="Обычный 2 2 35 2 41" xfId="10506"/>
    <cellStyle name="Обычный 2 2 35 2 42" xfId="10507"/>
    <cellStyle name="Обычный 2 2 35 2 43" xfId="10508"/>
    <cellStyle name="Обычный 2 2 35 2 44" xfId="10509"/>
    <cellStyle name="Обычный 2 2 35 2 45" xfId="10510"/>
    <cellStyle name="Обычный 2 2 35 2 46" xfId="10511"/>
    <cellStyle name="Обычный 2 2 35 2 47" xfId="10512"/>
    <cellStyle name="Обычный 2 2 35 2 48" xfId="10513"/>
    <cellStyle name="Обычный 2 2 35 2 49" xfId="10514"/>
    <cellStyle name="Обычный 2 2 35 2 5" xfId="10515"/>
    <cellStyle name="Обычный 2 2 35 2 50" xfId="10516"/>
    <cellStyle name="Обычный 2 2 35 2 51" xfId="10517"/>
    <cellStyle name="Обычный 2 2 35 2 52" xfId="10518"/>
    <cellStyle name="Обычный 2 2 35 2 53" xfId="10519"/>
    <cellStyle name="Обычный 2 2 35 2 54" xfId="10520"/>
    <cellStyle name="Обычный 2 2 35 2 55" xfId="10521"/>
    <cellStyle name="Обычный 2 2 35 2 56" xfId="10522"/>
    <cellStyle name="Обычный 2 2 35 2 57" xfId="10523"/>
    <cellStyle name="Обычный 2 2 35 2 58" xfId="10524"/>
    <cellStyle name="Обычный 2 2 35 2 59" xfId="10525"/>
    <cellStyle name="Обычный 2 2 35 2 6" xfId="10526"/>
    <cellStyle name="Обычный 2 2 35 2 7" xfId="10527"/>
    <cellStyle name="Обычный 2 2 35 2 8" xfId="10528"/>
    <cellStyle name="Обычный 2 2 35 2 9" xfId="10529"/>
    <cellStyle name="Обычный 2 2 35 20" xfId="10530"/>
    <cellStyle name="Обычный 2 2 35 21" xfId="10531"/>
    <cellStyle name="Обычный 2 2 35 22" xfId="10532"/>
    <cellStyle name="Обычный 2 2 35 23" xfId="10533"/>
    <cellStyle name="Обычный 2 2 35 24" xfId="10534"/>
    <cellStyle name="Обычный 2 2 35 25" xfId="10535"/>
    <cellStyle name="Обычный 2 2 35 26" xfId="10536"/>
    <cellStyle name="Обычный 2 2 35 27" xfId="10537"/>
    <cellStyle name="Обычный 2 2 35 28" xfId="10538"/>
    <cellStyle name="Обычный 2 2 35 29" xfId="10539"/>
    <cellStyle name="Обычный 2 2 35 3" xfId="10540"/>
    <cellStyle name="Обычный 2 2 35 30" xfId="10541"/>
    <cellStyle name="Обычный 2 2 35 31" xfId="10542"/>
    <cellStyle name="Обычный 2 2 35 32" xfId="10543"/>
    <cellStyle name="Обычный 2 2 35 33" xfId="10544"/>
    <cellStyle name="Обычный 2 2 35 34" xfId="10545"/>
    <cellStyle name="Обычный 2 2 35 35" xfId="10546"/>
    <cellStyle name="Обычный 2 2 35 36" xfId="10547"/>
    <cellStyle name="Обычный 2 2 35 37" xfId="10548"/>
    <cellStyle name="Обычный 2 2 35 38" xfId="10549"/>
    <cellStyle name="Обычный 2 2 35 39" xfId="10550"/>
    <cellStyle name="Обычный 2 2 35 4" xfId="10551"/>
    <cellStyle name="Обычный 2 2 35 40" xfId="10552"/>
    <cellStyle name="Обычный 2 2 35 41" xfId="10553"/>
    <cellStyle name="Обычный 2 2 35 42" xfId="10554"/>
    <cellStyle name="Обычный 2 2 35 43" xfId="10555"/>
    <cellStyle name="Обычный 2 2 35 44" xfId="10556"/>
    <cellStyle name="Обычный 2 2 35 45" xfId="10557"/>
    <cellStyle name="Обычный 2 2 35 46" xfId="10558"/>
    <cellStyle name="Обычный 2 2 35 47" xfId="10559"/>
    <cellStyle name="Обычный 2 2 35 48" xfId="10560"/>
    <cellStyle name="Обычный 2 2 35 49" xfId="10561"/>
    <cellStyle name="Обычный 2 2 35 5" xfId="10562"/>
    <cellStyle name="Обычный 2 2 35 50" xfId="10563"/>
    <cellStyle name="Обычный 2 2 35 51" xfId="10564"/>
    <cellStyle name="Обычный 2 2 35 52" xfId="10565"/>
    <cellStyle name="Обычный 2 2 35 53" xfId="10566"/>
    <cellStyle name="Обычный 2 2 35 54" xfId="10567"/>
    <cellStyle name="Обычный 2 2 35 55" xfId="10568"/>
    <cellStyle name="Обычный 2 2 35 56" xfId="10569"/>
    <cellStyle name="Обычный 2 2 35 57" xfId="10570"/>
    <cellStyle name="Обычный 2 2 35 58" xfId="10571"/>
    <cellStyle name="Обычный 2 2 35 59" xfId="10572"/>
    <cellStyle name="Обычный 2 2 35 6" xfId="10573"/>
    <cellStyle name="Обычный 2 2 35 60" xfId="10574"/>
    <cellStyle name="Обычный 2 2 35 61" xfId="10575"/>
    <cellStyle name="Обычный 2 2 35 62" xfId="10576"/>
    <cellStyle name="Обычный 2 2 35 63" xfId="10577"/>
    <cellStyle name="Обычный 2 2 35 64" xfId="10578"/>
    <cellStyle name="Обычный 2 2 35 7" xfId="10579"/>
    <cellStyle name="Обычный 2 2 35 8" xfId="10580"/>
    <cellStyle name="Обычный 2 2 35 8 10" xfId="10581"/>
    <cellStyle name="Обычный 2 2 35 8 11" xfId="10582"/>
    <cellStyle name="Обычный 2 2 35 8 12" xfId="10583"/>
    <cellStyle name="Обычный 2 2 35 8 13" xfId="10584"/>
    <cellStyle name="Обычный 2 2 35 8 14" xfId="10585"/>
    <cellStyle name="Обычный 2 2 35 8 15" xfId="10586"/>
    <cellStyle name="Обычный 2 2 35 8 16" xfId="10587"/>
    <cellStyle name="Обычный 2 2 35 8 17" xfId="10588"/>
    <cellStyle name="Обычный 2 2 35 8 18" xfId="10589"/>
    <cellStyle name="Обычный 2 2 35 8 19" xfId="10590"/>
    <cellStyle name="Обычный 2 2 35 8 2" xfId="10591"/>
    <cellStyle name="Обычный 2 2 35 8 20" xfId="10592"/>
    <cellStyle name="Обычный 2 2 35 8 21" xfId="10593"/>
    <cellStyle name="Обычный 2 2 35 8 22" xfId="10594"/>
    <cellStyle name="Обычный 2 2 35 8 23" xfId="10595"/>
    <cellStyle name="Обычный 2 2 35 8 24" xfId="10596"/>
    <cellStyle name="Обычный 2 2 35 8 25" xfId="10597"/>
    <cellStyle name="Обычный 2 2 35 8 26" xfId="10598"/>
    <cellStyle name="Обычный 2 2 35 8 27" xfId="10599"/>
    <cellStyle name="Обычный 2 2 35 8 28" xfId="10600"/>
    <cellStyle name="Обычный 2 2 35 8 29" xfId="10601"/>
    <cellStyle name="Обычный 2 2 35 8 3" xfId="10602"/>
    <cellStyle name="Обычный 2 2 35 8 30" xfId="10603"/>
    <cellStyle name="Обычный 2 2 35 8 31" xfId="10604"/>
    <cellStyle name="Обычный 2 2 35 8 32" xfId="10605"/>
    <cellStyle name="Обычный 2 2 35 8 33" xfId="10606"/>
    <cellStyle name="Обычный 2 2 35 8 34" xfId="10607"/>
    <cellStyle name="Обычный 2 2 35 8 35" xfId="10608"/>
    <cellStyle name="Обычный 2 2 35 8 36" xfId="10609"/>
    <cellStyle name="Обычный 2 2 35 8 37" xfId="10610"/>
    <cellStyle name="Обычный 2 2 35 8 38" xfId="10611"/>
    <cellStyle name="Обычный 2 2 35 8 39" xfId="10612"/>
    <cellStyle name="Обычный 2 2 35 8 4" xfId="10613"/>
    <cellStyle name="Обычный 2 2 35 8 40" xfId="10614"/>
    <cellStyle name="Обычный 2 2 35 8 41" xfId="10615"/>
    <cellStyle name="Обычный 2 2 35 8 42" xfId="10616"/>
    <cellStyle name="Обычный 2 2 35 8 43" xfId="10617"/>
    <cellStyle name="Обычный 2 2 35 8 44" xfId="10618"/>
    <cellStyle name="Обычный 2 2 35 8 45" xfId="10619"/>
    <cellStyle name="Обычный 2 2 35 8 46" xfId="10620"/>
    <cellStyle name="Обычный 2 2 35 8 47" xfId="10621"/>
    <cellStyle name="Обычный 2 2 35 8 48" xfId="10622"/>
    <cellStyle name="Обычный 2 2 35 8 49" xfId="10623"/>
    <cellStyle name="Обычный 2 2 35 8 5" xfId="10624"/>
    <cellStyle name="Обычный 2 2 35 8 50" xfId="10625"/>
    <cellStyle name="Обычный 2 2 35 8 51" xfId="10626"/>
    <cellStyle name="Обычный 2 2 35 8 52" xfId="10627"/>
    <cellStyle name="Обычный 2 2 35 8 53" xfId="10628"/>
    <cellStyle name="Обычный 2 2 35 8 54" xfId="10629"/>
    <cellStyle name="Обычный 2 2 35 8 55" xfId="10630"/>
    <cellStyle name="Обычный 2 2 35 8 56" xfId="10631"/>
    <cellStyle name="Обычный 2 2 35 8 57" xfId="10632"/>
    <cellStyle name="Обычный 2 2 35 8 6" xfId="10633"/>
    <cellStyle name="Обычный 2 2 35 8 7" xfId="10634"/>
    <cellStyle name="Обычный 2 2 35 8 8" xfId="10635"/>
    <cellStyle name="Обычный 2 2 35 8 9" xfId="10636"/>
    <cellStyle name="Обычный 2 2 35 9" xfId="10637"/>
    <cellStyle name="Обычный 2 2 36" xfId="10638"/>
    <cellStyle name="Обычный 2 2 37" xfId="10639"/>
    <cellStyle name="Обычный 2 2 38" xfId="10640"/>
    <cellStyle name="Обычный 2 2 38 10" xfId="10641"/>
    <cellStyle name="Обычный 2 2 38 11" xfId="10642"/>
    <cellStyle name="Обычный 2 2 38 12" xfId="10643"/>
    <cellStyle name="Обычный 2 2 38 13" xfId="10644"/>
    <cellStyle name="Обычный 2 2 38 14" xfId="10645"/>
    <cellStyle name="Обычный 2 2 38 15" xfId="10646"/>
    <cellStyle name="Обычный 2 2 38 16" xfId="10647"/>
    <cellStyle name="Обычный 2 2 38 17" xfId="10648"/>
    <cellStyle name="Обычный 2 2 38 18" xfId="10649"/>
    <cellStyle name="Обычный 2 2 38 19" xfId="10650"/>
    <cellStyle name="Обычный 2 2 38 2" xfId="10651"/>
    <cellStyle name="Обычный 2 2 38 2 10" xfId="10652"/>
    <cellStyle name="Обычный 2 2 38 2 11" xfId="10653"/>
    <cellStyle name="Обычный 2 2 38 2 12" xfId="10654"/>
    <cellStyle name="Обычный 2 2 38 2 13" xfId="10655"/>
    <cellStyle name="Обычный 2 2 38 2 14" xfId="10656"/>
    <cellStyle name="Обычный 2 2 38 2 15" xfId="10657"/>
    <cellStyle name="Обычный 2 2 38 2 16" xfId="10658"/>
    <cellStyle name="Обычный 2 2 38 2 17" xfId="10659"/>
    <cellStyle name="Обычный 2 2 38 2 18" xfId="10660"/>
    <cellStyle name="Обычный 2 2 38 2 19" xfId="10661"/>
    <cellStyle name="Обычный 2 2 38 2 2" xfId="10662"/>
    <cellStyle name="Обычный 2 2 38 2 20" xfId="10663"/>
    <cellStyle name="Обычный 2 2 38 2 21" xfId="10664"/>
    <cellStyle name="Обычный 2 2 38 2 22" xfId="10665"/>
    <cellStyle name="Обычный 2 2 38 2 23" xfId="10666"/>
    <cellStyle name="Обычный 2 2 38 2 24" xfId="10667"/>
    <cellStyle name="Обычный 2 2 38 2 25" xfId="10668"/>
    <cellStyle name="Обычный 2 2 38 2 26" xfId="10669"/>
    <cellStyle name="Обычный 2 2 38 2 27" xfId="10670"/>
    <cellStyle name="Обычный 2 2 38 2 28" xfId="10671"/>
    <cellStyle name="Обычный 2 2 38 2 29" xfId="10672"/>
    <cellStyle name="Обычный 2 2 38 2 3" xfId="10673"/>
    <cellStyle name="Обычный 2 2 38 2 30" xfId="10674"/>
    <cellStyle name="Обычный 2 2 38 2 31" xfId="10675"/>
    <cellStyle name="Обычный 2 2 38 2 32" xfId="10676"/>
    <cellStyle name="Обычный 2 2 38 2 33" xfId="10677"/>
    <cellStyle name="Обычный 2 2 38 2 34" xfId="10678"/>
    <cellStyle name="Обычный 2 2 38 2 35" xfId="10679"/>
    <cellStyle name="Обычный 2 2 38 2 36" xfId="10680"/>
    <cellStyle name="Обычный 2 2 38 2 37" xfId="10681"/>
    <cellStyle name="Обычный 2 2 38 2 38" xfId="10682"/>
    <cellStyle name="Обычный 2 2 38 2 39" xfId="10683"/>
    <cellStyle name="Обычный 2 2 38 2 4" xfId="10684"/>
    <cellStyle name="Обычный 2 2 38 2 40" xfId="10685"/>
    <cellStyle name="Обычный 2 2 38 2 41" xfId="10686"/>
    <cellStyle name="Обычный 2 2 38 2 42" xfId="10687"/>
    <cellStyle name="Обычный 2 2 38 2 43" xfId="10688"/>
    <cellStyle name="Обычный 2 2 38 2 44" xfId="10689"/>
    <cellStyle name="Обычный 2 2 38 2 45" xfId="10690"/>
    <cellStyle name="Обычный 2 2 38 2 46" xfId="10691"/>
    <cellStyle name="Обычный 2 2 38 2 47" xfId="10692"/>
    <cellStyle name="Обычный 2 2 38 2 48" xfId="10693"/>
    <cellStyle name="Обычный 2 2 38 2 49" xfId="10694"/>
    <cellStyle name="Обычный 2 2 38 2 5" xfId="10695"/>
    <cellStyle name="Обычный 2 2 38 2 50" xfId="10696"/>
    <cellStyle name="Обычный 2 2 38 2 51" xfId="10697"/>
    <cellStyle name="Обычный 2 2 38 2 52" xfId="10698"/>
    <cellStyle name="Обычный 2 2 38 2 53" xfId="10699"/>
    <cellStyle name="Обычный 2 2 38 2 54" xfId="10700"/>
    <cellStyle name="Обычный 2 2 38 2 55" xfId="10701"/>
    <cellStyle name="Обычный 2 2 38 2 56" xfId="10702"/>
    <cellStyle name="Обычный 2 2 38 2 57" xfId="10703"/>
    <cellStyle name="Обычный 2 2 38 2 6" xfId="10704"/>
    <cellStyle name="Обычный 2 2 38 2 7" xfId="10705"/>
    <cellStyle name="Обычный 2 2 38 2 8" xfId="10706"/>
    <cellStyle name="Обычный 2 2 38 2 9" xfId="10707"/>
    <cellStyle name="Обычный 2 2 38 20" xfId="10708"/>
    <cellStyle name="Обычный 2 2 38 21" xfId="10709"/>
    <cellStyle name="Обычный 2 2 38 22" xfId="10710"/>
    <cellStyle name="Обычный 2 2 38 23" xfId="10711"/>
    <cellStyle name="Обычный 2 2 38 24" xfId="10712"/>
    <cellStyle name="Обычный 2 2 38 25" xfId="10713"/>
    <cellStyle name="Обычный 2 2 38 26" xfId="10714"/>
    <cellStyle name="Обычный 2 2 38 27" xfId="10715"/>
    <cellStyle name="Обычный 2 2 38 28" xfId="10716"/>
    <cellStyle name="Обычный 2 2 38 29" xfId="10717"/>
    <cellStyle name="Обычный 2 2 38 3" xfId="10718"/>
    <cellStyle name="Обычный 2 2 38 30" xfId="10719"/>
    <cellStyle name="Обычный 2 2 38 31" xfId="10720"/>
    <cellStyle name="Обычный 2 2 38 32" xfId="10721"/>
    <cellStyle name="Обычный 2 2 38 33" xfId="10722"/>
    <cellStyle name="Обычный 2 2 38 34" xfId="10723"/>
    <cellStyle name="Обычный 2 2 38 35" xfId="10724"/>
    <cellStyle name="Обычный 2 2 38 36" xfId="10725"/>
    <cellStyle name="Обычный 2 2 38 37" xfId="10726"/>
    <cellStyle name="Обычный 2 2 38 38" xfId="10727"/>
    <cellStyle name="Обычный 2 2 38 39" xfId="10728"/>
    <cellStyle name="Обычный 2 2 38 4" xfId="10729"/>
    <cellStyle name="Обычный 2 2 38 40" xfId="10730"/>
    <cellStyle name="Обычный 2 2 38 41" xfId="10731"/>
    <cellStyle name="Обычный 2 2 38 42" xfId="10732"/>
    <cellStyle name="Обычный 2 2 38 43" xfId="10733"/>
    <cellStyle name="Обычный 2 2 38 44" xfId="10734"/>
    <cellStyle name="Обычный 2 2 38 45" xfId="10735"/>
    <cellStyle name="Обычный 2 2 38 46" xfId="10736"/>
    <cellStyle name="Обычный 2 2 38 47" xfId="10737"/>
    <cellStyle name="Обычный 2 2 38 48" xfId="10738"/>
    <cellStyle name="Обычный 2 2 38 49" xfId="10739"/>
    <cellStyle name="Обычный 2 2 38 5" xfId="10740"/>
    <cellStyle name="Обычный 2 2 38 50" xfId="10741"/>
    <cellStyle name="Обычный 2 2 38 51" xfId="10742"/>
    <cellStyle name="Обычный 2 2 38 52" xfId="10743"/>
    <cellStyle name="Обычный 2 2 38 53" xfId="10744"/>
    <cellStyle name="Обычный 2 2 38 54" xfId="10745"/>
    <cellStyle name="Обычный 2 2 38 55" xfId="10746"/>
    <cellStyle name="Обычный 2 2 38 56" xfId="10747"/>
    <cellStyle name="Обычный 2 2 38 57" xfId="10748"/>
    <cellStyle name="Обычный 2 2 38 58" xfId="10749"/>
    <cellStyle name="Обычный 2 2 38 59" xfId="10750"/>
    <cellStyle name="Обычный 2 2 38 6" xfId="10751"/>
    <cellStyle name="Обычный 2 2 38 7" xfId="10752"/>
    <cellStyle name="Обычный 2 2 38 8" xfId="10753"/>
    <cellStyle name="Обычный 2 2 38 9" xfId="10754"/>
    <cellStyle name="Обычный 2 2 39" xfId="10755"/>
    <cellStyle name="Обычный 2 2 4" xfId="80"/>
    <cellStyle name="Обычный 2 2 40" xfId="10756"/>
    <cellStyle name="Обычный 2 2 41" xfId="10757"/>
    <cellStyle name="Обычный 2 2 42" xfId="10758"/>
    <cellStyle name="Обычный 2 2 43" xfId="10759"/>
    <cellStyle name="Обычный 2 2 43 10" xfId="10760"/>
    <cellStyle name="Обычный 2 2 43 11" xfId="10761"/>
    <cellStyle name="Обычный 2 2 43 12" xfId="10762"/>
    <cellStyle name="Обычный 2 2 43 13" xfId="10763"/>
    <cellStyle name="Обычный 2 2 43 14" xfId="10764"/>
    <cellStyle name="Обычный 2 2 43 15" xfId="10765"/>
    <cellStyle name="Обычный 2 2 43 16" xfId="10766"/>
    <cellStyle name="Обычный 2 2 43 17" xfId="10767"/>
    <cellStyle name="Обычный 2 2 43 18" xfId="10768"/>
    <cellStyle name="Обычный 2 2 43 19" xfId="10769"/>
    <cellStyle name="Обычный 2 2 43 2" xfId="10770"/>
    <cellStyle name="Обычный 2 2 43 20" xfId="10771"/>
    <cellStyle name="Обычный 2 2 43 21" xfId="10772"/>
    <cellStyle name="Обычный 2 2 43 22" xfId="10773"/>
    <cellStyle name="Обычный 2 2 43 23" xfId="10774"/>
    <cellStyle name="Обычный 2 2 43 24" xfId="10775"/>
    <cellStyle name="Обычный 2 2 43 25" xfId="10776"/>
    <cellStyle name="Обычный 2 2 43 26" xfId="10777"/>
    <cellStyle name="Обычный 2 2 43 27" xfId="10778"/>
    <cellStyle name="Обычный 2 2 43 28" xfId="10779"/>
    <cellStyle name="Обычный 2 2 43 29" xfId="10780"/>
    <cellStyle name="Обычный 2 2 43 3" xfId="10781"/>
    <cellStyle name="Обычный 2 2 43 30" xfId="10782"/>
    <cellStyle name="Обычный 2 2 43 31" xfId="10783"/>
    <cellStyle name="Обычный 2 2 43 32" xfId="10784"/>
    <cellStyle name="Обычный 2 2 43 33" xfId="10785"/>
    <cellStyle name="Обычный 2 2 43 34" xfId="10786"/>
    <cellStyle name="Обычный 2 2 43 35" xfId="10787"/>
    <cellStyle name="Обычный 2 2 43 36" xfId="10788"/>
    <cellStyle name="Обычный 2 2 43 37" xfId="10789"/>
    <cellStyle name="Обычный 2 2 43 38" xfId="10790"/>
    <cellStyle name="Обычный 2 2 43 39" xfId="10791"/>
    <cellStyle name="Обычный 2 2 43 4" xfId="10792"/>
    <cellStyle name="Обычный 2 2 43 40" xfId="10793"/>
    <cellStyle name="Обычный 2 2 43 41" xfId="10794"/>
    <cellStyle name="Обычный 2 2 43 42" xfId="10795"/>
    <cellStyle name="Обычный 2 2 43 43" xfId="10796"/>
    <cellStyle name="Обычный 2 2 43 44" xfId="10797"/>
    <cellStyle name="Обычный 2 2 43 45" xfId="10798"/>
    <cellStyle name="Обычный 2 2 43 46" xfId="10799"/>
    <cellStyle name="Обычный 2 2 43 47" xfId="10800"/>
    <cellStyle name="Обычный 2 2 43 48" xfId="10801"/>
    <cellStyle name="Обычный 2 2 43 49" xfId="10802"/>
    <cellStyle name="Обычный 2 2 43 5" xfId="10803"/>
    <cellStyle name="Обычный 2 2 43 50" xfId="10804"/>
    <cellStyle name="Обычный 2 2 43 51" xfId="10805"/>
    <cellStyle name="Обычный 2 2 43 52" xfId="10806"/>
    <cellStyle name="Обычный 2 2 43 53" xfId="10807"/>
    <cellStyle name="Обычный 2 2 43 54" xfId="10808"/>
    <cellStyle name="Обычный 2 2 43 55" xfId="10809"/>
    <cellStyle name="Обычный 2 2 43 56" xfId="10810"/>
    <cellStyle name="Обычный 2 2 43 57" xfId="10811"/>
    <cellStyle name="Обычный 2 2 43 6" xfId="10812"/>
    <cellStyle name="Обычный 2 2 43 7" xfId="10813"/>
    <cellStyle name="Обычный 2 2 43 8" xfId="10814"/>
    <cellStyle name="Обычный 2 2 43 9" xfId="10815"/>
    <cellStyle name="Обычный 2 2 44" xfId="10816"/>
    <cellStyle name="Обычный 2 2 45" xfId="10817"/>
    <cellStyle name="Обычный 2 2 46" xfId="10818"/>
    <cellStyle name="Обычный 2 2 47" xfId="10819"/>
    <cellStyle name="Обычный 2 2 48" xfId="10820"/>
    <cellStyle name="Обычный 2 2 49" xfId="10821"/>
    <cellStyle name="Обычный 2 2 5" xfId="81"/>
    <cellStyle name="Обычный 2 2 5 2" xfId="82"/>
    <cellStyle name="Обычный 2 2 50" xfId="10822"/>
    <cellStyle name="Обычный 2 2 51" xfId="10823"/>
    <cellStyle name="Обычный 2 2 52" xfId="10824"/>
    <cellStyle name="Обычный 2 2 53" xfId="10825"/>
    <cellStyle name="Обычный 2 2 54" xfId="10826"/>
    <cellStyle name="Обычный 2 2 55" xfId="10827"/>
    <cellStyle name="Обычный 2 2 56" xfId="10828"/>
    <cellStyle name="Обычный 2 2 57" xfId="10829"/>
    <cellStyle name="Обычный 2 2 58" xfId="10830"/>
    <cellStyle name="Обычный 2 2 59" xfId="10831"/>
    <cellStyle name="Обычный 2 2 6" xfId="83"/>
    <cellStyle name="Обычный 2 2 60" xfId="10832"/>
    <cellStyle name="Обычный 2 2 61" xfId="10833"/>
    <cellStyle name="Обычный 2 2 62" xfId="10834"/>
    <cellStyle name="Обычный 2 2 63" xfId="10835"/>
    <cellStyle name="Обычный 2 2 64" xfId="10836"/>
    <cellStyle name="Обычный 2 2 65" xfId="10837"/>
    <cellStyle name="Обычный 2 2 66" xfId="10838"/>
    <cellStyle name="Обычный 2 2 67" xfId="10839"/>
    <cellStyle name="Обычный 2 2 68" xfId="10840"/>
    <cellStyle name="Обычный 2 2 69" xfId="10841"/>
    <cellStyle name="Обычный 2 2 7" xfId="10842"/>
    <cellStyle name="Обычный 2 2 70" xfId="10843"/>
    <cellStyle name="Обычный 2 2 71" xfId="10844"/>
    <cellStyle name="Обычный 2 2 72" xfId="10845"/>
    <cellStyle name="Обычный 2 2 73" xfId="10846"/>
    <cellStyle name="Обычный 2 2 74" xfId="10847"/>
    <cellStyle name="Обычный 2 2 75" xfId="10848"/>
    <cellStyle name="Обычный 2 2 76" xfId="10849"/>
    <cellStyle name="Обычный 2 2 77" xfId="10850"/>
    <cellStyle name="Обычный 2 2 78" xfId="10851"/>
    <cellStyle name="Обычный 2 2 79" xfId="10852"/>
    <cellStyle name="Обычный 2 2 8" xfId="10853"/>
    <cellStyle name="Обычный 2 2 80" xfId="10854"/>
    <cellStyle name="Обычный 2 2 81" xfId="10855"/>
    <cellStyle name="Обычный 2 2 82" xfId="10856"/>
    <cellStyle name="Обычный 2 2 83" xfId="10857"/>
    <cellStyle name="Обычный 2 2 84" xfId="10858"/>
    <cellStyle name="Обычный 2 2 85" xfId="10859"/>
    <cellStyle name="Обычный 2 2 86" xfId="10860"/>
    <cellStyle name="Обычный 2 2 87" xfId="10861"/>
    <cellStyle name="Обычный 2 2 88" xfId="10862"/>
    <cellStyle name="Обычный 2 2 89" xfId="10863"/>
    <cellStyle name="Обычный 2 2 9" xfId="10864"/>
    <cellStyle name="Обычный 2 2 90" xfId="10865"/>
    <cellStyle name="Обычный 2 2 91" xfId="10866"/>
    <cellStyle name="Обычный 2 2 92" xfId="10867"/>
    <cellStyle name="Обычный 2 2 93" xfId="10868"/>
    <cellStyle name="Обычный 2 2 94" xfId="10869"/>
    <cellStyle name="Обычный 2 2 95" xfId="10870"/>
    <cellStyle name="Обычный 2 2 96" xfId="10871"/>
    <cellStyle name="Обычный 2 2 97" xfId="10872"/>
    <cellStyle name="Обычный 2 2 98" xfId="10873"/>
    <cellStyle name="Обычный 2 2 99" xfId="10874"/>
    <cellStyle name="Обычный 2 20" xfId="10875"/>
    <cellStyle name="Обычный 2 21" xfId="10876"/>
    <cellStyle name="Обычный 2 22" xfId="10877"/>
    <cellStyle name="Обычный 2 23" xfId="10878"/>
    <cellStyle name="Обычный 2 24" xfId="10879"/>
    <cellStyle name="Обычный 2 24 2" xfId="10880"/>
    <cellStyle name="Обычный 2 24 2 2" xfId="10881"/>
    <cellStyle name="Обычный 2 24 2 2 2" xfId="10882"/>
    <cellStyle name="Обычный 2 24 2 2 3" xfId="10883"/>
    <cellStyle name="Обычный 2 24 2 2 4" xfId="10884"/>
    <cellStyle name="Обычный 2 24 2 2 5" xfId="10885"/>
    <cellStyle name="Обычный 2 24 2 2 6" xfId="10886"/>
    <cellStyle name="Обычный 2 24 2 3" xfId="10887"/>
    <cellStyle name="Обычный 2 24 2 4" xfId="10888"/>
    <cellStyle name="Обычный 2 24 2 5" xfId="10889"/>
    <cellStyle name="Обычный 2 24 2 6" xfId="10890"/>
    <cellStyle name="Обычный 2 24 3" xfId="10891"/>
    <cellStyle name="Обычный 2 24 4" xfId="10892"/>
    <cellStyle name="Обычный 2 24 5" xfId="10893"/>
    <cellStyle name="Обычный 2 24 6" xfId="10894"/>
    <cellStyle name="Обычный 2 24 7" xfId="10895"/>
    <cellStyle name="Обычный 2 24 8" xfId="10896"/>
    <cellStyle name="Обычный 2 25" xfId="10897"/>
    <cellStyle name="Обычный 2 26" xfId="10898"/>
    <cellStyle name="Обычный 2 27" xfId="10899"/>
    <cellStyle name="Обычный 2 28" xfId="10900"/>
    <cellStyle name="Обычный 2 28 2" xfId="10901"/>
    <cellStyle name="Обычный 2 28 2 2" xfId="10902"/>
    <cellStyle name="Обычный 2 28 2 3" xfId="10903"/>
    <cellStyle name="Обычный 2 28 2 4" xfId="10904"/>
    <cellStyle name="Обычный 2 28 2 5" xfId="10905"/>
    <cellStyle name="Обычный 2 28 2 6" xfId="10906"/>
    <cellStyle name="Обычный 2 28 3" xfId="10907"/>
    <cellStyle name="Обычный 2 28 4" xfId="10908"/>
    <cellStyle name="Обычный 2 28 5" xfId="10909"/>
    <cellStyle name="Обычный 2 28 6" xfId="10910"/>
    <cellStyle name="Обычный 2 29" xfId="10911"/>
    <cellStyle name="Обычный 2 29 10" xfId="10912"/>
    <cellStyle name="Обычный 2 29 11" xfId="10913"/>
    <cellStyle name="Обычный 2 29 12" xfId="10914"/>
    <cellStyle name="Обычный 2 29 13" xfId="10915"/>
    <cellStyle name="Обычный 2 29 14" xfId="10916"/>
    <cellStyle name="Обычный 2 29 15" xfId="10917"/>
    <cellStyle name="Обычный 2 29 16" xfId="10918"/>
    <cellStyle name="Обычный 2 29 17" xfId="10919"/>
    <cellStyle name="Обычный 2 29 18" xfId="10920"/>
    <cellStyle name="Обычный 2 29 19" xfId="10921"/>
    <cellStyle name="Обычный 2 29 2" xfId="10922"/>
    <cellStyle name="Обычный 2 29 2 10" xfId="10923"/>
    <cellStyle name="Обычный 2 29 2 11" xfId="10924"/>
    <cellStyle name="Обычный 2 29 2 12" xfId="10925"/>
    <cellStyle name="Обычный 2 29 2 13" xfId="10926"/>
    <cellStyle name="Обычный 2 29 2 14" xfId="10927"/>
    <cellStyle name="Обычный 2 29 2 15" xfId="10928"/>
    <cellStyle name="Обычный 2 29 2 16" xfId="10929"/>
    <cellStyle name="Обычный 2 29 2 17" xfId="10930"/>
    <cellStyle name="Обычный 2 29 2 18" xfId="10931"/>
    <cellStyle name="Обычный 2 29 2 19" xfId="10932"/>
    <cellStyle name="Обычный 2 29 2 2" xfId="10933"/>
    <cellStyle name="Обычный 2 29 2 2 10" xfId="10934"/>
    <cellStyle name="Обычный 2 29 2 2 11" xfId="10935"/>
    <cellStyle name="Обычный 2 29 2 2 12" xfId="10936"/>
    <cellStyle name="Обычный 2 29 2 2 13" xfId="10937"/>
    <cellStyle name="Обычный 2 29 2 2 14" xfId="10938"/>
    <cellStyle name="Обычный 2 29 2 2 15" xfId="10939"/>
    <cellStyle name="Обычный 2 29 2 2 16" xfId="10940"/>
    <cellStyle name="Обычный 2 29 2 2 17" xfId="10941"/>
    <cellStyle name="Обычный 2 29 2 2 18" xfId="10942"/>
    <cellStyle name="Обычный 2 29 2 2 19" xfId="10943"/>
    <cellStyle name="Обычный 2 29 2 2 2" xfId="10944"/>
    <cellStyle name="Обычный 2 29 2 2 20" xfId="10945"/>
    <cellStyle name="Обычный 2 29 2 2 21" xfId="10946"/>
    <cellStyle name="Обычный 2 29 2 2 22" xfId="10947"/>
    <cellStyle name="Обычный 2 29 2 2 23" xfId="10948"/>
    <cellStyle name="Обычный 2 29 2 2 24" xfId="10949"/>
    <cellStyle name="Обычный 2 29 2 2 25" xfId="10950"/>
    <cellStyle name="Обычный 2 29 2 2 26" xfId="10951"/>
    <cellStyle name="Обычный 2 29 2 2 27" xfId="10952"/>
    <cellStyle name="Обычный 2 29 2 2 28" xfId="10953"/>
    <cellStyle name="Обычный 2 29 2 2 29" xfId="10954"/>
    <cellStyle name="Обычный 2 29 2 2 3" xfId="10955"/>
    <cellStyle name="Обычный 2 29 2 2 30" xfId="10956"/>
    <cellStyle name="Обычный 2 29 2 2 31" xfId="10957"/>
    <cellStyle name="Обычный 2 29 2 2 32" xfId="10958"/>
    <cellStyle name="Обычный 2 29 2 2 33" xfId="10959"/>
    <cellStyle name="Обычный 2 29 2 2 34" xfId="10960"/>
    <cellStyle name="Обычный 2 29 2 2 35" xfId="10961"/>
    <cellStyle name="Обычный 2 29 2 2 36" xfId="10962"/>
    <cellStyle name="Обычный 2 29 2 2 37" xfId="10963"/>
    <cellStyle name="Обычный 2 29 2 2 38" xfId="10964"/>
    <cellStyle name="Обычный 2 29 2 2 39" xfId="10965"/>
    <cellStyle name="Обычный 2 29 2 2 4" xfId="10966"/>
    <cellStyle name="Обычный 2 29 2 2 40" xfId="10967"/>
    <cellStyle name="Обычный 2 29 2 2 41" xfId="10968"/>
    <cellStyle name="Обычный 2 29 2 2 42" xfId="10969"/>
    <cellStyle name="Обычный 2 29 2 2 43" xfId="10970"/>
    <cellStyle name="Обычный 2 29 2 2 44" xfId="10971"/>
    <cellStyle name="Обычный 2 29 2 2 45" xfId="10972"/>
    <cellStyle name="Обычный 2 29 2 2 46" xfId="10973"/>
    <cellStyle name="Обычный 2 29 2 2 47" xfId="10974"/>
    <cellStyle name="Обычный 2 29 2 2 48" xfId="10975"/>
    <cellStyle name="Обычный 2 29 2 2 49" xfId="10976"/>
    <cellStyle name="Обычный 2 29 2 2 5" xfId="10977"/>
    <cellStyle name="Обычный 2 29 2 2 50" xfId="10978"/>
    <cellStyle name="Обычный 2 29 2 2 51" xfId="10979"/>
    <cellStyle name="Обычный 2 29 2 2 52" xfId="10980"/>
    <cellStyle name="Обычный 2 29 2 2 53" xfId="10981"/>
    <cellStyle name="Обычный 2 29 2 2 54" xfId="10982"/>
    <cellStyle name="Обычный 2 29 2 2 55" xfId="10983"/>
    <cellStyle name="Обычный 2 29 2 2 56" xfId="10984"/>
    <cellStyle name="Обычный 2 29 2 2 57" xfId="10985"/>
    <cellStyle name="Обычный 2 29 2 2 6" xfId="10986"/>
    <cellStyle name="Обычный 2 29 2 2 7" xfId="10987"/>
    <cellStyle name="Обычный 2 29 2 2 8" xfId="10988"/>
    <cellStyle name="Обычный 2 29 2 2 9" xfId="10989"/>
    <cellStyle name="Обычный 2 29 2 20" xfId="10990"/>
    <cellStyle name="Обычный 2 29 2 21" xfId="10991"/>
    <cellStyle name="Обычный 2 29 2 22" xfId="10992"/>
    <cellStyle name="Обычный 2 29 2 23" xfId="10993"/>
    <cellStyle name="Обычный 2 29 2 24" xfId="10994"/>
    <cellStyle name="Обычный 2 29 2 25" xfId="10995"/>
    <cellStyle name="Обычный 2 29 2 26" xfId="10996"/>
    <cellStyle name="Обычный 2 29 2 27" xfId="10997"/>
    <cellStyle name="Обычный 2 29 2 28" xfId="10998"/>
    <cellStyle name="Обычный 2 29 2 29" xfId="10999"/>
    <cellStyle name="Обычный 2 29 2 3" xfId="11000"/>
    <cellStyle name="Обычный 2 29 2 30" xfId="11001"/>
    <cellStyle name="Обычный 2 29 2 31" xfId="11002"/>
    <cellStyle name="Обычный 2 29 2 32" xfId="11003"/>
    <cellStyle name="Обычный 2 29 2 33" xfId="11004"/>
    <cellStyle name="Обычный 2 29 2 34" xfId="11005"/>
    <cellStyle name="Обычный 2 29 2 35" xfId="11006"/>
    <cellStyle name="Обычный 2 29 2 36" xfId="11007"/>
    <cellStyle name="Обычный 2 29 2 37" xfId="11008"/>
    <cellStyle name="Обычный 2 29 2 38" xfId="11009"/>
    <cellStyle name="Обычный 2 29 2 39" xfId="11010"/>
    <cellStyle name="Обычный 2 29 2 4" xfId="11011"/>
    <cellStyle name="Обычный 2 29 2 40" xfId="11012"/>
    <cellStyle name="Обычный 2 29 2 41" xfId="11013"/>
    <cellStyle name="Обычный 2 29 2 42" xfId="11014"/>
    <cellStyle name="Обычный 2 29 2 43" xfId="11015"/>
    <cellStyle name="Обычный 2 29 2 44" xfId="11016"/>
    <cellStyle name="Обычный 2 29 2 45" xfId="11017"/>
    <cellStyle name="Обычный 2 29 2 46" xfId="11018"/>
    <cellStyle name="Обычный 2 29 2 47" xfId="11019"/>
    <cellStyle name="Обычный 2 29 2 48" xfId="11020"/>
    <cellStyle name="Обычный 2 29 2 49" xfId="11021"/>
    <cellStyle name="Обычный 2 29 2 5" xfId="11022"/>
    <cellStyle name="Обычный 2 29 2 50" xfId="11023"/>
    <cellStyle name="Обычный 2 29 2 51" xfId="11024"/>
    <cellStyle name="Обычный 2 29 2 52" xfId="11025"/>
    <cellStyle name="Обычный 2 29 2 53" xfId="11026"/>
    <cellStyle name="Обычный 2 29 2 54" xfId="11027"/>
    <cellStyle name="Обычный 2 29 2 55" xfId="11028"/>
    <cellStyle name="Обычный 2 29 2 56" xfId="11029"/>
    <cellStyle name="Обычный 2 29 2 57" xfId="11030"/>
    <cellStyle name="Обычный 2 29 2 58" xfId="11031"/>
    <cellStyle name="Обычный 2 29 2 59" xfId="11032"/>
    <cellStyle name="Обычный 2 29 2 6" xfId="11033"/>
    <cellStyle name="Обычный 2 29 2 7" xfId="11034"/>
    <cellStyle name="Обычный 2 29 2 8" xfId="11035"/>
    <cellStyle name="Обычный 2 29 2 9" xfId="11036"/>
    <cellStyle name="Обычный 2 29 20" xfId="11037"/>
    <cellStyle name="Обычный 2 29 21" xfId="11038"/>
    <cellStyle name="Обычный 2 29 22" xfId="11039"/>
    <cellStyle name="Обычный 2 29 23" xfId="11040"/>
    <cellStyle name="Обычный 2 29 24" xfId="11041"/>
    <cellStyle name="Обычный 2 29 25" xfId="11042"/>
    <cellStyle name="Обычный 2 29 26" xfId="11043"/>
    <cellStyle name="Обычный 2 29 27" xfId="11044"/>
    <cellStyle name="Обычный 2 29 28" xfId="11045"/>
    <cellStyle name="Обычный 2 29 29" xfId="11046"/>
    <cellStyle name="Обычный 2 29 3" xfId="11047"/>
    <cellStyle name="Обычный 2 29 30" xfId="11048"/>
    <cellStyle name="Обычный 2 29 31" xfId="11049"/>
    <cellStyle name="Обычный 2 29 32" xfId="11050"/>
    <cellStyle name="Обычный 2 29 33" xfId="11051"/>
    <cellStyle name="Обычный 2 29 34" xfId="11052"/>
    <cellStyle name="Обычный 2 29 35" xfId="11053"/>
    <cellStyle name="Обычный 2 29 36" xfId="11054"/>
    <cellStyle name="Обычный 2 29 37" xfId="11055"/>
    <cellStyle name="Обычный 2 29 38" xfId="11056"/>
    <cellStyle name="Обычный 2 29 39" xfId="11057"/>
    <cellStyle name="Обычный 2 29 4" xfId="11058"/>
    <cellStyle name="Обычный 2 29 40" xfId="11059"/>
    <cellStyle name="Обычный 2 29 41" xfId="11060"/>
    <cellStyle name="Обычный 2 29 42" xfId="11061"/>
    <cellStyle name="Обычный 2 29 43" xfId="11062"/>
    <cellStyle name="Обычный 2 29 44" xfId="11063"/>
    <cellStyle name="Обычный 2 29 45" xfId="11064"/>
    <cellStyle name="Обычный 2 29 46" xfId="11065"/>
    <cellStyle name="Обычный 2 29 47" xfId="11066"/>
    <cellStyle name="Обычный 2 29 48" xfId="11067"/>
    <cellStyle name="Обычный 2 29 49" xfId="11068"/>
    <cellStyle name="Обычный 2 29 5" xfId="11069"/>
    <cellStyle name="Обычный 2 29 50" xfId="11070"/>
    <cellStyle name="Обычный 2 29 51" xfId="11071"/>
    <cellStyle name="Обычный 2 29 52" xfId="11072"/>
    <cellStyle name="Обычный 2 29 53" xfId="11073"/>
    <cellStyle name="Обычный 2 29 54" xfId="11074"/>
    <cellStyle name="Обычный 2 29 55" xfId="11075"/>
    <cellStyle name="Обычный 2 29 56" xfId="11076"/>
    <cellStyle name="Обычный 2 29 57" xfId="11077"/>
    <cellStyle name="Обычный 2 29 58" xfId="11078"/>
    <cellStyle name="Обычный 2 29 59" xfId="11079"/>
    <cellStyle name="Обычный 2 29 6" xfId="11080"/>
    <cellStyle name="Обычный 2 29 60" xfId="11081"/>
    <cellStyle name="Обычный 2 29 61" xfId="11082"/>
    <cellStyle name="Обычный 2 29 62" xfId="11083"/>
    <cellStyle name="Обычный 2 29 63" xfId="11084"/>
    <cellStyle name="Обычный 2 29 64" xfId="11085"/>
    <cellStyle name="Обычный 2 29 7" xfId="11086"/>
    <cellStyle name="Обычный 2 29 8" xfId="11087"/>
    <cellStyle name="Обычный 2 29 8 10" xfId="11088"/>
    <cellStyle name="Обычный 2 29 8 11" xfId="11089"/>
    <cellStyle name="Обычный 2 29 8 12" xfId="11090"/>
    <cellStyle name="Обычный 2 29 8 13" xfId="11091"/>
    <cellStyle name="Обычный 2 29 8 14" xfId="11092"/>
    <cellStyle name="Обычный 2 29 8 15" xfId="11093"/>
    <cellStyle name="Обычный 2 29 8 16" xfId="11094"/>
    <cellStyle name="Обычный 2 29 8 17" xfId="11095"/>
    <cellStyle name="Обычный 2 29 8 18" xfId="11096"/>
    <cellStyle name="Обычный 2 29 8 19" xfId="11097"/>
    <cellStyle name="Обычный 2 29 8 2" xfId="11098"/>
    <cellStyle name="Обычный 2 29 8 20" xfId="11099"/>
    <cellStyle name="Обычный 2 29 8 21" xfId="11100"/>
    <cellStyle name="Обычный 2 29 8 22" xfId="11101"/>
    <cellStyle name="Обычный 2 29 8 23" xfId="11102"/>
    <cellStyle name="Обычный 2 29 8 24" xfId="11103"/>
    <cellStyle name="Обычный 2 29 8 25" xfId="11104"/>
    <cellStyle name="Обычный 2 29 8 26" xfId="11105"/>
    <cellStyle name="Обычный 2 29 8 27" xfId="11106"/>
    <cellStyle name="Обычный 2 29 8 28" xfId="11107"/>
    <cellStyle name="Обычный 2 29 8 29" xfId="11108"/>
    <cellStyle name="Обычный 2 29 8 3" xfId="11109"/>
    <cellStyle name="Обычный 2 29 8 30" xfId="11110"/>
    <cellStyle name="Обычный 2 29 8 31" xfId="11111"/>
    <cellStyle name="Обычный 2 29 8 32" xfId="11112"/>
    <cellStyle name="Обычный 2 29 8 33" xfId="11113"/>
    <cellStyle name="Обычный 2 29 8 34" xfId="11114"/>
    <cellStyle name="Обычный 2 29 8 35" xfId="11115"/>
    <cellStyle name="Обычный 2 29 8 36" xfId="11116"/>
    <cellStyle name="Обычный 2 29 8 37" xfId="11117"/>
    <cellStyle name="Обычный 2 29 8 38" xfId="11118"/>
    <cellStyle name="Обычный 2 29 8 39" xfId="11119"/>
    <cellStyle name="Обычный 2 29 8 4" xfId="11120"/>
    <cellStyle name="Обычный 2 29 8 40" xfId="11121"/>
    <cellStyle name="Обычный 2 29 8 41" xfId="11122"/>
    <cellStyle name="Обычный 2 29 8 42" xfId="11123"/>
    <cellStyle name="Обычный 2 29 8 43" xfId="11124"/>
    <cellStyle name="Обычный 2 29 8 44" xfId="11125"/>
    <cellStyle name="Обычный 2 29 8 45" xfId="11126"/>
    <cellStyle name="Обычный 2 29 8 46" xfId="11127"/>
    <cellStyle name="Обычный 2 29 8 47" xfId="11128"/>
    <cellStyle name="Обычный 2 29 8 48" xfId="11129"/>
    <cellStyle name="Обычный 2 29 8 49" xfId="11130"/>
    <cellStyle name="Обычный 2 29 8 5" xfId="11131"/>
    <cellStyle name="Обычный 2 29 8 50" xfId="11132"/>
    <cellStyle name="Обычный 2 29 8 51" xfId="11133"/>
    <cellStyle name="Обычный 2 29 8 52" xfId="11134"/>
    <cellStyle name="Обычный 2 29 8 53" xfId="11135"/>
    <cellStyle name="Обычный 2 29 8 54" xfId="11136"/>
    <cellStyle name="Обычный 2 29 8 55" xfId="11137"/>
    <cellStyle name="Обычный 2 29 8 56" xfId="11138"/>
    <cellStyle name="Обычный 2 29 8 57" xfId="11139"/>
    <cellStyle name="Обычный 2 29 8 6" xfId="11140"/>
    <cellStyle name="Обычный 2 29 8 7" xfId="11141"/>
    <cellStyle name="Обычный 2 29 8 8" xfId="11142"/>
    <cellStyle name="Обычный 2 29 8 9" xfId="11143"/>
    <cellStyle name="Обычный 2 29 9" xfId="11144"/>
    <cellStyle name="Обычный 2 3" xfId="84"/>
    <cellStyle name="Обычный 2 3 2" xfId="85"/>
    <cellStyle name="Обычный 2 3 2 2" xfId="86"/>
    <cellStyle name="Обычный 2 3 3" xfId="87"/>
    <cellStyle name="Обычный 2 3 4" xfId="88"/>
    <cellStyle name="Обычный 2 30" xfId="11145"/>
    <cellStyle name="Обычный 2 31" xfId="11146"/>
    <cellStyle name="Обычный 2 32" xfId="11147"/>
    <cellStyle name="Обычный 2 32 10" xfId="11148"/>
    <cellStyle name="Обычный 2 32 11" xfId="11149"/>
    <cellStyle name="Обычный 2 32 12" xfId="11150"/>
    <cellStyle name="Обычный 2 32 13" xfId="11151"/>
    <cellStyle name="Обычный 2 32 14" xfId="11152"/>
    <cellStyle name="Обычный 2 32 15" xfId="11153"/>
    <cellStyle name="Обычный 2 32 16" xfId="11154"/>
    <cellStyle name="Обычный 2 32 17" xfId="11155"/>
    <cellStyle name="Обычный 2 32 18" xfId="11156"/>
    <cellStyle name="Обычный 2 32 19" xfId="11157"/>
    <cellStyle name="Обычный 2 32 2" xfId="11158"/>
    <cellStyle name="Обычный 2 32 2 10" xfId="11159"/>
    <cellStyle name="Обычный 2 32 2 11" xfId="11160"/>
    <cellStyle name="Обычный 2 32 2 12" xfId="11161"/>
    <cellStyle name="Обычный 2 32 2 13" xfId="11162"/>
    <cellStyle name="Обычный 2 32 2 14" xfId="11163"/>
    <cellStyle name="Обычный 2 32 2 15" xfId="11164"/>
    <cellStyle name="Обычный 2 32 2 16" xfId="11165"/>
    <cellStyle name="Обычный 2 32 2 17" xfId="11166"/>
    <cellStyle name="Обычный 2 32 2 18" xfId="11167"/>
    <cellStyle name="Обычный 2 32 2 19" xfId="11168"/>
    <cellStyle name="Обычный 2 32 2 2" xfId="11169"/>
    <cellStyle name="Обычный 2 32 2 20" xfId="11170"/>
    <cellStyle name="Обычный 2 32 2 21" xfId="11171"/>
    <cellStyle name="Обычный 2 32 2 22" xfId="11172"/>
    <cellStyle name="Обычный 2 32 2 23" xfId="11173"/>
    <cellStyle name="Обычный 2 32 2 24" xfId="11174"/>
    <cellStyle name="Обычный 2 32 2 25" xfId="11175"/>
    <cellStyle name="Обычный 2 32 2 26" xfId="11176"/>
    <cellStyle name="Обычный 2 32 2 27" xfId="11177"/>
    <cellStyle name="Обычный 2 32 2 28" xfId="11178"/>
    <cellStyle name="Обычный 2 32 2 29" xfId="11179"/>
    <cellStyle name="Обычный 2 32 2 3" xfId="11180"/>
    <cellStyle name="Обычный 2 32 2 30" xfId="11181"/>
    <cellStyle name="Обычный 2 32 2 31" xfId="11182"/>
    <cellStyle name="Обычный 2 32 2 32" xfId="11183"/>
    <cellStyle name="Обычный 2 32 2 33" xfId="11184"/>
    <cellStyle name="Обычный 2 32 2 34" xfId="11185"/>
    <cellStyle name="Обычный 2 32 2 35" xfId="11186"/>
    <cellStyle name="Обычный 2 32 2 36" xfId="11187"/>
    <cellStyle name="Обычный 2 32 2 37" xfId="11188"/>
    <cellStyle name="Обычный 2 32 2 38" xfId="11189"/>
    <cellStyle name="Обычный 2 32 2 39" xfId="11190"/>
    <cellStyle name="Обычный 2 32 2 4" xfId="11191"/>
    <cellStyle name="Обычный 2 32 2 40" xfId="11192"/>
    <cellStyle name="Обычный 2 32 2 41" xfId="11193"/>
    <cellStyle name="Обычный 2 32 2 42" xfId="11194"/>
    <cellStyle name="Обычный 2 32 2 43" xfId="11195"/>
    <cellStyle name="Обычный 2 32 2 44" xfId="11196"/>
    <cellStyle name="Обычный 2 32 2 45" xfId="11197"/>
    <cellStyle name="Обычный 2 32 2 46" xfId="11198"/>
    <cellStyle name="Обычный 2 32 2 47" xfId="11199"/>
    <cellStyle name="Обычный 2 32 2 48" xfId="11200"/>
    <cellStyle name="Обычный 2 32 2 49" xfId="11201"/>
    <cellStyle name="Обычный 2 32 2 5" xfId="11202"/>
    <cellStyle name="Обычный 2 32 2 50" xfId="11203"/>
    <cellStyle name="Обычный 2 32 2 51" xfId="11204"/>
    <cellStyle name="Обычный 2 32 2 52" xfId="11205"/>
    <cellStyle name="Обычный 2 32 2 53" xfId="11206"/>
    <cellStyle name="Обычный 2 32 2 54" xfId="11207"/>
    <cellStyle name="Обычный 2 32 2 55" xfId="11208"/>
    <cellStyle name="Обычный 2 32 2 56" xfId="11209"/>
    <cellStyle name="Обычный 2 32 2 57" xfId="11210"/>
    <cellStyle name="Обычный 2 32 2 6" xfId="11211"/>
    <cellStyle name="Обычный 2 32 2 7" xfId="11212"/>
    <cellStyle name="Обычный 2 32 2 8" xfId="11213"/>
    <cellStyle name="Обычный 2 32 2 9" xfId="11214"/>
    <cellStyle name="Обычный 2 32 20" xfId="11215"/>
    <cellStyle name="Обычный 2 32 21" xfId="11216"/>
    <cellStyle name="Обычный 2 32 22" xfId="11217"/>
    <cellStyle name="Обычный 2 32 23" xfId="11218"/>
    <cellStyle name="Обычный 2 32 24" xfId="11219"/>
    <cellStyle name="Обычный 2 32 25" xfId="11220"/>
    <cellStyle name="Обычный 2 32 26" xfId="11221"/>
    <cellStyle name="Обычный 2 32 27" xfId="11222"/>
    <cellStyle name="Обычный 2 32 28" xfId="11223"/>
    <cellStyle name="Обычный 2 32 29" xfId="11224"/>
    <cellStyle name="Обычный 2 32 3" xfId="11225"/>
    <cellStyle name="Обычный 2 32 30" xfId="11226"/>
    <cellStyle name="Обычный 2 32 31" xfId="11227"/>
    <cellStyle name="Обычный 2 32 32" xfId="11228"/>
    <cellStyle name="Обычный 2 32 33" xfId="11229"/>
    <cellStyle name="Обычный 2 32 34" xfId="11230"/>
    <cellStyle name="Обычный 2 32 35" xfId="11231"/>
    <cellStyle name="Обычный 2 32 36" xfId="11232"/>
    <cellStyle name="Обычный 2 32 37" xfId="11233"/>
    <cellStyle name="Обычный 2 32 38" xfId="11234"/>
    <cellStyle name="Обычный 2 32 39" xfId="11235"/>
    <cellStyle name="Обычный 2 32 4" xfId="11236"/>
    <cellStyle name="Обычный 2 32 40" xfId="11237"/>
    <cellStyle name="Обычный 2 32 41" xfId="11238"/>
    <cellStyle name="Обычный 2 32 42" xfId="11239"/>
    <cellStyle name="Обычный 2 32 43" xfId="11240"/>
    <cellStyle name="Обычный 2 32 44" xfId="11241"/>
    <cellStyle name="Обычный 2 32 45" xfId="11242"/>
    <cellStyle name="Обычный 2 32 46" xfId="11243"/>
    <cellStyle name="Обычный 2 32 47" xfId="11244"/>
    <cellStyle name="Обычный 2 32 48" xfId="11245"/>
    <cellStyle name="Обычный 2 32 49" xfId="11246"/>
    <cellStyle name="Обычный 2 32 5" xfId="11247"/>
    <cellStyle name="Обычный 2 32 50" xfId="11248"/>
    <cellStyle name="Обычный 2 32 51" xfId="11249"/>
    <cellStyle name="Обычный 2 32 52" xfId="11250"/>
    <cellStyle name="Обычный 2 32 53" xfId="11251"/>
    <cellStyle name="Обычный 2 32 54" xfId="11252"/>
    <cellStyle name="Обычный 2 32 55" xfId="11253"/>
    <cellStyle name="Обычный 2 32 56" xfId="11254"/>
    <cellStyle name="Обычный 2 32 57" xfId="11255"/>
    <cellStyle name="Обычный 2 32 58" xfId="11256"/>
    <cellStyle name="Обычный 2 32 59" xfId="11257"/>
    <cellStyle name="Обычный 2 32 6" xfId="11258"/>
    <cellStyle name="Обычный 2 32 7" xfId="11259"/>
    <cellStyle name="Обычный 2 32 8" xfId="11260"/>
    <cellStyle name="Обычный 2 32 9" xfId="11261"/>
    <cellStyle name="Обычный 2 33" xfId="11262"/>
    <cellStyle name="Обычный 2 34" xfId="11263"/>
    <cellStyle name="Обычный 2 35" xfId="11264"/>
    <cellStyle name="Обычный 2 36" xfId="11265"/>
    <cellStyle name="Обычный 2 37" xfId="11266"/>
    <cellStyle name="Обычный 2 38" xfId="11267"/>
    <cellStyle name="Обычный 2 39" xfId="11268"/>
    <cellStyle name="Обычный 2 4" xfId="89"/>
    <cellStyle name="Обычный 2 4 2" xfId="90"/>
    <cellStyle name="Обычный 2 4 2 2" xfId="91"/>
    <cellStyle name="Обычный 2 4 3" xfId="92"/>
    <cellStyle name="Обычный 2 4 4" xfId="93"/>
    <cellStyle name="Обычный 2 40" xfId="11269"/>
    <cellStyle name="Обычный 2 40 2" xfId="11270"/>
    <cellStyle name="Обычный 2 40 3" xfId="11271"/>
    <cellStyle name="Обычный 2 41" xfId="11272"/>
    <cellStyle name="Обычный 2 42" xfId="11273"/>
    <cellStyle name="Обычный 2 43" xfId="11274"/>
    <cellStyle name="Обычный 2 44" xfId="11275"/>
    <cellStyle name="Обычный 2 5" xfId="94"/>
    <cellStyle name="Обычный 2 5 2" xfId="95"/>
    <cellStyle name="Обычный 2 5 2 2" xfId="96"/>
    <cellStyle name="Обычный 2 5 3" xfId="97"/>
    <cellStyle name="Обычный 2 5 4" xfId="98"/>
    <cellStyle name="Обычный 2 6" xfId="99"/>
    <cellStyle name="Обычный 2 6 2" xfId="100"/>
    <cellStyle name="Обычный 2 6 2 2" xfId="101"/>
    <cellStyle name="Обычный 2 6 3" xfId="102"/>
    <cellStyle name="Обычный 2 6 4" xfId="103"/>
    <cellStyle name="Обычный 2 7" xfId="104"/>
    <cellStyle name="Обычный 2 8" xfId="105"/>
    <cellStyle name="Обычный 2 9" xfId="106"/>
    <cellStyle name="Обычный 2_Свод1 110108" xfId="11276"/>
    <cellStyle name="Обычный 20" xfId="11277"/>
    <cellStyle name="Обычный 20 2" xfId="11278"/>
    <cellStyle name="Обычный 21" xfId="11279"/>
    <cellStyle name="Обычный 21 10" xfId="11280"/>
    <cellStyle name="Обычный 21 10 2" xfId="11281"/>
    <cellStyle name="Обычный 21 10 3" xfId="11282"/>
    <cellStyle name="Обычный 21 11" xfId="11283"/>
    <cellStyle name="Обычный 21 11 2" xfId="11284"/>
    <cellStyle name="Обычный 21 11 3" xfId="11285"/>
    <cellStyle name="Обычный 21 12" xfId="11286"/>
    <cellStyle name="Обычный 21 12 2" xfId="11287"/>
    <cellStyle name="Обычный 21 12 3" xfId="11288"/>
    <cellStyle name="Обычный 21 13" xfId="11289"/>
    <cellStyle name="Обычный 21 13 2" xfId="11290"/>
    <cellStyle name="Обычный 21 13 3" xfId="11291"/>
    <cellStyle name="Обычный 21 14" xfId="11292"/>
    <cellStyle name="Обычный 21 14 2" xfId="11293"/>
    <cellStyle name="Обычный 21 14 3" xfId="11294"/>
    <cellStyle name="Обычный 21 15" xfId="11295"/>
    <cellStyle name="Обычный 21 15 2" xfId="11296"/>
    <cellStyle name="Обычный 21 15 3" xfId="11297"/>
    <cellStyle name="Обычный 21 16" xfId="11298"/>
    <cellStyle name="Обычный 21 16 2" xfId="11299"/>
    <cellStyle name="Обычный 21 16 3" xfId="11300"/>
    <cellStyle name="Обычный 21 17" xfId="11301"/>
    <cellStyle name="Обычный 21 17 2" xfId="11302"/>
    <cellStyle name="Обычный 21 17 3" xfId="11303"/>
    <cellStyle name="Обычный 21 18" xfId="11304"/>
    <cellStyle name="Обычный 21 18 2" xfId="11305"/>
    <cellStyle name="Обычный 21 18 3" xfId="11306"/>
    <cellStyle name="Обычный 21 19" xfId="11307"/>
    <cellStyle name="Обычный 21 19 2" xfId="11308"/>
    <cellStyle name="Обычный 21 19 3" xfId="11309"/>
    <cellStyle name="Обычный 21 2" xfId="11310"/>
    <cellStyle name="Обычный 21 2 2" xfId="11311"/>
    <cellStyle name="Обычный 21 2 2 10" xfId="11312"/>
    <cellStyle name="Обычный 21 2 2 10 2" xfId="11313"/>
    <cellStyle name="Обычный 21 2 2 10 3" xfId="11314"/>
    <cellStyle name="Обычный 21 2 2 11" xfId="11315"/>
    <cellStyle name="Обычный 21 2 2 11 2" xfId="11316"/>
    <cellStyle name="Обычный 21 2 2 11 3" xfId="11317"/>
    <cellStyle name="Обычный 21 2 2 12" xfId="11318"/>
    <cellStyle name="Обычный 21 2 2 12 2" xfId="11319"/>
    <cellStyle name="Обычный 21 2 2 12 3" xfId="11320"/>
    <cellStyle name="Обычный 21 2 2 13" xfId="11321"/>
    <cellStyle name="Обычный 21 2 2 13 2" xfId="11322"/>
    <cellStyle name="Обычный 21 2 2 13 3" xfId="11323"/>
    <cellStyle name="Обычный 21 2 2 14" xfId="11324"/>
    <cellStyle name="Обычный 21 2 2 14 2" xfId="11325"/>
    <cellStyle name="Обычный 21 2 2 14 3" xfId="11326"/>
    <cellStyle name="Обычный 21 2 2 15" xfId="11327"/>
    <cellStyle name="Обычный 21 2 2 15 2" xfId="11328"/>
    <cellStyle name="Обычный 21 2 2 15 3" xfId="11329"/>
    <cellStyle name="Обычный 21 2 2 16" xfId="11330"/>
    <cellStyle name="Обычный 21 2 2 16 2" xfId="11331"/>
    <cellStyle name="Обычный 21 2 2 16 3" xfId="11332"/>
    <cellStyle name="Обычный 21 2 2 17" xfId="11333"/>
    <cellStyle name="Обычный 21 2 2 17 2" xfId="11334"/>
    <cellStyle name="Обычный 21 2 2 17 3" xfId="11335"/>
    <cellStyle name="Обычный 21 2 2 18" xfId="11336"/>
    <cellStyle name="Обычный 21 2 2 18 2" xfId="11337"/>
    <cellStyle name="Обычный 21 2 2 18 3" xfId="11338"/>
    <cellStyle name="Обычный 21 2 2 19" xfId="11339"/>
    <cellStyle name="Обычный 21 2 2 19 2" xfId="11340"/>
    <cellStyle name="Обычный 21 2 2 19 3" xfId="11341"/>
    <cellStyle name="Обычный 21 2 2 2" xfId="11342"/>
    <cellStyle name="Обычный 21 2 2 2 2" xfId="11343"/>
    <cellStyle name="Обычный 21 2 2 2 3" xfId="11344"/>
    <cellStyle name="Обычный 21 2 2 20" xfId="11345"/>
    <cellStyle name="Обычный 21 2 2 20 2" xfId="11346"/>
    <cellStyle name="Обычный 21 2 2 20 3" xfId="11347"/>
    <cellStyle name="Обычный 21 2 2 21" xfId="11348"/>
    <cellStyle name="Обычный 21 2 2 21 2" xfId="11349"/>
    <cellStyle name="Обычный 21 2 2 21 3" xfId="11350"/>
    <cellStyle name="Обычный 21 2 2 22" xfId="11351"/>
    <cellStyle name="Обычный 21 2 2 22 2" xfId="11352"/>
    <cellStyle name="Обычный 21 2 2 22 3" xfId="11353"/>
    <cellStyle name="Обычный 21 2 2 23" xfId="11354"/>
    <cellStyle name="Обычный 21 2 2 23 2" xfId="11355"/>
    <cellStyle name="Обычный 21 2 2 23 3" xfId="11356"/>
    <cellStyle name="Обычный 21 2 2 24" xfId="11357"/>
    <cellStyle name="Обычный 21 2 2 24 2" xfId="11358"/>
    <cellStyle name="Обычный 21 2 2 24 3" xfId="11359"/>
    <cellStyle name="Обычный 21 2 2 25" xfId="11360"/>
    <cellStyle name="Обычный 21 2 2 25 2" xfId="11361"/>
    <cellStyle name="Обычный 21 2 2 25 3" xfId="11362"/>
    <cellStyle name="Обычный 21 2 2 26" xfId="11363"/>
    <cellStyle name="Обычный 21 2 2 26 2" xfId="11364"/>
    <cellStyle name="Обычный 21 2 2 26 3" xfId="11365"/>
    <cellStyle name="Обычный 21 2 2 27" xfId="11366"/>
    <cellStyle name="Обычный 21 2 2 27 2" xfId="11367"/>
    <cellStyle name="Обычный 21 2 2 27 3" xfId="11368"/>
    <cellStyle name="Обычный 21 2 2 28" xfId="11369"/>
    <cellStyle name="Обычный 21 2 2 28 2" xfId="11370"/>
    <cellStyle name="Обычный 21 2 2 28 3" xfId="11371"/>
    <cellStyle name="Обычный 21 2 2 29" xfId="11372"/>
    <cellStyle name="Обычный 21 2 2 29 2" xfId="11373"/>
    <cellStyle name="Обычный 21 2 2 29 3" xfId="11374"/>
    <cellStyle name="Обычный 21 2 2 3" xfId="11375"/>
    <cellStyle name="Обычный 21 2 2 3 2" xfId="11376"/>
    <cellStyle name="Обычный 21 2 2 3 3" xfId="11377"/>
    <cellStyle name="Обычный 21 2 2 30" xfId="11378"/>
    <cellStyle name="Обычный 21 2 2 30 2" xfId="11379"/>
    <cellStyle name="Обычный 21 2 2 30 3" xfId="11380"/>
    <cellStyle name="Обычный 21 2 2 31" xfId="11381"/>
    <cellStyle name="Обычный 21 2 2 31 2" xfId="11382"/>
    <cellStyle name="Обычный 21 2 2 31 3" xfId="11383"/>
    <cellStyle name="Обычный 21 2 2 32" xfId="11384"/>
    <cellStyle name="Обычный 21 2 2 32 2" xfId="11385"/>
    <cellStyle name="Обычный 21 2 2 32 3" xfId="11386"/>
    <cellStyle name="Обычный 21 2 2 33" xfId="11387"/>
    <cellStyle name="Обычный 21 2 2 33 2" xfId="11388"/>
    <cellStyle name="Обычный 21 2 2 33 3" xfId="11389"/>
    <cellStyle name="Обычный 21 2 2 34" xfId="11390"/>
    <cellStyle name="Обычный 21 2 2 34 2" xfId="11391"/>
    <cellStyle name="Обычный 21 2 2 34 3" xfId="11392"/>
    <cellStyle name="Обычный 21 2 2 35" xfId="11393"/>
    <cellStyle name="Обычный 21 2 2 35 2" xfId="11394"/>
    <cellStyle name="Обычный 21 2 2 35 3" xfId="11395"/>
    <cellStyle name="Обычный 21 2 2 36" xfId="11396"/>
    <cellStyle name="Обычный 21 2 2 36 2" xfId="11397"/>
    <cellStyle name="Обычный 21 2 2 36 3" xfId="11398"/>
    <cellStyle name="Обычный 21 2 2 37" xfId="11399"/>
    <cellStyle name="Обычный 21 2 2 37 2" xfId="11400"/>
    <cellStyle name="Обычный 21 2 2 37 3" xfId="11401"/>
    <cellStyle name="Обычный 21 2 2 38" xfId="11402"/>
    <cellStyle name="Обычный 21 2 2 38 2" xfId="11403"/>
    <cellStyle name="Обычный 21 2 2 38 3" xfId="11404"/>
    <cellStyle name="Обычный 21 2 2 39" xfId="11405"/>
    <cellStyle name="Обычный 21 2 2 39 2" xfId="11406"/>
    <cellStyle name="Обычный 21 2 2 39 3" xfId="11407"/>
    <cellStyle name="Обычный 21 2 2 4" xfId="11408"/>
    <cellStyle name="Обычный 21 2 2 4 2" xfId="11409"/>
    <cellStyle name="Обычный 21 2 2 4 3" xfId="11410"/>
    <cellStyle name="Обычный 21 2 2 40" xfId="11411"/>
    <cellStyle name="Обычный 21 2 2 40 2" xfId="11412"/>
    <cellStyle name="Обычный 21 2 2 40 3" xfId="11413"/>
    <cellStyle name="Обычный 21 2 2 41" xfId="11414"/>
    <cellStyle name="Обычный 21 2 2 41 2" xfId="11415"/>
    <cellStyle name="Обычный 21 2 2 41 3" xfId="11416"/>
    <cellStyle name="Обычный 21 2 2 42" xfId="11417"/>
    <cellStyle name="Обычный 21 2 2 42 2" xfId="11418"/>
    <cellStyle name="Обычный 21 2 2 42 3" xfId="11419"/>
    <cellStyle name="Обычный 21 2 2 43" xfId="11420"/>
    <cellStyle name="Обычный 21 2 2 43 2" xfId="11421"/>
    <cellStyle name="Обычный 21 2 2 43 3" xfId="11422"/>
    <cellStyle name="Обычный 21 2 2 44" xfId="11423"/>
    <cellStyle name="Обычный 21 2 2 44 2" xfId="11424"/>
    <cellStyle name="Обычный 21 2 2 44 3" xfId="11425"/>
    <cellStyle name="Обычный 21 2 2 45" xfId="11426"/>
    <cellStyle name="Обычный 21 2 2 45 2" xfId="11427"/>
    <cellStyle name="Обычный 21 2 2 45 3" xfId="11428"/>
    <cellStyle name="Обычный 21 2 2 46" xfId="11429"/>
    <cellStyle name="Обычный 21 2 2 46 2" xfId="11430"/>
    <cellStyle name="Обычный 21 2 2 46 3" xfId="11431"/>
    <cellStyle name="Обычный 21 2 2 47" xfId="11432"/>
    <cellStyle name="Обычный 21 2 2 47 2" xfId="11433"/>
    <cellStyle name="Обычный 21 2 2 47 3" xfId="11434"/>
    <cellStyle name="Обычный 21 2 2 48" xfId="11435"/>
    <cellStyle name="Обычный 21 2 2 48 2" xfId="11436"/>
    <cellStyle name="Обычный 21 2 2 48 3" xfId="11437"/>
    <cellStyle name="Обычный 21 2 2 49" xfId="11438"/>
    <cellStyle name="Обычный 21 2 2 49 2" xfId="11439"/>
    <cellStyle name="Обычный 21 2 2 49 3" xfId="11440"/>
    <cellStyle name="Обычный 21 2 2 5" xfId="11441"/>
    <cellStyle name="Обычный 21 2 2 5 2" xfId="11442"/>
    <cellStyle name="Обычный 21 2 2 5 3" xfId="11443"/>
    <cellStyle name="Обычный 21 2 2 50" xfId="11444"/>
    <cellStyle name="Обычный 21 2 2 50 2" xfId="11445"/>
    <cellStyle name="Обычный 21 2 2 50 3" xfId="11446"/>
    <cellStyle name="Обычный 21 2 2 51" xfId="11447"/>
    <cellStyle name="Обычный 21 2 2 51 2" xfId="11448"/>
    <cellStyle name="Обычный 21 2 2 51 3" xfId="11449"/>
    <cellStyle name="Обычный 21 2 2 52" xfId="11450"/>
    <cellStyle name="Обычный 21 2 2 52 2" xfId="11451"/>
    <cellStyle name="Обычный 21 2 2 52 3" xfId="11452"/>
    <cellStyle name="Обычный 21 2 2 53" xfId="11453"/>
    <cellStyle name="Обычный 21 2 2 53 2" xfId="11454"/>
    <cellStyle name="Обычный 21 2 2 53 3" xfId="11455"/>
    <cellStyle name="Обычный 21 2 2 54" xfId="11456"/>
    <cellStyle name="Обычный 21 2 2 54 2" xfId="11457"/>
    <cellStyle name="Обычный 21 2 2 54 3" xfId="11458"/>
    <cellStyle name="Обычный 21 2 2 55" xfId="11459"/>
    <cellStyle name="Обычный 21 2 2 55 2" xfId="11460"/>
    <cellStyle name="Обычный 21 2 2 55 3" xfId="11461"/>
    <cellStyle name="Обычный 21 2 2 56" xfId="11462"/>
    <cellStyle name="Обычный 21 2 2 56 2" xfId="11463"/>
    <cellStyle name="Обычный 21 2 2 56 3" xfId="11464"/>
    <cellStyle name="Обычный 21 2 2 57" xfId="11465"/>
    <cellStyle name="Обычный 21 2 2 57 2" xfId="11466"/>
    <cellStyle name="Обычный 21 2 2 57 3" xfId="11467"/>
    <cellStyle name="Обычный 21 2 2 58" xfId="11468"/>
    <cellStyle name="Обычный 21 2 2 58 2" xfId="11469"/>
    <cellStyle name="Обычный 21 2 2 58 3" xfId="11470"/>
    <cellStyle name="Обычный 21 2 2 59" xfId="11471"/>
    <cellStyle name="Обычный 21 2 2 59 2" xfId="11472"/>
    <cellStyle name="Обычный 21 2 2 59 3" xfId="11473"/>
    <cellStyle name="Обычный 21 2 2 6" xfId="11474"/>
    <cellStyle name="Обычный 21 2 2 6 2" xfId="11475"/>
    <cellStyle name="Обычный 21 2 2 6 3" xfId="11476"/>
    <cellStyle name="Обычный 21 2 2 60" xfId="11477"/>
    <cellStyle name="Обычный 21 2 2 60 2" xfId="11478"/>
    <cellStyle name="Обычный 21 2 2 60 3" xfId="11479"/>
    <cellStyle name="Обычный 21 2 2 61" xfId="11480"/>
    <cellStyle name="Обычный 21 2 2 61 2" xfId="11481"/>
    <cellStyle name="Обычный 21 2 2 61 3" xfId="11482"/>
    <cellStyle name="Обычный 21 2 2 62" xfId="11483"/>
    <cellStyle name="Обычный 21 2 2 62 2" xfId="11484"/>
    <cellStyle name="Обычный 21 2 2 62 3" xfId="11485"/>
    <cellStyle name="Обычный 21 2 2 63" xfId="11486"/>
    <cellStyle name="Обычный 21 2 2 63 2" xfId="11487"/>
    <cellStyle name="Обычный 21 2 2 63 3" xfId="11488"/>
    <cellStyle name="Обычный 21 2 2 64" xfId="11489"/>
    <cellStyle name="Обычный 21 2 2 65" xfId="11490"/>
    <cellStyle name="Обычный 21 2 2 7" xfId="11491"/>
    <cellStyle name="Обычный 21 2 2 7 2" xfId="11492"/>
    <cellStyle name="Обычный 21 2 2 7 3" xfId="11493"/>
    <cellStyle name="Обычный 21 2 2 8" xfId="11494"/>
    <cellStyle name="Обычный 21 2 2 8 2" xfId="11495"/>
    <cellStyle name="Обычный 21 2 2 8 3" xfId="11496"/>
    <cellStyle name="Обычный 21 2 2 9" xfId="11497"/>
    <cellStyle name="Обычный 21 2 2 9 2" xfId="11498"/>
    <cellStyle name="Обычный 21 2 2 9 3" xfId="11499"/>
    <cellStyle name="Обычный 21 2 3" xfId="11500"/>
    <cellStyle name="Обычный 21 2 3 10" xfId="11501"/>
    <cellStyle name="Обычный 21 2 3 10 2" xfId="11502"/>
    <cellStyle name="Обычный 21 2 3 10 3" xfId="11503"/>
    <cellStyle name="Обычный 21 2 3 11" xfId="11504"/>
    <cellStyle name="Обычный 21 2 3 11 2" xfId="11505"/>
    <cellStyle name="Обычный 21 2 3 11 3" xfId="11506"/>
    <cellStyle name="Обычный 21 2 3 12" xfId="11507"/>
    <cellStyle name="Обычный 21 2 3 12 2" xfId="11508"/>
    <cellStyle name="Обычный 21 2 3 12 3" xfId="11509"/>
    <cellStyle name="Обычный 21 2 3 13" xfId="11510"/>
    <cellStyle name="Обычный 21 2 3 13 2" xfId="11511"/>
    <cellStyle name="Обычный 21 2 3 13 3" xfId="11512"/>
    <cellStyle name="Обычный 21 2 3 14" xfId="11513"/>
    <cellStyle name="Обычный 21 2 3 14 2" xfId="11514"/>
    <cellStyle name="Обычный 21 2 3 14 3" xfId="11515"/>
    <cellStyle name="Обычный 21 2 3 15" xfId="11516"/>
    <cellStyle name="Обычный 21 2 3 15 2" xfId="11517"/>
    <cellStyle name="Обычный 21 2 3 15 3" xfId="11518"/>
    <cellStyle name="Обычный 21 2 3 16" xfId="11519"/>
    <cellStyle name="Обычный 21 2 3 16 2" xfId="11520"/>
    <cellStyle name="Обычный 21 2 3 16 3" xfId="11521"/>
    <cellStyle name="Обычный 21 2 3 17" xfId="11522"/>
    <cellStyle name="Обычный 21 2 3 17 2" xfId="11523"/>
    <cellStyle name="Обычный 21 2 3 17 3" xfId="11524"/>
    <cellStyle name="Обычный 21 2 3 18" xfId="11525"/>
    <cellStyle name="Обычный 21 2 3 18 2" xfId="11526"/>
    <cellStyle name="Обычный 21 2 3 18 3" xfId="11527"/>
    <cellStyle name="Обычный 21 2 3 19" xfId="11528"/>
    <cellStyle name="Обычный 21 2 3 19 2" xfId="11529"/>
    <cellStyle name="Обычный 21 2 3 19 3" xfId="11530"/>
    <cellStyle name="Обычный 21 2 3 2" xfId="11531"/>
    <cellStyle name="Обычный 21 2 3 2 2" xfId="11532"/>
    <cellStyle name="Обычный 21 2 3 2 3" xfId="11533"/>
    <cellStyle name="Обычный 21 2 3 20" xfId="11534"/>
    <cellStyle name="Обычный 21 2 3 20 2" xfId="11535"/>
    <cellStyle name="Обычный 21 2 3 20 3" xfId="11536"/>
    <cellStyle name="Обычный 21 2 3 21" xfId="11537"/>
    <cellStyle name="Обычный 21 2 3 21 2" xfId="11538"/>
    <cellStyle name="Обычный 21 2 3 21 3" xfId="11539"/>
    <cellStyle name="Обычный 21 2 3 22" xfId="11540"/>
    <cellStyle name="Обычный 21 2 3 22 2" xfId="11541"/>
    <cellStyle name="Обычный 21 2 3 22 3" xfId="11542"/>
    <cellStyle name="Обычный 21 2 3 23" xfId="11543"/>
    <cellStyle name="Обычный 21 2 3 23 2" xfId="11544"/>
    <cellStyle name="Обычный 21 2 3 23 3" xfId="11545"/>
    <cellStyle name="Обычный 21 2 3 24" xfId="11546"/>
    <cellStyle name="Обычный 21 2 3 24 2" xfId="11547"/>
    <cellStyle name="Обычный 21 2 3 24 3" xfId="11548"/>
    <cellStyle name="Обычный 21 2 3 25" xfId="11549"/>
    <cellStyle name="Обычный 21 2 3 25 2" xfId="11550"/>
    <cellStyle name="Обычный 21 2 3 25 3" xfId="11551"/>
    <cellStyle name="Обычный 21 2 3 26" xfId="11552"/>
    <cellStyle name="Обычный 21 2 3 26 2" xfId="11553"/>
    <cellStyle name="Обычный 21 2 3 26 3" xfId="11554"/>
    <cellStyle name="Обычный 21 2 3 27" xfId="11555"/>
    <cellStyle name="Обычный 21 2 3 27 2" xfId="11556"/>
    <cellStyle name="Обычный 21 2 3 27 3" xfId="11557"/>
    <cellStyle name="Обычный 21 2 3 28" xfId="11558"/>
    <cellStyle name="Обычный 21 2 3 28 2" xfId="11559"/>
    <cellStyle name="Обычный 21 2 3 28 3" xfId="11560"/>
    <cellStyle name="Обычный 21 2 3 29" xfId="11561"/>
    <cellStyle name="Обычный 21 2 3 29 2" xfId="11562"/>
    <cellStyle name="Обычный 21 2 3 29 3" xfId="11563"/>
    <cellStyle name="Обычный 21 2 3 3" xfId="11564"/>
    <cellStyle name="Обычный 21 2 3 3 2" xfId="11565"/>
    <cellStyle name="Обычный 21 2 3 3 3" xfId="11566"/>
    <cellStyle name="Обычный 21 2 3 30" xfId="11567"/>
    <cellStyle name="Обычный 21 2 3 30 2" xfId="11568"/>
    <cellStyle name="Обычный 21 2 3 30 3" xfId="11569"/>
    <cellStyle name="Обычный 21 2 3 31" xfId="11570"/>
    <cellStyle name="Обычный 21 2 3 31 2" xfId="11571"/>
    <cellStyle name="Обычный 21 2 3 31 3" xfId="11572"/>
    <cellStyle name="Обычный 21 2 3 32" xfId="11573"/>
    <cellStyle name="Обычный 21 2 3 32 2" xfId="11574"/>
    <cellStyle name="Обычный 21 2 3 32 3" xfId="11575"/>
    <cellStyle name="Обычный 21 2 3 33" xfId="11576"/>
    <cellStyle name="Обычный 21 2 3 33 2" xfId="11577"/>
    <cellStyle name="Обычный 21 2 3 33 3" xfId="11578"/>
    <cellStyle name="Обычный 21 2 3 34" xfId="11579"/>
    <cellStyle name="Обычный 21 2 3 34 2" xfId="11580"/>
    <cellStyle name="Обычный 21 2 3 34 3" xfId="11581"/>
    <cellStyle name="Обычный 21 2 3 35" xfId="11582"/>
    <cellStyle name="Обычный 21 2 3 35 2" xfId="11583"/>
    <cellStyle name="Обычный 21 2 3 35 3" xfId="11584"/>
    <cellStyle name="Обычный 21 2 3 36" xfId="11585"/>
    <cellStyle name="Обычный 21 2 3 36 2" xfId="11586"/>
    <cellStyle name="Обычный 21 2 3 36 3" xfId="11587"/>
    <cellStyle name="Обычный 21 2 3 37" xfId="11588"/>
    <cellStyle name="Обычный 21 2 3 37 2" xfId="11589"/>
    <cellStyle name="Обычный 21 2 3 37 3" xfId="11590"/>
    <cellStyle name="Обычный 21 2 3 38" xfId="11591"/>
    <cellStyle name="Обычный 21 2 3 38 2" xfId="11592"/>
    <cellStyle name="Обычный 21 2 3 38 3" xfId="11593"/>
    <cellStyle name="Обычный 21 2 3 39" xfId="11594"/>
    <cellStyle name="Обычный 21 2 3 39 2" xfId="11595"/>
    <cellStyle name="Обычный 21 2 3 39 3" xfId="11596"/>
    <cellStyle name="Обычный 21 2 3 4" xfId="11597"/>
    <cellStyle name="Обычный 21 2 3 4 2" xfId="11598"/>
    <cellStyle name="Обычный 21 2 3 4 3" xfId="11599"/>
    <cellStyle name="Обычный 21 2 3 40" xfId="11600"/>
    <cellStyle name="Обычный 21 2 3 40 2" xfId="11601"/>
    <cellStyle name="Обычный 21 2 3 40 3" xfId="11602"/>
    <cellStyle name="Обычный 21 2 3 41" xfId="11603"/>
    <cellStyle name="Обычный 21 2 3 41 2" xfId="11604"/>
    <cellStyle name="Обычный 21 2 3 41 3" xfId="11605"/>
    <cellStyle name="Обычный 21 2 3 42" xfId="11606"/>
    <cellStyle name="Обычный 21 2 3 42 2" xfId="11607"/>
    <cellStyle name="Обычный 21 2 3 42 3" xfId="11608"/>
    <cellStyle name="Обычный 21 2 3 43" xfId="11609"/>
    <cellStyle name="Обычный 21 2 3 43 2" xfId="11610"/>
    <cellStyle name="Обычный 21 2 3 43 3" xfId="11611"/>
    <cellStyle name="Обычный 21 2 3 44" xfId="11612"/>
    <cellStyle name="Обычный 21 2 3 44 2" xfId="11613"/>
    <cellStyle name="Обычный 21 2 3 44 3" xfId="11614"/>
    <cellStyle name="Обычный 21 2 3 45" xfId="11615"/>
    <cellStyle name="Обычный 21 2 3 45 2" xfId="11616"/>
    <cellStyle name="Обычный 21 2 3 45 3" xfId="11617"/>
    <cellStyle name="Обычный 21 2 3 46" xfId="11618"/>
    <cellStyle name="Обычный 21 2 3 46 2" xfId="11619"/>
    <cellStyle name="Обычный 21 2 3 46 3" xfId="11620"/>
    <cellStyle name="Обычный 21 2 3 47" xfId="11621"/>
    <cellStyle name="Обычный 21 2 3 47 2" xfId="11622"/>
    <cellStyle name="Обычный 21 2 3 47 3" xfId="11623"/>
    <cellStyle name="Обычный 21 2 3 48" xfId="11624"/>
    <cellStyle name="Обычный 21 2 3 48 2" xfId="11625"/>
    <cellStyle name="Обычный 21 2 3 48 3" xfId="11626"/>
    <cellStyle name="Обычный 21 2 3 49" xfId="11627"/>
    <cellStyle name="Обычный 21 2 3 49 2" xfId="11628"/>
    <cellStyle name="Обычный 21 2 3 49 3" xfId="11629"/>
    <cellStyle name="Обычный 21 2 3 5" xfId="11630"/>
    <cellStyle name="Обычный 21 2 3 5 2" xfId="11631"/>
    <cellStyle name="Обычный 21 2 3 5 3" xfId="11632"/>
    <cellStyle name="Обычный 21 2 3 50" xfId="11633"/>
    <cellStyle name="Обычный 21 2 3 50 2" xfId="11634"/>
    <cellStyle name="Обычный 21 2 3 50 3" xfId="11635"/>
    <cellStyle name="Обычный 21 2 3 51" xfId="11636"/>
    <cellStyle name="Обычный 21 2 3 51 2" xfId="11637"/>
    <cellStyle name="Обычный 21 2 3 51 3" xfId="11638"/>
    <cellStyle name="Обычный 21 2 3 52" xfId="11639"/>
    <cellStyle name="Обычный 21 2 3 52 2" xfId="11640"/>
    <cellStyle name="Обычный 21 2 3 52 3" xfId="11641"/>
    <cellStyle name="Обычный 21 2 3 53" xfId="11642"/>
    <cellStyle name="Обычный 21 2 3 53 2" xfId="11643"/>
    <cellStyle name="Обычный 21 2 3 53 3" xfId="11644"/>
    <cellStyle name="Обычный 21 2 3 54" xfId="11645"/>
    <cellStyle name="Обычный 21 2 3 54 2" xfId="11646"/>
    <cellStyle name="Обычный 21 2 3 54 3" xfId="11647"/>
    <cellStyle name="Обычный 21 2 3 55" xfId="11648"/>
    <cellStyle name="Обычный 21 2 3 55 2" xfId="11649"/>
    <cellStyle name="Обычный 21 2 3 55 3" xfId="11650"/>
    <cellStyle name="Обычный 21 2 3 56" xfId="11651"/>
    <cellStyle name="Обычный 21 2 3 56 2" xfId="11652"/>
    <cellStyle name="Обычный 21 2 3 56 3" xfId="11653"/>
    <cellStyle name="Обычный 21 2 3 57" xfId="11654"/>
    <cellStyle name="Обычный 21 2 3 57 2" xfId="11655"/>
    <cellStyle name="Обычный 21 2 3 57 3" xfId="11656"/>
    <cellStyle name="Обычный 21 2 3 58" xfId="11657"/>
    <cellStyle name="Обычный 21 2 3 58 2" xfId="11658"/>
    <cellStyle name="Обычный 21 2 3 58 3" xfId="11659"/>
    <cellStyle name="Обычный 21 2 3 59" xfId="11660"/>
    <cellStyle name="Обычный 21 2 3 59 2" xfId="11661"/>
    <cellStyle name="Обычный 21 2 3 59 3" xfId="11662"/>
    <cellStyle name="Обычный 21 2 3 6" xfId="11663"/>
    <cellStyle name="Обычный 21 2 3 6 2" xfId="11664"/>
    <cellStyle name="Обычный 21 2 3 6 3" xfId="11665"/>
    <cellStyle name="Обычный 21 2 3 60" xfId="11666"/>
    <cellStyle name="Обычный 21 2 3 60 2" xfId="11667"/>
    <cellStyle name="Обычный 21 2 3 60 3" xfId="11668"/>
    <cellStyle name="Обычный 21 2 3 61" xfId="11669"/>
    <cellStyle name="Обычный 21 2 3 61 2" xfId="11670"/>
    <cellStyle name="Обычный 21 2 3 61 3" xfId="11671"/>
    <cellStyle name="Обычный 21 2 3 62" xfId="11672"/>
    <cellStyle name="Обычный 21 2 3 62 2" xfId="11673"/>
    <cellStyle name="Обычный 21 2 3 62 3" xfId="11674"/>
    <cellStyle name="Обычный 21 2 3 63" xfId="11675"/>
    <cellStyle name="Обычный 21 2 3 63 2" xfId="11676"/>
    <cellStyle name="Обычный 21 2 3 63 3" xfId="11677"/>
    <cellStyle name="Обычный 21 2 3 64" xfId="11678"/>
    <cellStyle name="Обычный 21 2 3 65" xfId="11679"/>
    <cellStyle name="Обычный 21 2 3 7" xfId="11680"/>
    <cellStyle name="Обычный 21 2 3 7 2" xfId="11681"/>
    <cellStyle name="Обычный 21 2 3 7 3" xfId="11682"/>
    <cellStyle name="Обычный 21 2 3 8" xfId="11683"/>
    <cellStyle name="Обычный 21 2 3 8 2" xfId="11684"/>
    <cellStyle name="Обычный 21 2 3 8 3" xfId="11685"/>
    <cellStyle name="Обычный 21 2 3 9" xfId="11686"/>
    <cellStyle name="Обычный 21 2 3 9 2" xfId="11687"/>
    <cellStyle name="Обычный 21 2 3 9 3" xfId="11688"/>
    <cellStyle name="Обычный 21 2 4" xfId="11689"/>
    <cellStyle name="Обычный 21 2 4 10" xfId="11690"/>
    <cellStyle name="Обычный 21 2 4 10 2" xfId="11691"/>
    <cellStyle name="Обычный 21 2 4 10 3" xfId="11692"/>
    <cellStyle name="Обычный 21 2 4 11" xfId="11693"/>
    <cellStyle name="Обычный 21 2 4 11 2" xfId="11694"/>
    <cellStyle name="Обычный 21 2 4 11 3" xfId="11695"/>
    <cellStyle name="Обычный 21 2 4 12" xfId="11696"/>
    <cellStyle name="Обычный 21 2 4 12 2" xfId="11697"/>
    <cellStyle name="Обычный 21 2 4 12 3" xfId="11698"/>
    <cellStyle name="Обычный 21 2 4 13" xfId="11699"/>
    <cellStyle name="Обычный 21 2 4 13 2" xfId="11700"/>
    <cellStyle name="Обычный 21 2 4 13 3" xfId="11701"/>
    <cellStyle name="Обычный 21 2 4 14" xfId="11702"/>
    <cellStyle name="Обычный 21 2 4 14 2" xfId="11703"/>
    <cellStyle name="Обычный 21 2 4 14 3" xfId="11704"/>
    <cellStyle name="Обычный 21 2 4 15" xfId="11705"/>
    <cellStyle name="Обычный 21 2 4 15 2" xfId="11706"/>
    <cellStyle name="Обычный 21 2 4 15 3" xfId="11707"/>
    <cellStyle name="Обычный 21 2 4 16" xfId="11708"/>
    <cellStyle name="Обычный 21 2 4 16 2" xfId="11709"/>
    <cellStyle name="Обычный 21 2 4 16 3" xfId="11710"/>
    <cellStyle name="Обычный 21 2 4 17" xfId="11711"/>
    <cellStyle name="Обычный 21 2 4 17 2" xfId="11712"/>
    <cellStyle name="Обычный 21 2 4 17 3" xfId="11713"/>
    <cellStyle name="Обычный 21 2 4 18" xfId="11714"/>
    <cellStyle name="Обычный 21 2 4 18 2" xfId="11715"/>
    <cellStyle name="Обычный 21 2 4 18 3" xfId="11716"/>
    <cellStyle name="Обычный 21 2 4 19" xfId="11717"/>
    <cellStyle name="Обычный 21 2 4 19 2" xfId="11718"/>
    <cellStyle name="Обычный 21 2 4 19 3" xfId="11719"/>
    <cellStyle name="Обычный 21 2 4 2" xfId="11720"/>
    <cellStyle name="Обычный 21 2 4 2 2" xfId="11721"/>
    <cellStyle name="Обычный 21 2 4 2 3" xfId="11722"/>
    <cellStyle name="Обычный 21 2 4 20" xfId="11723"/>
    <cellStyle name="Обычный 21 2 4 20 2" xfId="11724"/>
    <cellStyle name="Обычный 21 2 4 20 3" xfId="11725"/>
    <cellStyle name="Обычный 21 2 4 21" xfId="11726"/>
    <cellStyle name="Обычный 21 2 4 21 2" xfId="11727"/>
    <cellStyle name="Обычный 21 2 4 21 3" xfId="11728"/>
    <cellStyle name="Обычный 21 2 4 22" xfId="11729"/>
    <cellStyle name="Обычный 21 2 4 22 2" xfId="11730"/>
    <cellStyle name="Обычный 21 2 4 22 3" xfId="11731"/>
    <cellStyle name="Обычный 21 2 4 23" xfId="11732"/>
    <cellStyle name="Обычный 21 2 4 23 2" xfId="11733"/>
    <cellStyle name="Обычный 21 2 4 23 3" xfId="11734"/>
    <cellStyle name="Обычный 21 2 4 24" xfId="11735"/>
    <cellStyle name="Обычный 21 2 4 24 2" xfId="11736"/>
    <cellStyle name="Обычный 21 2 4 24 3" xfId="11737"/>
    <cellStyle name="Обычный 21 2 4 25" xfId="11738"/>
    <cellStyle name="Обычный 21 2 4 25 2" xfId="11739"/>
    <cellStyle name="Обычный 21 2 4 25 3" xfId="11740"/>
    <cellStyle name="Обычный 21 2 4 26" xfId="11741"/>
    <cellStyle name="Обычный 21 2 4 26 2" xfId="11742"/>
    <cellStyle name="Обычный 21 2 4 26 3" xfId="11743"/>
    <cellStyle name="Обычный 21 2 4 27" xfId="11744"/>
    <cellStyle name="Обычный 21 2 4 27 2" xfId="11745"/>
    <cellStyle name="Обычный 21 2 4 27 3" xfId="11746"/>
    <cellStyle name="Обычный 21 2 4 28" xfId="11747"/>
    <cellStyle name="Обычный 21 2 4 28 2" xfId="11748"/>
    <cellStyle name="Обычный 21 2 4 28 3" xfId="11749"/>
    <cellStyle name="Обычный 21 2 4 29" xfId="11750"/>
    <cellStyle name="Обычный 21 2 4 29 2" xfId="11751"/>
    <cellStyle name="Обычный 21 2 4 29 3" xfId="11752"/>
    <cellStyle name="Обычный 21 2 4 3" xfId="11753"/>
    <cellStyle name="Обычный 21 2 4 3 2" xfId="11754"/>
    <cellStyle name="Обычный 21 2 4 3 3" xfId="11755"/>
    <cellStyle name="Обычный 21 2 4 30" xfId="11756"/>
    <cellStyle name="Обычный 21 2 4 30 2" xfId="11757"/>
    <cellStyle name="Обычный 21 2 4 30 3" xfId="11758"/>
    <cellStyle name="Обычный 21 2 4 31" xfId="11759"/>
    <cellStyle name="Обычный 21 2 4 31 2" xfId="11760"/>
    <cellStyle name="Обычный 21 2 4 31 3" xfId="11761"/>
    <cellStyle name="Обычный 21 2 4 32" xfId="11762"/>
    <cellStyle name="Обычный 21 2 4 32 2" xfId="11763"/>
    <cellStyle name="Обычный 21 2 4 32 3" xfId="11764"/>
    <cellStyle name="Обычный 21 2 4 33" xfId="11765"/>
    <cellStyle name="Обычный 21 2 4 33 2" xfId="11766"/>
    <cellStyle name="Обычный 21 2 4 33 3" xfId="11767"/>
    <cellStyle name="Обычный 21 2 4 34" xfId="11768"/>
    <cellStyle name="Обычный 21 2 4 34 2" xfId="11769"/>
    <cellStyle name="Обычный 21 2 4 34 3" xfId="11770"/>
    <cellStyle name="Обычный 21 2 4 35" xfId="11771"/>
    <cellStyle name="Обычный 21 2 4 35 2" xfId="11772"/>
    <cellStyle name="Обычный 21 2 4 35 3" xfId="11773"/>
    <cellStyle name="Обычный 21 2 4 36" xfId="11774"/>
    <cellStyle name="Обычный 21 2 4 36 2" xfId="11775"/>
    <cellStyle name="Обычный 21 2 4 36 3" xfId="11776"/>
    <cellStyle name="Обычный 21 2 4 37" xfId="11777"/>
    <cellStyle name="Обычный 21 2 4 37 2" xfId="11778"/>
    <cellStyle name="Обычный 21 2 4 37 3" xfId="11779"/>
    <cellStyle name="Обычный 21 2 4 38" xfId="11780"/>
    <cellStyle name="Обычный 21 2 4 38 2" xfId="11781"/>
    <cellStyle name="Обычный 21 2 4 38 3" xfId="11782"/>
    <cellStyle name="Обычный 21 2 4 39" xfId="11783"/>
    <cellStyle name="Обычный 21 2 4 39 2" xfId="11784"/>
    <cellStyle name="Обычный 21 2 4 39 3" xfId="11785"/>
    <cellStyle name="Обычный 21 2 4 4" xfId="11786"/>
    <cellStyle name="Обычный 21 2 4 4 2" xfId="11787"/>
    <cellStyle name="Обычный 21 2 4 4 3" xfId="11788"/>
    <cellStyle name="Обычный 21 2 4 40" xfId="11789"/>
    <cellStyle name="Обычный 21 2 4 40 2" xfId="11790"/>
    <cellStyle name="Обычный 21 2 4 40 3" xfId="11791"/>
    <cellStyle name="Обычный 21 2 4 41" xfId="11792"/>
    <cellStyle name="Обычный 21 2 4 41 2" xfId="11793"/>
    <cellStyle name="Обычный 21 2 4 41 3" xfId="11794"/>
    <cellStyle name="Обычный 21 2 4 42" xfId="11795"/>
    <cellStyle name="Обычный 21 2 4 42 2" xfId="11796"/>
    <cellStyle name="Обычный 21 2 4 42 3" xfId="11797"/>
    <cellStyle name="Обычный 21 2 4 43" xfId="11798"/>
    <cellStyle name="Обычный 21 2 4 43 2" xfId="11799"/>
    <cellStyle name="Обычный 21 2 4 43 3" xfId="11800"/>
    <cellStyle name="Обычный 21 2 4 44" xfId="11801"/>
    <cellStyle name="Обычный 21 2 4 44 2" xfId="11802"/>
    <cellStyle name="Обычный 21 2 4 44 3" xfId="11803"/>
    <cellStyle name="Обычный 21 2 4 45" xfId="11804"/>
    <cellStyle name="Обычный 21 2 4 45 2" xfId="11805"/>
    <cellStyle name="Обычный 21 2 4 45 3" xfId="11806"/>
    <cellStyle name="Обычный 21 2 4 46" xfId="11807"/>
    <cellStyle name="Обычный 21 2 4 46 2" xfId="11808"/>
    <cellStyle name="Обычный 21 2 4 46 3" xfId="11809"/>
    <cellStyle name="Обычный 21 2 4 47" xfId="11810"/>
    <cellStyle name="Обычный 21 2 4 47 2" xfId="11811"/>
    <cellStyle name="Обычный 21 2 4 47 3" xfId="11812"/>
    <cellStyle name="Обычный 21 2 4 48" xfId="11813"/>
    <cellStyle name="Обычный 21 2 4 48 2" xfId="11814"/>
    <cellStyle name="Обычный 21 2 4 48 3" xfId="11815"/>
    <cellStyle name="Обычный 21 2 4 49" xfId="11816"/>
    <cellStyle name="Обычный 21 2 4 49 2" xfId="11817"/>
    <cellStyle name="Обычный 21 2 4 49 3" xfId="11818"/>
    <cellStyle name="Обычный 21 2 4 5" xfId="11819"/>
    <cellStyle name="Обычный 21 2 4 5 2" xfId="11820"/>
    <cellStyle name="Обычный 21 2 4 5 3" xfId="11821"/>
    <cellStyle name="Обычный 21 2 4 50" xfId="11822"/>
    <cellStyle name="Обычный 21 2 4 50 2" xfId="11823"/>
    <cellStyle name="Обычный 21 2 4 50 3" xfId="11824"/>
    <cellStyle name="Обычный 21 2 4 51" xfId="11825"/>
    <cellStyle name="Обычный 21 2 4 51 2" xfId="11826"/>
    <cellStyle name="Обычный 21 2 4 51 3" xfId="11827"/>
    <cellStyle name="Обычный 21 2 4 52" xfId="11828"/>
    <cellStyle name="Обычный 21 2 4 52 2" xfId="11829"/>
    <cellStyle name="Обычный 21 2 4 52 3" xfId="11830"/>
    <cellStyle name="Обычный 21 2 4 53" xfId="11831"/>
    <cellStyle name="Обычный 21 2 4 53 2" xfId="11832"/>
    <cellStyle name="Обычный 21 2 4 53 3" xfId="11833"/>
    <cellStyle name="Обычный 21 2 4 54" xfId="11834"/>
    <cellStyle name="Обычный 21 2 4 54 2" xfId="11835"/>
    <cellStyle name="Обычный 21 2 4 54 3" xfId="11836"/>
    <cellStyle name="Обычный 21 2 4 55" xfId="11837"/>
    <cellStyle name="Обычный 21 2 4 55 2" xfId="11838"/>
    <cellStyle name="Обычный 21 2 4 55 3" xfId="11839"/>
    <cellStyle name="Обычный 21 2 4 56" xfId="11840"/>
    <cellStyle name="Обычный 21 2 4 56 2" xfId="11841"/>
    <cellStyle name="Обычный 21 2 4 56 3" xfId="11842"/>
    <cellStyle name="Обычный 21 2 4 57" xfId="11843"/>
    <cellStyle name="Обычный 21 2 4 57 2" xfId="11844"/>
    <cellStyle name="Обычный 21 2 4 57 3" xfId="11845"/>
    <cellStyle name="Обычный 21 2 4 58" xfId="11846"/>
    <cellStyle name="Обычный 21 2 4 58 2" xfId="11847"/>
    <cellStyle name="Обычный 21 2 4 58 3" xfId="11848"/>
    <cellStyle name="Обычный 21 2 4 59" xfId="11849"/>
    <cellStyle name="Обычный 21 2 4 59 2" xfId="11850"/>
    <cellStyle name="Обычный 21 2 4 59 3" xfId="11851"/>
    <cellStyle name="Обычный 21 2 4 6" xfId="11852"/>
    <cellStyle name="Обычный 21 2 4 6 2" xfId="11853"/>
    <cellStyle name="Обычный 21 2 4 6 3" xfId="11854"/>
    <cellStyle name="Обычный 21 2 4 60" xfId="11855"/>
    <cellStyle name="Обычный 21 2 4 60 2" xfId="11856"/>
    <cellStyle name="Обычный 21 2 4 60 3" xfId="11857"/>
    <cellStyle name="Обычный 21 2 4 61" xfId="11858"/>
    <cellStyle name="Обычный 21 2 4 61 2" xfId="11859"/>
    <cellStyle name="Обычный 21 2 4 61 3" xfId="11860"/>
    <cellStyle name="Обычный 21 2 4 62" xfId="11861"/>
    <cellStyle name="Обычный 21 2 4 62 2" xfId="11862"/>
    <cellStyle name="Обычный 21 2 4 62 3" xfId="11863"/>
    <cellStyle name="Обычный 21 2 4 63" xfId="11864"/>
    <cellStyle name="Обычный 21 2 4 63 2" xfId="11865"/>
    <cellStyle name="Обычный 21 2 4 63 3" xfId="11866"/>
    <cellStyle name="Обычный 21 2 4 64" xfId="11867"/>
    <cellStyle name="Обычный 21 2 4 65" xfId="11868"/>
    <cellStyle name="Обычный 21 2 4 7" xfId="11869"/>
    <cellStyle name="Обычный 21 2 4 7 2" xfId="11870"/>
    <cellStyle name="Обычный 21 2 4 7 3" xfId="11871"/>
    <cellStyle name="Обычный 21 2 4 8" xfId="11872"/>
    <cellStyle name="Обычный 21 2 4 8 2" xfId="11873"/>
    <cellStyle name="Обычный 21 2 4 8 3" xfId="11874"/>
    <cellStyle name="Обычный 21 2 4 9" xfId="11875"/>
    <cellStyle name="Обычный 21 2 4 9 2" xfId="11876"/>
    <cellStyle name="Обычный 21 2 4 9 3" xfId="11877"/>
    <cellStyle name="Обычный 21 2 5" xfId="11878"/>
    <cellStyle name="Обычный 21 2 5 10" xfId="11879"/>
    <cellStyle name="Обычный 21 2 5 10 2" xfId="11880"/>
    <cellStyle name="Обычный 21 2 5 10 3" xfId="11881"/>
    <cellStyle name="Обычный 21 2 5 11" xfId="11882"/>
    <cellStyle name="Обычный 21 2 5 11 2" xfId="11883"/>
    <cellStyle name="Обычный 21 2 5 11 3" xfId="11884"/>
    <cellStyle name="Обычный 21 2 5 12" xfId="11885"/>
    <cellStyle name="Обычный 21 2 5 12 2" xfId="11886"/>
    <cellStyle name="Обычный 21 2 5 12 3" xfId="11887"/>
    <cellStyle name="Обычный 21 2 5 13" xfId="11888"/>
    <cellStyle name="Обычный 21 2 5 13 2" xfId="11889"/>
    <cellStyle name="Обычный 21 2 5 13 3" xfId="11890"/>
    <cellStyle name="Обычный 21 2 5 14" xfId="11891"/>
    <cellStyle name="Обычный 21 2 5 14 2" xfId="11892"/>
    <cellStyle name="Обычный 21 2 5 14 3" xfId="11893"/>
    <cellStyle name="Обычный 21 2 5 15" xfId="11894"/>
    <cellStyle name="Обычный 21 2 5 15 2" xfId="11895"/>
    <cellStyle name="Обычный 21 2 5 15 3" xfId="11896"/>
    <cellStyle name="Обычный 21 2 5 16" xfId="11897"/>
    <cellStyle name="Обычный 21 2 5 16 2" xfId="11898"/>
    <cellStyle name="Обычный 21 2 5 16 3" xfId="11899"/>
    <cellStyle name="Обычный 21 2 5 17" xfId="11900"/>
    <cellStyle name="Обычный 21 2 5 17 2" xfId="11901"/>
    <cellStyle name="Обычный 21 2 5 17 3" xfId="11902"/>
    <cellStyle name="Обычный 21 2 5 18" xfId="11903"/>
    <cellStyle name="Обычный 21 2 5 18 2" xfId="11904"/>
    <cellStyle name="Обычный 21 2 5 18 3" xfId="11905"/>
    <cellStyle name="Обычный 21 2 5 19" xfId="11906"/>
    <cellStyle name="Обычный 21 2 5 19 2" xfId="11907"/>
    <cellStyle name="Обычный 21 2 5 19 3" xfId="11908"/>
    <cellStyle name="Обычный 21 2 5 2" xfId="11909"/>
    <cellStyle name="Обычный 21 2 5 2 2" xfId="11910"/>
    <cellStyle name="Обычный 21 2 5 2 3" xfId="11911"/>
    <cellStyle name="Обычный 21 2 5 20" xfId="11912"/>
    <cellStyle name="Обычный 21 2 5 20 2" xfId="11913"/>
    <cellStyle name="Обычный 21 2 5 20 3" xfId="11914"/>
    <cellStyle name="Обычный 21 2 5 21" xfId="11915"/>
    <cellStyle name="Обычный 21 2 5 21 2" xfId="11916"/>
    <cellStyle name="Обычный 21 2 5 21 3" xfId="11917"/>
    <cellStyle name="Обычный 21 2 5 22" xfId="11918"/>
    <cellStyle name="Обычный 21 2 5 22 2" xfId="11919"/>
    <cellStyle name="Обычный 21 2 5 22 3" xfId="11920"/>
    <cellStyle name="Обычный 21 2 5 23" xfId="11921"/>
    <cellStyle name="Обычный 21 2 5 23 2" xfId="11922"/>
    <cellStyle name="Обычный 21 2 5 23 3" xfId="11923"/>
    <cellStyle name="Обычный 21 2 5 24" xfId="11924"/>
    <cellStyle name="Обычный 21 2 5 24 2" xfId="11925"/>
    <cellStyle name="Обычный 21 2 5 24 3" xfId="11926"/>
    <cellStyle name="Обычный 21 2 5 25" xfId="11927"/>
    <cellStyle name="Обычный 21 2 5 25 2" xfId="11928"/>
    <cellStyle name="Обычный 21 2 5 25 3" xfId="11929"/>
    <cellStyle name="Обычный 21 2 5 26" xfId="11930"/>
    <cellStyle name="Обычный 21 2 5 26 2" xfId="11931"/>
    <cellStyle name="Обычный 21 2 5 26 3" xfId="11932"/>
    <cellStyle name="Обычный 21 2 5 27" xfId="11933"/>
    <cellStyle name="Обычный 21 2 5 27 2" xfId="11934"/>
    <cellStyle name="Обычный 21 2 5 27 3" xfId="11935"/>
    <cellStyle name="Обычный 21 2 5 28" xfId="11936"/>
    <cellStyle name="Обычный 21 2 5 28 2" xfId="11937"/>
    <cellStyle name="Обычный 21 2 5 28 3" xfId="11938"/>
    <cellStyle name="Обычный 21 2 5 29" xfId="11939"/>
    <cellStyle name="Обычный 21 2 5 29 2" xfId="11940"/>
    <cellStyle name="Обычный 21 2 5 29 3" xfId="11941"/>
    <cellStyle name="Обычный 21 2 5 3" xfId="11942"/>
    <cellStyle name="Обычный 21 2 5 3 2" xfId="11943"/>
    <cellStyle name="Обычный 21 2 5 3 3" xfId="11944"/>
    <cellStyle name="Обычный 21 2 5 30" xfId="11945"/>
    <cellStyle name="Обычный 21 2 5 30 2" xfId="11946"/>
    <cellStyle name="Обычный 21 2 5 30 3" xfId="11947"/>
    <cellStyle name="Обычный 21 2 5 31" xfId="11948"/>
    <cellStyle name="Обычный 21 2 5 31 2" xfId="11949"/>
    <cellStyle name="Обычный 21 2 5 31 3" xfId="11950"/>
    <cellStyle name="Обычный 21 2 5 32" xfId="11951"/>
    <cellStyle name="Обычный 21 2 5 32 2" xfId="11952"/>
    <cellStyle name="Обычный 21 2 5 32 3" xfId="11953"/>
    <cellStyle name="Обычный 21 2 5 33" xfId="11954"/>
    <cellStyle name="Обычный 21 2 5 33 2" xfId="11955"/>
    <cellStyle name="Обычный 21 2 5 33 3" xfId="11956"/>
    <cellStyle name="Обычный 21 2 5 34" xfId="11957"/>
    <cellStyle name="Обычный 21 2 5 34 2" xfId="11958"/>
    <cellStyle name="Обычный 21 2 5 34 3" xfId="11959"/>
    <cellStyle name="Обычный 21 2 5 35" xfId="11960"/>
    <cellStyle name="Обычный 21 2 5 35 2" xfId="11961"/>
    <cellStyle name="Обычный 21 2 5 35 3" xfId="11962"/>
    <cellStyle name="Обычный 21 2 5 36" xfId="11963"/>
    <cellStyle name="Обычный 21 2 5 36 2" xfId="11964"/>
    <cellStyle name="Обычный 21 2 5 36 3" xfId="11965"/>
    <cellStyle name="Обычный 21 2 5 37" xfId="11966"/>
    <cellStyle name="Обычный 21 2 5 37 2" xfId="11967"/>
    <cellStyle name="Обычный 21 2 5 37 3" xfId="11968"/>
    <cellStyle name="Обычный 21 2 5 38" xfId="11969"/>
    <cellStyle name="Обычный 21 2 5 38 2" xfId="11970"/>
    <cellStyle name="Обычный 21 2 5 38 3" xfId="11971"/>
    <cellStyle name="Обычный 21 2 5 39" xfId="11972"/>
    <cellStyle name="Обычный 21 2 5 39 2" xfId="11973"/>
    <cellStyle name="Обычный 21 2 5 39 3" xfId="11974"/>
    <cellStyle name="Обычный 21 2 5 4" xfId="11975"/>
    <cellStyle name="Обычный 21 2 5 4 2" xfId="11976"/>
    <cellStyle name="Обычный 21 2 5 4 3" xfId="11977"/>
    <cellStyle name="Обычный 21 2 5 40" xfId="11978"/>
    <cellStyle name="Обычный 21 2 5 40 2" xfId="11979"/>
    <cellStyle name="Обычный 21 2 5 40 3" xfId="11980"/>
    <cellStyle name="Обычный 21 2 5 41" xfId="11981"/>
    <cellStyle name="Обычный 21 2 5 41 2" xfId="11982"/>
    <cellStyle name="Обычный 21 2 5 41 3" xfId="11983"/>
    <cellStyle name="Обычный 21 2 5 42" xfId="11984"/>
    <cellStyle name="Обычный 21 2 5 42 2" xfId="11985"/>
    <cellStyle name="Обычный 21 2 5 42 3" xfId="11986"/>
    <cellStyle name="Обычный 21 2 5 43" xfId="11987"/>
    <cellStyle name="Обычный 21 2 5 43 2" xfId="11988"/>
    <cellStyle name="Обычный 21 2 5 43 3" xfId="11989"/>
    <cellStyle name="Обычный 21 2 5 44" xfId="11990"/>
    <cellStyle name="Обычный 21 2 5 44 2" xfId="11991"/>
    <cellStyle name="Обычный 21 2 5 44 3" xfId="11992"/>
    <cellStyle name="Обычный 21 2 5 45" xfId="11993"/>
    <cellStyle name="Обычный 21 2 5 45 2" xfId="11994"/>
    <cellStyle name="Обычный 21 2 5 45 3" xfId="11995"/>
    <cellStyle name="Обычный 21 2 5 46" xfId="11996"/>
    <cellStyle name="Обычный 21 2 5 46 2" xfId="11997"/>
    <cellStyle name="Обычный 21 2 5 46 3" xfId="11998"/>
    <cellStyle name="Обычный 21 2 5 47" xfId="11999"/>
    <cellStyle name="Обычный 21 2 5 47 2" xfId="12000"/>
    <cellStyle name="Обычный 21 2 5 47 3" xfId="12001"/>
    <cellStyle name="Обычный 21 2 5 48" xfId="12002"/>
    <cellStyle name="Обычный 21 2 5 48 2" xfId="12003"/>
    <cellStyle name="Обычный 21 2 5 48 3" xfId="12004"/>
    <cellStyle name="Обычный 21 2 5 49" xfId="12005"/>
    <cellStyle name="Обычный 21 2 5 49 2" xfId="12006"/>
    <cellStyle name="Обычный 21 2 5 49 3" xfId="12007"/>
    <cellStyle name="Обычный 21 2 5 5" xfId="12008"/>
    <cellStyle name="Обычный 21 2 5 5 2" xfId="12009"/>
    <cellStyle name="Обычный 21 2 5 5 3" xfId="12010"/>
    <cellStyle name="Обычный 21 2 5 50" xfId="12011"/>
    <cellStyle name="Обычный 21 2 5 50 2" xfId="12012"/>
    <cellStyle name="Обычный 21 2 5 50 3" xfId="12013"/>
    <cellStyle name="Обычный 21 2 5 51" xfId="12014"/>
    <cellStyle name="Обычный 21 2 5 51 2" xfId="12015"/>
    <cellStyle name="Обычный 21 2 5 51 3" xfId="12016"/>
    <cellStyle name="Обычный 21 2 5 52" xfId="12017"/>
    <cellStyle name="Обычный 21 2 5 52 2" xfId="12018"/>
    <cellStyle name="Обычный 21 2 5 52 3" xfId="12019"/>
    <cellStyle name="Обычный 21 2 5 53" xfId="12020"/>
    <cellStyle name="Обычный 21 2 5 53 2" xfId="12021"/>
    <cellStyle name="Обычный 21 2 5 53 3" xfId="12022"/>
    <cellStyle name="Обычный 21 2 5 54" xfId="12023"/>
    <cellStyle name="Обычный 21 2 5 54 2" xfId="12024"/>
    <cellStyle name="Обычный 21 2 5 54 3" xfId="12025"/>
    <cellStyle name="Обычный 21 2 5 55" xfId="12026"/>
    <cellStyle name="Обычный 21 2 5 55 2" xfId="12027"/>
    <cellStyle name="Обычный 21 2 5 55 3" xfId="12028"/>
    <cellStyle name="Обычный 21 2 5 56" xfId="12029"/>
    <cellStyle name="Обычный 21 2 5 56 2" xfId="12030"/>
    <cellStyle name="Обычный 21 2 5 56 3" xfId="12031"/>
    <cellStyle name="Обычный 21 2 5 57" xfId="12032"/>
    <cellStyle name="Обычный 21 2 5 57 2" xfId="12033"/>
    <cellStyle name="Обычный 21 2 5 57 3" xfId="12034"/>
    <cellStyle name="Обычный 21 2 5 58" xfId="12035"/>
    <cellStyle name="Обычный 21 2 5 58 2" xfId="12036"/>
    <cellStyle name="Обычный 21 2 5 58 3" xfId="12037"/>
    <cellStyle name="Обычный 21 2 5 59" xfId="12038"/>
    <cellStyle name="Обычный 21 2 5 59 2" xfId="12039"/>
    <cellStyle name="Обычный 21 2 5 59 3" xfId="12040"/>
    <cellStyle name="Обычный 21 2 5 6" xfId="12041"/>
    <cellStyle name="Обычный 21 2 5 6 2" xfId="12042"/>
    <cellStyle name="Обычный 21 2 5 6 3" xfId="12043"/>
    <cellStyle name="Обычный 21 2 5 60" xfId="12044"/>
    <cellStyle name="Обычный 21 2 5 60 2" xfId="12045"/>
    <cellStyle name="Обычный 21 2 5 60 3" xfId="12046"/>
    <cellStyle name="Обычный 21 2 5 61" xfId="12047"/>
    <cellStyle name="Обычный 21 2 5 61 2" xfId="12048"/>
    <cellStyle name="Обычный 21 2 5 61 3" xfId="12049"/>
    <cellStyle name="Обычный 21 2 5 62" xfId="12050"/>
    <cellStyle name="Обычный 21 2 5 62 2" xfId="12051"/>
    <cellStyle name="Обычный 21 2 5 62 3" xfId="12052"/>
    <cellStyle name="Обычный 21 2 5 63" xfId="12053"/>
    <cellStyle name="Обычный 21 2 5 63 2" xfId="12054"/>
    <cellStyle name="Обычный 21 2 5 63 3" xfId="12055"/>
    <cellStyle name="Обычный 21 2 5 64" xfId="12056"/>
    <cellStyle name="Обычный 21 2 5 65" xfId="12057"/>
    <cellStyle name="Обычный 21 2 5 7" xfId="12058"/>
    <cellStyle name="Обычный 21 2 5 7 2" xfId="12059"/>
    <cellStyle name="Обычный 21 2 5 7 3" xfId="12060"/>
    <cellStyle name="Обычный 21 2 5 8" xfId="12061"/>
    <cellStyle name="Обычный 21 2 5 8 2" xfId="12062"/>
    <cellStyle name="Обычный 21 2 5 8 3" xfId="12063"/>
    <cellStyle name="Обычный 21 2 5 9" xfId="12064"/>
    <cellStyle name="Обычный 21 2 5 9 2" xfId="12065"/>
    <cellStyle name="Обычный 21 2 5 9 3" xfId="12066"/>
    <cellStyle name="Обычный 21 2 6" xfId="12067"/>
    <cellStyle name="Обычный 21 2 6 10" xfId="12068"/>
    <cellStyle name="Обычный 21 2 6 10 2" xfId="12069"/>
    <cellStyle name="Обычный 21 2 6 10 3" xfId="12070"/>
    <cellStyle name="Обычный 21 2 6 11" xfId="12071"/>
    <cellStyle name="Обычный 21 2 6 11 2" xfId="12072"/>
    <cellStyle name="Обычный 21 2 6 11 3" xfId="12073"/>
    <cellStyle name="Обычный 21 2 6 12" xfId="12074"/>
    <cellStyle name="Обычный 21 2 6 12 2" xfId="12075"/>
    <cellStyle name="Обычный 21 2 6 12 3" xfId="12076"/>
    <cellStyle name="Обычный 21 2 6 13" xfId="12077"/>
    <cellStyle name="Обычный 21 2 6 13 2" xfId="12078"/>
    <cellStyle name="Обычный 21 2 6 13 3" xfId="12079"/>
    <cellStyle name="Обычный 21 2 6 14" xfId="12080"/>
    <cellStyle name="Обычный 21 2 6 14 2" xfId="12081"/>
    <cellStyle name="Обычный 21 2 6 14 3" xfId="12082"/>
    <cellStyle name="Обычный 21 2 6 15" xfId="12083"/>
    <cellStyle name="Обычный 21 2 6 15 2" xfId="12084"/>
    <cellStyle name="Обычный 21 2 6 15 3" xfId="12085"/>
    <cellStyle name="Обычный 21 2 6 16" xfId="12086"/>
    <cellStyle name="Обычный 21 2 6 16 2" xfId="12087"/>
    <cellStyle name="Обычный 21 2 6 16 3" xfId="12088"/>
    <cellStyle name="Обычный 21 2 6 17" xfId="12089"/>
    <cellStyle name="Обычный 21 2 6 17 2" xfId="12090"/>
    <cellStyle name="Обычный 21 2 6 17 3" xfId="12091"/>
    <cellStyle name="Обычный 21 2 6 18" xfId="12092"/>
    <cellStyle name="Обычный 21 2 6 18 2" xfId="12093"/>
    <cellStyle name="Обычный 21 2 6 18 3" xfId="12094"/>
    <cellStyle name="Обычный 21 2 6 19" xfId="12095"/>
    <cellStyle name="Обычный 21 2 6 19 2" xfId="12096"/>
    <cellStyle name="Обычный 21 2 6 19 3" xfId="12097"/>
    <cellStyle name="Обычный 21 2 6 2" xfId="12098"/>
    <cellStyle name="Обычный 21 2 6 2 2" xfId="12099"/>
    <cellStyle name="Обычный 21 2 6 2 3" xfId="12100"/>
    <cellStyle name="Обычный 21 2 6 20" xfId="12101"/>
    <cellStyle name="Обычный 21 2 6 20 2" xfId="12102"/>
    <cellStyle name="Обычный 21 2 6 20 3" xfId="12103"/>
    <cellStyle name="Обычный 21 2 6 21" xfId="12104"/>
    <cellStyle name="Обычный 21 2 6 21 2" xfId="12105"/>
    <cellStyle name="Обычный 21 2 6 21 3" xfId="12106"/>
    <cellStyle name="Обычный 21 2 6 22" xfId="12107"/>
    <cellStyle name="Обычный 21 2 6 22 2" xfId="12108"/>
    <cellStyle name="Обычный 21 2 6 22 3" xfId="12109"/>
    <cellStyle name="Обычный 21 2 6 23" xfId="12110"/>
    <cellStyle name="Обычный 21 2 6 23 2" xfId="12111"/>
    <cellStyle name="Обычный 21 2 6 23 3" xfId="12112"/>
    <cellStyle name="Обычный 21 2 6 24" xfId="12113"/>
    <cellStyle name="Обычный 21 2 6 24 2" xfId="12114"/>
    <cellStyle name="Обычный 21 2 6 24 3" xfId="12115"/>
    <cellStyle name="Обычный 21 2 6 25" xfId="12116"/>
    <cellStyle name="Обычный 21 2 6 25 2" xfId="12117"/>
    <cellStyle name="Обычный 21 2 6 25 3" xfId="12118"/>
    <cellStyle name="Обычный 21 2 6 26" xfId="12119"/>
    <cellStyle name="Обычный 21 2 6 26 2" xfId="12120"/>
    <cellStyle name="Обычный 21 2 6 26 3" xfId="12121"/>
    <cellStyle name="Обычный 21 2 6 27" xfId="12122"/>
    <cellStyle name="Обычный 21 2 6 27 2" xfId="12123"/>
    <cellStyle name="Обычный 21 2 6 27 3" xfId="12124"/>
    <cellStyle name="Обычный 21 2 6 28" xfId="12125"/>
    <cellStyle name="Обычный 21 2 6 28 2" xfId="12126"/>
    <cellStyle name="Обычный 21 2 6 28 3" xfId="12127"/>
    <cellStyle name="Обычный 21 2 6 29" xfId="12128"/>
    <cellStyle name="Обычный 21 2 6 29 2" xfId="12129"/>
    <cellStyle name="Обычный 21 2 6 29 3" xfId="12130"/>
    <cellStyle name="Обычный 21 2 6 3" xfId="12131"/>
    <cellStyle name="Обычный 21 2 6 3 2" xfId="12132"/>
    <cellStyle name="Обычный 21 2 6 3 3" xfId="12133"/>
    <cellStyle name="Обычный 21 2 6 30" xfId="12134"/>
    <cellStyle name="Обычный 21 2 6 30 2" xfId="12135"/>
    <cellStyle name="Обычный 21 2 6 30 3" xfId="12136"/>
    <cellStyle name="Обычный 21 2 6 31" xfId="12137"/>
    <cellStyle name="Обычный 21 2 6 31 2" xfId="12138"/>
    <cellStyle name="Обычный 21 2 6 31 3" xfId="12139"/>
    <cellStyle name="Обычный 21 2 6 32" xfId="12140"/>
    <cellStyle name="Обычный 21 2 6 32 2" xfId="12141"/>
    <cellStyle name="Обычный 21 2 6 32 3" xfId="12142"/>
    <cellStyle name="Обычный 21 2 6 33" xfId="12143"/>
    <cellStyle name="Обычный 21 2 6 33 2" xfId="12144"/>
    <cellStyle name="Обычный 21 2 6 33 3" xfId="12145"/>
    <cellStyle name="Обычный 21 2 6 34" xfId="12146"/>
    <cellStyle name="Обычный 21 2 6 34 2" xfId="12147"/>
    <cellStyle name="Обычный 21 2 6 34 3" xfId="12148"/>
    <cellStyle name="Обычный 21 2 6 35" xfId="12149"/>
    <cellStyle name="Обычный 21 2 6 35 2" xfId="12150"/>
    <cellStyle name="Обычный 21 2 6 35 3" xfId="12151"/>
    <cellStyle name="Обычный 21 2 6 36" xfId="12152"/>
    <cellStyle name="Обычный 21 2 6 36 2" xfId="12153"/>
    <cellStyle name="Обычный 21 2 6 36 3" xfId="12154"/>
    <cellStyle name="Обычный 21 2 6 37" xfId="12155"/>
    <cellStyle name="Обычный 21 2 6 37 2" xfId="12156"/>
    <cellStyle name="Обычный 21 2 6 37 3" xfId="12157"/>
    <cellStyle name="Обычный 21 2 6 38" xfId="12158"/>
    <cellStyle name="Обычный 21 2 6 38 2" xfId="12159"/>
    <cellStyle name="Обычный 21 2 6 38 3" xfId="12160"/>
    <cellStyle name="Обычный 21 2 6 39" xfId="12161"/>
    <cellStyle name="Обычный 21 2 6 39 2" xfId="12162"/>
    <cellStyle name="Обычный 21 2 6 39 3" xfId="12163"/>
    <cellStyle name="Обычный 21 2 6 4" xfId="12164"/>
    <cellStyle name="Обычный 21 2 6 4 2" xfId="12165"/>
    <cellStyle name="Обычный 21 2 6 4 3" xfId="12166"/>
    <cellStyle name="Обычный 21 2 6 40" xfId="12167"/>
    <cellStyle name="Обычный 21 2 6 40 2" xfId="12168"/>
    <cellStyle name="Обычный 21 2 6 40 3" xfId="12169"/>
    <cellStyle name="Обычный 21 2 6 41" xfId="12170"/>
    <cellStyle name="Обычный 21 2 6 41 2" xfId="12171"/>
    <cellStyle name="Обычный 21 2 6 41 3" xfId="12172"/>
    <cellStyle name="Обычный 21 2 6 42" xfId="12173"/>
    <cellStyle name="Обычный 21 2 6 42 2" xfId="12174"/>
    <cellStyle name="Обычный 21 2 6 42 3" xfId="12175"/>
    <cellStyle name="Обычный 21 2 6 43" xfId="12176"/>
    <cellStyle name="Обычный 21 2 6 43 2" xfId="12177"/>
    <cellStyle name="Обычный 21 2 6 43 3" xfId="12178"/>
    <cellStyle name="Обычный 21 2 6 44" xfId="12179"/>
    <cellStyle name="Обычный 21 2 6 44 2" xfId="12180"/>
    <cellStyle name="Обычный 21 2 6 44 3" xfId="12181"/>
    <cellStyle name="Обычный 21 2 6 45" xfId="12182"/>
    <cellStyle name="Обычный 21 2 6 45 2" xfId="12183"/>
    <cellStyle name="Обычный 21 2 6 45 3" xfId="12184"/>
    <cellStyle name="Обычный 21 2 6 46" xfId="12185"/>
    <cellStyle name="Обычный 21 2 6 46 2" xfId="12186"/>
    <cellStyle name="Обычный 21 2 6 46 3" xfId="12187"/>
    <cellStyle name="Обычный 21 2 6 47" xfId="12188"/>
    <cellStyle name="Обычный 21 2 6 47 2" xfId="12189"/>
    <cellStyle name="Обычный 21 2 6 47 3" xfId="12190"/>
    <cellStyle name="Обычный 21 2 6 48" xfId="12191"/>
    <cellStyle name="Обычный 21 2 6 48 2" xfId="12192"/>
    <cellStyle name="Обычный 21 2 6 48 3" xfId="12193"/>
    <cellStyle name="Обычный 21 2 6 49" xfId="12194"/>
    <cellStyle name="Обычный 21 2 6 49 2" xfId="12195"/>
    <cellStyle name="Обычный 21 2 6 49 3" xfId="12196"/>
    <cellStyle name="Обычный 21 2 6 5" xfId="12197"/>
    <cellStyle name="Обычный 21 2 6 5 2" xfId="12198"/>
    <cellStyle name="Обычный 21 2 6 5 3" xfId="12199"/>
    <cellStyle name="Обычный 21 2 6 50" xfId="12200"/>
    <cellStyle name="Обычный 21 2 6 50 2" xfId="12201"/>
    <cellStyle name="Обычный 21 2 6 50 3" xfId="12202"/>
    <cellStyle name="Обычный 21 2 6 51" xfId="12203"/>
    <cellStyle name="Обычный 21 2 6 51 2" xfId="12204"/>
    <cellStyle name="Обычный 21 2 6 51 3" xfId="12205"/>
    <cellStyle name="Обычный 21 2 6 52" xfId="12206"/>
    <cellStyle name="Обычный 21 2 6 52 2" xfId="12207"/>
    <cellStyle name="Обычный 21 2 6 52 3" xfId="12208"/>
    <cellStyle name="Обычный 21 2 6 53" xfId="12209"/>
    <cellStyle name="Обычный 21 2 6 53 2" xfId="12210"/>
    <cellStyle name="Обычный 21 2 6 53 3" xfId="12211"/>
    <cellStyle name="Обычный 21 2 6 54" xfId="12212"/>
    <cellStyle name="Обычный 21 2 6 54 2" xfId="12213"/>
    <cellStyle name="Обычный 21 2 6 54 3" xfId="12214"/>
    <cellStyle name="Обычный 21 2 6 55" xfId="12215"/>
    <cellStyle name="Обычный 21 2 6 55 2" xfId="12216"/>
    <cellStyle name="Обычный 21 2 6 55 3" xfId="12217"/>
    <cellStyle name="Обычный 21 2 6 56" xfId="12218"/>
    <cellStyle name="Обычный 21 2 6 56 2" xfId="12219"/>
    <cellStyle name="Обычный 21 2 6 56 3" xfId="12220"/>
    <cellStyle name="Обычный 21 2 6 57" xfId="12221"/>
    <cellStyle name="Обычный 21 2 6 57 2" xfId="12222"/>
    <cellStyle name="Обычный 21 2 6 57 3" xfId="12223"/>
    <cellStyle name="Обычный 21 2 6 58" xfId="12224"/>
    <cellStyle name="Обычный 21 2 6 58 2" xfId="12225"/>
    <cellStyle name="Обычный 21 2 6 58 3" xfId="12226"/>
    <cellStyle name="Обычный 21 2 6 59" xfId="12227"/>
    <cellStyle name="Обычный 21 2 6 59 2" xfId="12228"/>
    <cellStyle name="Обычный 21 2 6 59 3" xfId="12229"/>
    <cellStyle name="Обычный 21 2 6 6" xfId="12230"/>
    <cellStyle name="Обычный 21 2 6 6 2" xfId="12231"/>
    <cellStyle name="Обычный 21 2 6 6 3" xfId="12232"/>
    <cellStyle name="Обычный 21 2 6 60" xfId="12233"/>
    <cellStyle name="Обычный 21 2 6 60 2" xfId="12234"/>
    <cellStyle name="Обычный 21 2 6 60 3" xfId="12235"/>
    <cellStyle name="Обычный 21 2 6 61" xfId="12236"/>
    <cellStyle name="Обычный 21 2 6 61 2" xfId="12237"/>
    <cellStyle name="Обычный 21 2 6 61 3" xfId="12238"/>
    <cellStyle name="Обычный 21 2 6 62" xfId="12239"/>
    <cellStyle name="Обычный 21 2 6 62 2" xfId="12240"/>
    <cellStyle name="Обычный 21 2 6 62 3" xfId="12241"/>
    <cellStyle name="Обычный 21 2 6 63" xfId="12242"/>
    <cellStyle name="Обычный 21 2 6 63 2" xfId="12243"/>
    <cellStyle name="Обычный 21 2 6 63 3" xfId="12244"/>
    <cellStyle name="Обычный 21 2 6 64" xfId="12245"/>
    <cellStyle name="Обычный 21 2 6 65" xfId="12246"/>
    <cellStyle name="Обычный 21 2 6 7" xfId="12247"/>
    <cellStyle name="Обычный 21 2 6 7 2" xfId="12248"/>
    <cellStyle name="Обычный 21 2 6 7 3" xfId="12249"/>
    <cellStyle name="Обычный 21 2 6 8" xfId="12250"/>
    <cellStyle name="Обычный 21 2 6 8 2" xfId="12251"/>
    <cellStyle name="Обычный 21 2 6 8 3" xfId="12252"/>
    <cellStyle name="Обычный 21 2 6 9" xfId="12253"/>
    <cellStyle name="Обычный 21 2 6 9 2" xfId="12254"/>
    <cellStyle name="Обычный 21 2 6 9 3" xfId="12255"/>
    <cellStyle name="Обычный 21 20" xfId="12256"/>
    <cellStyle name="Обычный 21 20 2" xfId="12257"/>
    <cellStyle name="Обычный 21 20 3" xfId="12258"/>
    <cellStyle name="Обычный 21 21" xfId="12259"/>
    <cellStyle name="Обычный 21 21 2" xfId="12260"/>
    <cellStyle name="Обычный 21 21 3" xfId="12261"/>
    <cellStyle name="Обычный 21 22" xfId="12262"/>
    <cellStyle name="Обычный 21 22 2" xfId="12263"/>
    <cellStyle name="Обычный 21 22 3" xfId="12264"/>
    <cellStyle name="Обычный 21 23" xfId="12265"/>
    <cellStyle name="Обычный 21 23 2" xfId="12266"/>
    <cellStyle name="Обычный 21 23 3" xfId="12267"/>
    <cellStyle name="Обычный 21 24" xfId="12268"/>
    <cellStyle name="Обычный 21 24 2" xfId="12269"/>
    <cellStyle name="Обычный 21 24 3" xfId="12270"/>
    <cellStyle name="Обычный 21 25" xfId="12271"/>
    <cellStyle name="Обычный 21 25 2" xfId="12272"/>
    <cellStyle name="Обычный 21 25 3" xfId="12273"/>
    <cellStyle name="Обычный 21 26" xfId="12274"/>
    <cellStyle name="Обычный 21 26 2" xfId="12275"/>
    <cellStyle name="Обычный 21 26 3" xfId="12276"/>
    <cellStyle name="Обычный 21 27" xfId="12277"/>
    <cellStyle name="Обычный 21 27 2" xfId="12278"/>
    <cellStyle name="Обычный 21 27 3" xfId="12279"/>
    <cellStyle name="Обычный 21 28" xfId="12280"/>
    <cellStyle name="Обычный 21 28 2" xfId="12281"/>
    <cellStyle name="Обычный 21 28 3" xfId="12282"/>
    <cellStyle name="Обычный 21 29" xfId="12283"/>
    <cellStyle name="Обычный 21 29 2" xfId="12284"/>
    <cellStyle name="Обычный 21 29 3" xfId="12285"/>
    <cellStyle name="Обычный 21 3" xfId="12286"/>
    <cellStyle name="Обычный 21 30" xfId="12287"/>
    <cellStyle name="Обычный 21 30 2" xfId="12288"/>
    <cellStyle name="Обычный 21 30 3" xfId="12289"/>
    <cellStyle name="Обычный 21 31" xfId="12290"/>
    <cellStyle name="Обычный 21 31 2" xfId="12291"/>
    <cellStyle name="Обычный 21 31 3" xfId="12292"/>
    <cellStyle name="Обычный 21 32" xfId="12293"/>
    <cellStyle name="Обычный 21 32 2" xfId="12294"/>
    <cellStyle name="Обычный 21 32 3" xfId="12295"/>
    <cellStyle name="Обычный 21 33" xfId="12296"/>
    <cellStyle name="Обычный 21 33 2" xfId="12297"/>
    <cellStyle name="Обычный 21 33 3" xfId="12298"/>
    <cellStyle name="Обычный 21 34" xfId="12299"/>
    <cellStyle name="Обычный 21 34 2" xfId="12300"/>
    <cellStyle name="Обычный 21 34 3" xfId="12301"/>
    <cellStyle name="Обычный 21 35" xfId="12302"/>
    <cellStyle name="Обычный 21 35 2" xfId="12303"/>
    <cellStyle name="Обычный 21 35 3" xfId="12304"/>
    <cellStyle name="Обычный 21 36" xfId="12305"/>
    <cellStyle name="Обычный 21 36 2" xfId="12306"/>
    <cellStyle name="Обычный 21 36 3" xfId="12307"/>
    <cellStyle name="Обычный 21 37" xfId="12308"/>
    <cellStyle name="Обычный 21 37 2" xfId="12309"/>
    <cellStyle name="Обычный 21 37 3" xfId="12310"/>
    <cellStyle name="Обычный 21 38" xfId="12311"/>
    <cellStyle name="Обычный 21 38 2" xfId="12312"/>
    <cellStyle name="Обычный 21 38 3" xfId="12313"/>
    <cellStyle name="Обычный 21 39" xfId="12314"/>
    <cellStyle name="Обычный 21 39 2" xfId="12315"/>
    <cellStyle name="Обычный 21 39 3" xfId="12316"/>
    <cellStyle name="Обычный 21 4" xfId="12317"/>
    <cellStyle name="Обычный 21 40" xfId="12318"/>
    <cellStyle name="Обычный 21 40 2" xfId="12319"/>
    <cellStyle name="Обычный 21 40 3" xfId="12320"/>
    <cellStyle name="Обычный 21 41" xfId="12321"/>
    <cellStyle name="Обычный 21 41 2" xfId="12322"/>
    <cellStyle name="Обычный 21 41 3" xfId="12323"/>
    <cellStyle name="Обычный 21 42" xfId="12324"/>
    <cellStyle name="Обычный 21 42 2" xfId="12325"/>
    <cellStyle name="Обычный 21 42 3" xfId="12326"/>
    <cellStyle name="Обычный 21 43" xfId="12327"/>
    <cellStyle name="Обычный 21 43 2" xfId="12328"/>
    <cellStyle name="Обычный 21 43 3" xfId="12329"/>
    <cellStyle name="Обычный 21 44" xfId="12330"/>
    <cellStyle name="Обычный 21 44 2" xfId="12331"/>
    <cellStyle name="Обычный 21 44 3" xfId="12332"/>
    <cellStyle name="Обычный 21 45" xfId="12333"/>
    <cellStyle name="Обычный 21 45 2" xfId="12334"/>
    <cellStyle name="Обычный 21 45 3" xfId="12335"/>
    <cellStyle name="Обычный 21 46" xfId="12336"/>
    <cellStyle name="Обычный 21 46 2" xfId="12337"/>
    <cellStyle name="Обычный 21 46 3" xfId="12338"/>
    <cellStyle name="Обычный 21 47" xfId="12339"/>
    <cellStyle name="Обычный 21 47 2" xfId="12340"/>
    <cellStyle name="Обычный 21 47 3" xfId="12341"/>
    <cellStyle name="Обычный 21 48" xfId="12342"/>
    <cellStyle name="Обычный 21 48 2" xfId="12343"/>
    <cellStyle name="Обычный 21 48 3" xfId="12344"/>
    <cellStyle name="Обычный 21 49" xfId="12345"/>
    <cellStyle name="Обычный 21 49 2" xfId="12346"/>
    <cellStyle name="Обычный 21 49 3" xfId="12347"/>
    <cellStyle name="Обычный 21 5" xfId="12348"/>
    <cellStyle name="Обычный 21 50" xfId="12349"/>
    <cellStyle name="Обычный 21 50 2" xfId="12350"/>
    <cellStyle name="Обычный 21 50 3" xfId="12351"/>
    <cellStyle name="Обычный 21 51" xfId="12352"/>
    <cellStyle name="Обычный 21 51 2" xfId="12353"/>
    <cellStyle name="Обычный 21 51 3" xfId="12354"/>
    <cellStyle name="Обычный 21 52" xfId="12355"/>
    <cellStyle name="Обычный 21 52 2" xfId="12356"/>
    <cellStyle name="Обычный 21 52 3" xfId="12357"/>
    <cellStyle name="Обычный 21 53" xfId="12358"/>
    <cellStyle name="Обычный 21 53 2" xfId="12359"/>
    <cellStyle name="Обычный 21 53 3" xfId="12360"/>
    <cellStyle name="Обычный 21 54" xfId="12361"/>
    <cellStyle name="Обычный 21 54 2" xfId="12362"/>
    <cellStyle name="Обычный 21 54 3" xfId="12363"/>
    <cellStyle name="Обычный 21 55" xfId="12364"/>
    <cellStyle name="Обычный 21 55 2" xfId="12365"/>
    <cellStyle name="Обычный 21 55 3" xfId="12366"/>
    <cellStyle name="Обычный 21 56" xfId="12367"/>
    <cellStyle name="Обычный 21 56 2" xfId="12368"/>
    <cellStyle name="Обычный 21 56 3" xfId="12369"/>
    <cellStyle name="Обычный 21 57" xfId="12370"/>
    <cellStyle name="Обычный 21 57 2" xfId="12371"/>
    <cellStyle name="Обычный 21 57 3" xfId="12372"/>
    <cellStyle name="Обычный 21 58" xfId="12373"/>
    <cellStyle name="Обычный 21 58 2" xfId="12374"/>
    <cellStyle name="Обычный 21 58 3" xfId="12375"/>
    <cellStyle name="Обычный 21 59" xfId="12376"/>
    <cellStyle name="Обычный 21 59 2" xfId="12377"/>
    <cellStyle name="Обычный 21 59 3" xfId="12378"/>
    <cellStyle name="Обычный 21 6" xfId="12379"/>
    <cellStyle name="Обычный 21 60" xfId="12380"/>
    <cellStyle name="Обычный 21 60 2" xfId="12381"/>
    <cellStyle name="Обычный 21 60 3" xfId="12382"/>
    <cellStyle name="Обычный 21 61" xfId="12383"/>
    <cellStyle name="Обычный 21 61 2" xfId="12384"/>
    <cellStyle name="Обычный 21 61 3" xfId="12385"/>
    <cellStyle name="Обычный 21 62" xfId="12386"/>
    <cellStyle name="Обычный 21 62 2" xfId="12387"/>
    <cellStyle name="Обычный 21 62 3" xfId="12388"/>
    <cellStyle name="Обычный 21 63" xfId="12389"/>
    <cellStyle name="Обычный 21 63 2" xfId="12390"/>
    <cellStyle name="Обычный 21 63 3" xfId="12391"/>
    <cellStyle name="Обычный 21 64" xfId="12392"/>
    <cellStyle name="Обычный 21 64 2" xfId="12393"/>
    <cellStyle name="Обычный 21 64 3" xfId="12394"/>
    <cellStyle name="Обычный 21 65" xfId="12395"/>
    <cellStyle name="Обычный 21 65 2" xfId="12396"/>
    <cellStyle name="Обычный 21 65 3" xfId="12397"/>
    <cellStyle name="Обычный 21 66" xfId="12398"/>
    <cellStyle name="Обычный 21 66 2" xfId="12399"/>
    <cellStyle name="Обычный 21 66 3" xfId="12400"/>
    <cellStyle name="Обычный 21 67" xfId="12401"/>
    <cellStyle name="Обычный 21 67 2" xfId="12402"/>
    <cellStyle name="Обычный 21 67 3" xfId="12403"/>
    <cellStyle name="Обычный 21 68" xfId="12404"/>
    <cellStyle name="Обычный 21 68 2" xfId="12405"/>
    <cellStyle name="Обычный 21 68 3" xfId="12406"/>
    <cellStyle name="Обычный 21 69" xfId="12407"/>
    <cellStyle name="Обычный 21 7" xfId="12408"/>
    <cellStyle name="Обычный 21 7 2" xfId="12409"/>
    <cellStyle name="Обычный 21 7 3" xfId="12410"/>
    <cellStyle name="Обычный 21 70" xfId="12411"/>
    <cellStyle name="Обычный 21 8" xfId="12412"/>
    <cellStyle name="Обычный 21 8 2" xfId="12413"/>
    <cellStyle name="Обычный 21 8 3" xfId="12414"/>
    <cellStyle name="Обычный 21 9" xfId="12415"/>
    <cellStyle name="Обычный 21 9 2" xfId="12416"/>
    <cellStyle name="Обычный 21 9 3" xfId="12417"/>
    <cellStyle name="Обычный 22" xfId="12418"/>
    <cellStyle name="Обычный 22 10" xfId="12419"/>
    <cellStyle name="Обычный 22 10 2" xfId="12420"/>
    <cellStyle name="Обычный 22 10 3" xfId="12421"/>
    <cellStyle name="Обычный 22 11" xfId="12422"/>
    <cellStyle name="Обычный 22 11 2" xfId="12423"/>
    <cellStyle name="Обычный 22 11 3" xfId="12424"/>
    <cellStyle name="Обычный 22 12" xfId="12425"/>
    <cellStyle name="Обычный 22 12 2" xfId="12426"/>
    <cellStyle name="Обычный 22 12 3" xfId="12427"/>
    <cellStyle name="Обычный 22 13" xfId="12428"/>
    <cellStyle name="Обычный 22 13 2" xfId="12429"/>
    <cellStyle name="Обычный 22 13 3" xfId="12430"/>
    <cellStyle name="Обычный 22 14" xfId="12431"/>
    <cellStyle name="Обычный 22 14 2" xfId="12432"/>
    <cellStyle name="Обычный 22 14 3" xfId="12433"/>
    <cellStyle name="Обычный 22 15" xfId="12434"/>
    <cellStyle name="Обычный 22 15 2" xfId="12435"/>
    <cellStyle name="Обычный 22 15 3" xfId="12436"/>
    <cellStyle name="Обычный 22 16" xfId="12437"/>
    <cellStyle name="Обычный 22 16 2" xfId="12438"/>
    <cellStyle name="Обычный 22 16 3" xfId="12439"/>
    <cellStyle name="Обычный 22 17" xfId="12440"/>
    <cellStyle name="Обычный 22 17 2" xfId="12441"/>
    <cellStyle name="Обычный 22 17 3" xfId="12442"/>
    <cellStyle name="Обычный 22 18" xfId="12443"/>
    <cellStyle name="Обычный 22 18 2" xfId="12444"/>
    <cellStyle name="Обычный 22 18 3" xfId="12445"/>
    <cellStyle name="Обычный 22 19" xfId="12446"/>
    <cellStyle name="Обычный 22 19 2" xfId="12447"/>
    <cellStyle name="Обычный 22 19 3" xfId="12448"/>
    <cellStyle name="Обычный 22 2" xfId="12449"/>
    <cellStyle name="Обычный 22 2 2" xfId="12450"/>
    <cellStyle name="Обычный 22 2 3" xfId="12451"/>
    <cellStyle name="Обычный 22 20" xfId="12452"/>
    <cellStyle name="Обычный 22 20 2" xfId="12453"/>
    <cellStyle name="Обычный 22 20 3" xfId="12454"/>
    <cellStyle name="Обычный 22 21" xfId="12455"/>
    <cellStyle name="Обычный 22 21 2" xfId="12456"/>
    <cellStyle name="Обычный 22 21 3" xfId="12457"/>
    <cellStyle name="Обычный 22 22" xfId="12458"/>
    <cellStyle name="Обычный 22 22 2" xfId="12459"/>
    <cellStyle name="Обычный 22 22 3" xfId="12460"/>
    <cellStyle name="Обычный 22 23" xfId="12461"/>
    <cellStyle name="Обычный 22 23 2" xfId="12462"/>
    <cellStyle name="Обычный 22 23 3" xfId="12463"/>
    <cellStyle name="Обычный 22 24" xfId="12464"/>
    <cellStyle name="Обычный 22 24 2" xfId="12465"/>
    <cellStyle name="Обычный 22 24 3" xfId="12466"/>
    <cellStyle name="Обычный 22 25" xfId="12467"/>
    <cellStyle name="Обычный 22 25 2" xfId="12468"/>
    <cellStyle name="Обычный 22 25 3" xfId="12469"/>
    <cellStyle name="Обычный 22 26" xfId="12470"/>
    <cellStyle name="Обычный 22 26 2" xfId="12471"/>
    <cellStyle name="Обычный 22 26 3" xfId="12472"/>
    <cellStyle name="Обычный 22 27" xfId="12473"/>
    <cellStyle name="Обычный 22 27 2" xfId="12474"/>
    <cellStyle name="Обычный 22 27 3" xfId="12475"/>
    <cellStyle name="Обычный 22 28" xfId="12476"/>
    <cellStyle name="Обычный 22 28 2" xfId="12477"/>
    <cellStyle name="Обычный 22 28 3" xfId="12478"/>
    <cellStyle name="Обычный 22 29" xfId="12479"/>
    <cellStyle name="Обычный 22 29 2" xfId="12480"/>
    <cellStyle name="Обычный 22 29 3" xfId="12481"/>
    <cellStyle name="Обычный 22 3" xfId="12482"/>
    <cellStyle name="Обычный 22 3 2" xfId="12483"/>
    <cellStyle name="Обычный 22 3 3" xfId="12484"/>
    <cellStyle name="Обычный 22 30" xfId="12485"/>
    <cellStyle name="Обычный 22 30 2" xfId="12486"/>
    <cellStyle name="Обычный 22 30 3" xfId="12487"/>
    <cellStyle name="Обычный 22 31" xfId="12488"/>
    <cellStyle name="Обычный 22 31 2" xfId="12489"/>
    <cellStyle name="Обычный 22 31 3" xfId="12490"/>
    <cellStyle name="Обычный 22 32" xfId="12491"/>
    <cellStyle name="Обычный 22 32 2" xfId="12492"/>
    <cellStyle name="Обычный 22 32 3" xfId="12493"/>
    <cellStyle name="Обычный 22 33" xfId="12494"/>
    <cellStyle name="Обычный 22 33 2" xfId="12495"/>
    <cellStyle name="Обычный 22 33 3" xfId="12496"/>
    <cellStyle name="Обычный 22 34" xfId="12497"/>
    <cellStyle name="Обычный 22 34 2" xfId="12498"/>
    <cellStyle name="Обычный 22 34 3" xfId="12499"/>
    <cellStyle name="Обычный 22 35" xfId="12500"/>
    <cellStyle name="Обычный 22 35 2" xfId="12501"/>
    <cellStyle name="Обычный 22 35 3" xfId="12502"/>
    <cellStyle name="Обычный 22 36" xfId="12503"/>
    <cellStyle name="Обычный 22 36 2" xfId="12504"/>
    <cellStyle name="Обычный 22 36 3" xfId="12505"/>
    <cellStyle name="Обычный 22 37" xfId="12506"/>
    <cellStyle name="Обычный 22 37 2" xfId="12507"/>
    <cellStyle name="Обычный 22 37 3" xfId="12508"/>
    <cellStyle name="Обычный 22 38" xfId="12509"/>
    <cellStyle name="Обычный 22 38 2" xfId="12510"/>
    <cellStyle name="Обычный 22 38 3" xfId="12511"/>
    <cellStyle name="Обычный 22 39" xfId="12512"/>
    <cellStyle name="Обычный 22 39 2" xfId="12513"/>
    <cellStyle name="Обычный 22 39 3" xfId="12514"/>
    <cellStyle name="Обычный 22 4" xfId="12515"/>
    <cellStyle name="Обычный 22 4 2" xfId="12516"/>
    <cellStyle name="Обычный 22 4 3" xfId="12517"/>
    <cellStyle name="Обычный 22 40" xfId="12518"/>
    <cellStyle name="Обычный 22 40 2" xfId="12519"/>
    <cellStyle name="Обычный 22 40 3" xfId="12520"/>
    <cellStyle name="Обычный 22 41" xfId="12521"/>
    <cellStyle name="Обычный 22 41 2" xfId="12522"/>
    <cellStyle name="Обычный 22 41 3" xfId="12523"/>
    <cellStyle name="Обычный 22 42" xfId="12524"/>
    <cellStyle name="Обычный 22 42 2" xfId="12525"/>
    <cellStyle name="Обычный 22 42 3" xfId="12526"/>
    <cellStyle name="Обычный 22 43" xfId="12527"/>
    <cellStyle name="Обычный 22 43 2" xfId="12528"/>
    <cellStyle name="Обычный 22 43 3" xfId="12529"/>
    <cellStyle name="Обычный 22 44" xfId="12530"/>
    <cellStyle name="Обычный 22 44 2" xfId="12531"/>
    <cellStyle name="Обычный 22 44 3" xfId="12532"/>
    <cellStyle name="Обычный 22 45" xfId="12533"/>
    <cellStyle name="Обычный 22 45 2" xfId="12534"/>
    <cellStyle name="Обычный 22 45 3" xfId="12535"/>
    <cellStyle name="Обычный 22 46" xfId="12536"/>
    <cellStyle name="Обычный 22 46 2" xfId="12537"/>
    <cellStyle name="Обычный 22 46 3" xfId="12538"/>
    <cellStyle name="Обычный 22 47" xfId="12539"/>
    <cellStyle name="Обычный 22 47 2" xfId="12540"/>
    <cellStyle name="Обычный 22 47 3" xfId="12541"/>
    <cellStyle name="Обычный 22 48" xfId="12542"/>
    <cellStyle name="Обычный 22 48 2" xfId="12543"/>
    <cellStyle name="Обычный 22 48 3" xfId="12544"/>
    <cellStyle name="Обычный 22 49" xfId="12545"/>
    <cellStyle name="Обычный 22 49 2" xfId="12546"/>
    <cellStyle name="Обычный 22 49 3" xfId="12547"/>
    <cellStyle name="Обычный 22 5" xfId="12548"/>
    <cellStyle name="Обычный 22 5 2" xfId="12549"/>
    <cellStyle name="Обычный 22 5 3" xfId="12550"/>
    <cellStyle name="Обычный 22 50" xfId="12551"/>
    <cellStyle name="Обычный 22 50 2" xfId="12552"/>
    <cellStyle name="Обычный 22 50 3" xfId="12553"/>
    <cellStyle name="Обычный 22 51" xfId="12554"/>
    <cellStyle name="Обычный 22 51 2" xfId="12555"/>
    <cellStyle name="Обычный 22 51 3" xfId="12556"/>
    <cellStyle name="Обычный 22 52" xfId="12557"/>
    <cellStyle name="Обычный 22 52 2" xfId="12558"/>
    <cellStyle name="Обычный 22 52 3" xfId="12559"/>
    <cellStyle name="Обычный 22 53" xfId="12560"/>
    <cellStyle name="Обычный 22 53 2" xfId="12561"/>
    <cellStyle name="Обычный 22 53 3" xfId="12562"/>
    <cellStyle name="Обычный 22 54" xfId="12563"/>
    <cellStyle name="Обычный 22 54 2" xfId="12564"/>
    <cellStyle name="Обычный 22 54 3" xfId="12565"/>
    <cellStyle name="Обычный 22 55" xfId="12566"/>
    <cellStyle name="Обычный 22 55 2" xfId="12567"/>
    <cellStyle name="Обычный 22 55 3" xfId="12568"/>
    <cellStyle name="Обычный 22 56" xfId="12569"/>
    <cellStyle name="Обычный 22 56 2" xfId="12570"/>
    <cellStyle name="Обычный 22 56 3" xfId="12571"/>
    <cellStyle name="Обычный 22 57" xfId="12572"/>
    <cellStyle name="Обычный 22 57 2" xfId="12573"/>
    <cellStyle name="Обычный 22 57 3" xfId="12574"/>
    <cellStyle name="Обычный 22 58" xfId="12575"/>
    <cellStyle name="Обычный 22 58 2" xfId="12576"/>
    <cellStyle name="Обычный 22 58 3" xfId="12577"/>
    <cellStyle name="Обычный 22 59" xfId="12578"/>
    <cellStyle name="Обычный 22 59 2" xfId="12579"/>
    <cellStyle name="Обычный 22 59 3" xfId="12580"/>
    <cellStyle name="Обычный 22 6" xfId="12581"/>
    <cellStyle name="Обычный 22 6 2" xfId="12582"/>
    <cellStyle name="Обычный 22 6 3" xfId="12583"/>
    <cellStyle name="Обычный 22 60" xfId="12584"/>
    <cellStyle name="Обычный 22 60 2" xfId="12585"/>
    <cellStyle name="Обычный 22 60 3" xfId="12586"/>
    <cellStyle name="Обычный 22 61" xfId="12587"/>
    <cellStyle name="Обычный 22 61 2" xfId="12588"/>
    <cellStyle name="Обычный 22 61 3" xfId="12589"/>
    <cellStyle name="Обычный 22 62" xfId="12590"/>
    <cellStyle name="Обычный 22 62 2" xfId="12591"/>
    <cellStyle name="Обычный 22 62 3" xfId="12592"/>
    <cellStyle name="Обычный 22 63" xfId="12593"/>
    <cellStyle name="Обычный 22 63 2" xfId="12594"/>
    <cellStyle name="Обычный 22 63 3" xfId="12595"/>
    <cellStyle name="Обычный 22 64" xfId="12596"/>
    <cellStyle name="Обычный 22 65" xfId="12597"/>
    <cellStyle name="Обычный 22 7" xfId="12598"/>
    <cellStyle name="Обычный 22 7 2" xfId="12599"/>
    <cellStyle name="Обычный 22 7 3" xfId="12600"/>
    <cellStyle name="Обычный 22 8" xfId="12601"/>
    <cellStyle name="Обычный 22 8 2" xfId="12602"/>
    <cellStyle name="Обычный 22 8 3" xfId="12603"/>
    <cellStyle name="Обычный 22 9" xfId="12604"/>
    <cellStyle name="Обычный 22 9 2" xfId="12605"/>
    <cellStyle name="Обычный 22 9 3" xfId="12606"/>
    <cellStyle name="Обычный 23" xfId="12607"/>
    <cellStyle name="Обычный 23 10" xfId="12608"/>
    <cellStyle name="Обычный 23 10 2" xfId="12609"/>
    <cellStyle name="Обычный 23 10 3" xfId="12610"/>
    <cellStyle name="Обычный 23 11" xfId="12611"/>
    <cellStyle name="Обычный 23 11 2" xfId="12612"/>
    <cellStyle name="Обычный 23 11 3" xfId="12613"/>
    <cellStyle name="Обычный 23 12" xfId="12614"/>
    <cellStyle name="Обычный 23 12 2" xfId="12615"/>
    <cellStyle name="Обычный 23 12 3" xfId="12616"/>
    <cellStyle name="Обычный 23 13" xfId="12617"/>
    <cellStyle name="Обычный 23 13 2" xfId="12618"/>
    <cellStyle name="Обычный 23 13 3" xfId="12619"/>
    <cellStyle name="Обычный 23 14" xfId="12620"/>
    <cellStyle name="Обычный 23 14 2" xfId="12621"/>
    <cellStyle name="Обычный 23 14 3" xfId="12622"/>
    <cellStyle name="Обычный 23 15" xfId="12623"/>
    <cellStyle name="Обычный 23 15 2" xfId="12624"/>
    <cellStyle name="Обычный 23 15 3" xfId="12625"/>
    <cellStyle name="Обычный 23 16" xfId="12626"/>
    <cellStyle name="Обычный 23 16 2" xfId="12627"/>
    <cellStyle name="Обычный 23 16 3" xfId="12628"/>
    <cellStyle name="Обычный 23 17" xfId="12629"/>
    <cellStyle name="Обычный 23 17 2" xfId="12630"/>
    <cellStyle name="Обычный 23 17 3" xfId="12631"/>
    <cellStyle name="Обычный 23 18" xfId="12632"/>
    <cellStyle name="Обычный 23 18 2" xfId="12633"/>
    <cellStyle name="Обычный 23 18 3" xfId="12634"/>
    <cellStyle name="Обычный 23 19" xfId="12635"/>
    <cellStyle name="Обычный 23 19 2" xfId="12636"/>
    <cellStyle name="Обычный 23 19 3" xfId="12637"/>
    <cellStyle name="Обычный 23 2" xfId="12638"/>
    <cellStyle name="Обычный 23 2 2" xfId="12639"/>
    <cellStyle name="Обычный 23 2 3" xfId="12640"/>
    <cellStyle name="Обычный 23 20" xfId="12641"/>
    <cellStyle name="Обычный 23 20 2" xfId="12642"/>
    <cellStyle name="Обычный 23 20 3" xfId="12643"/>
    <cellStyle name="Обычный 23 21" xfId="12644"/>
    <cellStyle name="Обычный 23 21 2" xfId="12645"/>
    <cellStyle name="Обычный 23 21 3" xfId="12646"/>
    <cellStyle name="Обычный 23 22" xfId="12647"/>
    <cellStyle name="Обычный 23 22 2" xfId="12648"/>
    <cellStyle name="Обычный 23 22 3" xfId="12649"/>
    <cellStyle name="Обычный 23 23" xfId="12650"/>
    <cellStyle name="Обычный 23 23 2" xfId="12651"/>
    <cellStyle name="Обычный 23 23 3" xfId="12652"/>
    <cellStyle name="Обычный 23 24" xfId="12653"/>
    <cellStyle name="Обычный 23 24 2" xfId="12654"/>
    <cellStyle name="Обычный 23 24 3" xfId="12655"/>
    <cellStyle name="Обычный 23 25" xfId="12656"/>
    <cellStyle name="Обычный 23 25 2" xfId="12657"/>
    <cellStyle name="Обычный 23 25 3" xfId="12658"/>
    <cellStyle name="Обычный 23 26" xfId="12659"/>
    <cellStyle name="Обычный 23 26 2" xfId="12660"/>
    <cellStyle name="Обычный 23 26 3" xfId="12661"/>
    <cellStyle name="Обычный 23 27" xfId="12662"/>
    <cellStyle name="Обычный 23 27 2" xfId="12663"/>
    <cellStyle name="Обычный 23 27 3" xfId="12664"/>
    <cellStyle name="Обычный 23 28" xfId="12665"/>
    <cellStyle name="Обычный 23 28 2" xfId="12666"/>
    <cellStyle name="Обычный 23 28 3" xfId="12667"/>
    <cellStyle name="Обычный 23 29" xfId="12668"/>
    <cellStyle name="Обычный 23 29 2" xfId="12669"/>
    <cellStyle name="Обычный 23 29 3" xfId="12670"/>
    <cellStyle name="Обычный 23 3" xfId="12671"/>
    <cellStyle name="Обычный 23 3 2" xfId="12672"/>
    <cellStyle name="Обычный 23 3 3" xfId="12673"/>
    <cellStyle name="Обычный 23 30" xfId="12674"/>
    <cellStyle name="Обычный 23 30 2" xfId="12675"/>
    <cellStyle name="Обычный 23 30 3" xfId="12676"/>
    <cellStyle name="Обычный 23 31" xfId="12677"/>
    <cellStyle name="Обычный 23 31 2" xfId="12678"/>
    <cellStyle name="Обычный 23 31 3" xfId="12679"/>
    <cellStyle name="Обычный 23 32" xfId="12680"/>
    <cellStyle name="Обычный 23 32 2" xfId="12681"/>
    <cellStyle name="Обычный 23 32 3" xfId="12682"/>
    <cellStyle name="Обычный 23 33" xfId="12683"/>
    <cellStyle name="Обычный 23 33 2" xfId="12684"/>
    <cellStyle name="Обычный 23 33 3" xfId="12685"/>
    <cellStyle name="Обычный 23 34" xfId="12686"/>
    <cellStyle name="Обычный 23 34 2" xfId="12687"/>
    <cellStyle name="Обычный 23 34 3" xfId="12688"/>
    <cellStyle name="Обычный 23 35" xfId="12689"/>
    <cellStyle name="Обычный 23 35 2" xfId="12690"/>
    <cellStyle name="Обычный 23 35 3" xfId="12691"/>
    <cellStyle name="Обычный 23 36" xfId="12692"/>
    <cellStyle name="Обычный 23 36 2" xfId="12693"/>
    <cellStyle name="Обычный 23 36 3" xfId="12694"/>
    <cellStyle name="Обычный 23 37" xfId="12695"/>
    <cellStyle name="Обычный 23 37 2" xfId="12696"/>
    <cellStyle name="Обычный 23 37 3" xfId="12697"/>
    <cellStyle name="Обычный 23 38" xfId="12698"/>
    <cellStyle name="Обычный 23 38 2" xfId="12699"/>
    <cellStyle name="Обычный 23 38 3" xfId="12700"/>
    <cellStyle name="Обычный 23 39" xfId="12701"/>
    <cellStyle name="Обычный 23 39 2" xfId="12702"/>
    <cellStyle name="Обычный 23 39 3" xfId="12703"/>
    <cellStyle name="Обычный 23 4" xfId="12704"/>
    <cellStyle name="Обычный 23 4 2" xfId="12705"/>
    <cellStyle name="Обычный 23 4 3" xfId="12706"/>
    <cellStyle name="Обычный 23 40" xfId="12707"/>
    <cellStyle name="Обычный 23 40 2" xfId="12708"/>
    <cellStyle name="Обычный 23 40 3" xfId="12709"/>
    <cellStyle name="Обычный 23 41" xfId="12710"/>
    <cellStyle name="Обычный 23 41 2" xfId="12711"/>
    <cellStyle name="Обычный 23 41 3" xfId="12712"/>
    <cellStyle name="Обычный 23 42" xfId="12713"/>
    <cellStyle name="Обычный 23 42 2" xfId="12714"/>
    <cellStyle name="Обычный 23 42 3" xfId="12715"/>
    <cellStyle name="Обычный 23 43" xfId="12716"/>
    <cellStyle name="Обычный 23 43 2" xfId="12717"/>
    <cellStyle name="Обычный 23 43 3" xfId="12718"/>
    <cellStyle name="Обычный 23 44" xfId="12719"/>
    <cellStyle name="Обычный 23 44 2" xfId="12720"/>
    <cellStyle name="Обычный 23 44 3" xfId="12721"/>
    <cellStyle name="Обычный 23 45" xfId="12722"/>
    <cellStyle name="Обычный 23 45 2" xfId="12723"/>
    <cellStyle name="Обычный 23 45 3" xfId="12724"/>
    <cellStyle name="Обычный 23 46" xfId="12725"/>
    <cellStyle name="Обычный 23 46 2" xfId="12726"/>
    <cellStyle name="Обычный 23 46 3" xfId="12727"/>
    <cellStyle name="Обычный 23 47" xfId="12728"/>
    <cellStyle name="Обычный 23 47 2" xfId="12729"/>
    <cellStyle name="Обычный 23 47 3" xfId="12730"/>
    <cellStyle name="Обычный 23 48" xfId="12731"/>
    <cellStyle name="Обычный 23 48 2" xfId="12732"/>
    <cellStyle name="Обычный 23 48 3" xfId="12733"/>
    <cellStyle name="Обычный 23 49" xfId="12734"/>
    <cellStyle name="Обычный 23 49 2" xfId="12735"/>
    <cellStyle name="Обычный 23 49 3" xfId="12736"/>
    <cellStyle name="Обычный 23 5" xfId="12737"/>
    <cellStyle name="Обычный 23 5 2" xfId="12738"/>
    <cellStyle name="Обычный 23 5 3" xfId="12739"/>
    <cellStyle name="Обычный 23 50" xfId="12740"/>
    <cellStyle name="Обычный 23 50 2" xfId="12741"/>
    <cellStyle name="Обычный 23 50 3" xfId="12742"/>
    <cellStyle name="Обычный 23 51" xfId="12743"/>
    <cellStyle name="Обычный 23 51 2" xfId="12744"/>
    <cellStyle name="Обычный 23 51 3" xfId="12745"/>
    <cellStyle name="Обычный 23 52" xfId="12746"/>
    <cellStyle name="Обычный 23 52 2" xfId="12747"/>
    <cellStyle name="Обычный 23 52 3" xfId="12748"/>
    <cellStyle name="Обычный 23 53" xfId="12749"/>
    <cellStyle name="Обычный 23 53 2" xfId="12750"/>
    <cellStyle name="Обычный 23 53 3" xfId="12751"/>
    <cellStyle name="Обычный 23 54" xfId="12752"/>
    <cellStyle name="Обычный 23 54 2" xfId="12753"/>
    <cellStyle name="Обычный 23 54 3" xfId="12754"/>
    <cellStyle name="Обычный 23 55" xfId="12755"/>
    <cellStyle name="Обычный 23 55 2" xfId="12756"/>
    <cellStyle name="Обычный 23 55 3" xfId="12757"/>
    <cellStyle name="Обычный 23 56" xfId="12758"/>
    <cellStyle name="Обычный 23 56 2" xfId="12759"/>
    <cellStyle name="Обычный 23 56 3" xfId="12760"/>
    <cellStyle name="Обычный 23 57" xfId="12761"/>
    <cellStyle name="Обычный 23 57 2" xfId="12762"/>
    <cellStyle name="Обычный 23 57 3" xfId="12763"/>
    <cellStyle name="Обычный 23 58" xfId="12764"/>
    <cellStyle name="Обычный 23 58 2" xfId="12765"/>
    <cellStyle name="Обычный 23 58 3" xfId="12766"/>
    <cellStyle name="Обычный 23 59" xfId="12767"/>
    <cellStyle name="Обычный 23 59 2" xfId="12768"/>
    <cellStyle name="Обычный 23 59 3" xfId="12769"/>
    <cellStyle name="Обычный 23 6" xfId="12770"/>
    <cellStyle name="Обычный 23 6 2" xfId="12771"/>
    <cellStyle name="Обычный 23 6 3" xfId="12772"/>
    <cellStyle name="Обычный 23 60" xfId="12773"/>
    <cellStyle name="Обычный 23 60 2" xfId="12774"/>
    <cellStyle name="Обычный 23 60 3" xfId="12775"/>
    <cellStyle name="Обычный 23 61" xfId="12776"/>
    <cellStyle name="Обычный 23 61 2" xfId="12777"/>
    <cellStyle name="Обычный 23 61 3" xfId="12778"/>
    <cellStyle name="Обычный 23 62" xfId="12779"/>
    <cellStyle name="Обычный 23 62 2" xfId="12780"/>
    <cellStyle name="Обычный 23 62 3" xfId="12781"/>
    <cellStyle name="Обычный 23 63" xfId="12782"/>
    <cellStyle name="Обычный 23 63 2" xfId="12783"/>
    <cellStyle name="Обычный 23 63 3" xfId="12784"/>
    <cellStyle name="Обычный 23 64" xfId="12785"/>
    <cellStyle name="Обычный 23 65" xfId="12786"/>
    <cellStyle name="Обычный 23 7" xfId="12787"/>
    <cellStyle name="Обычный 23 7 2" xfId="12788"/>
    <cellStyle name="Обычный 23 7 3" xfId="12789"/>
    <cellStyle name="Обычный 23 8" xfId="12790"/>
    <cellStyle name="Обычный 23 8 2" xfId="12791"/>
    <cellStyle name="Обычный 23 8 3" xfId="12792"/>
    <cellStyle name="Обычный 23 9" xfId="12793"/>
    <cellStyle name="Обычный 23 9 2" xfId="12794"/>
    <cellStyle name="Обычный 23 9 3" xfId="12795"/>
    <cellStyle name="Обычный 24" xfId="12796"/>
    <cellStyle name="Обычный 24 10" xfId="12797"/>
    <cellStyle name="Обычный 24 10 2" xfId="12798"/>
    <cellStyle name="Обычный 24 10 3" xfId="12799"/>
    <cellStyle name="Обычный 24 11" xfId="12800"/>
    <cellStyle name="Обычный 24 11 2" xfId="12801"/>
    <cellStyle name="Обычный 24 11 3" xfId="12802"/>
    <cellStyle name="Обычный 24 12" xfId="12803"/>
    <cellStyle name="Обычный 24 12 2" xfId="12804"/>
    <cellStyle name="Обычный 24 12 3" xfId="12805"/>
    <cellStyle name="Обычный 24 13" xfId="12806"/>
    <cellStyle name="Обычный 24 13 2" xfId="12807"/>
    <cellStyle name="Обычный 24 13 3" xfId="12808"/>
    <cellStyle name="Обычный 24 14" xfId="12809"/>
    <cellStyle name="Обычный 24 14 2" xfId="12810"/>
    <cellStyle name="Обычный 24 14 3" xfId="12811"/>
    <cellStyle name="Обычный 24 15" xfId="12812"/>
    <cellStyle name="Обычный 24 15 2" xfId="12813"/>
    <cellStyle name="Обычный 24 15 3" xfId="12814"/>
    <cellStyle name="Обычный 24 16" xfId="12815"/>
    <cellStyle name="Обычный 24 16 2" xfId="12816"/>
    <cellStyle name="Обычный 24 16 3" xfId="12817"/>
    <cellStyle name="Обычный 24 17" xfId="12818"/>
    <cellStyle name="Обычный 24 17 2" xfId="12819"/>
    <cellStyle name="Обычный 24 17 3" xfId="12820"/>
    <cellStyle name="Обычный 24 18" xfId="12821"/>
    <cellStyle name="Обычный 24 18 2" xfId="12822"/>
    <cellStyle name="Обычный 24 18 3" xfId="12823"/>
    <cellStyle name="Обычный 24 19" xfId="12824"/>
    <cellStyle name="Обычный 24 19 2" xfId="12825"/>
    <cellStyle name="Обычный 24 19 3" xfId="12826"/>
    <cellStyle name="Обычный 24 2" xfId="12827"/>
    <cellStyle name="Обычный 24 2 2" xfId="12828"/>
    <cellStyle name="Обычный 24 2 3" xfId="12829"/>
    <cellStyle name="Обычный 24 20" xfId="12830"/>
    <cellStyle name="Обычный 24 20 2" xfId="12831"/>
    <cellStyle name="Обычный 24 20 3" xfId="12832"/>
    <cellStyle name="Обычный 24 21" xfId="12833"/>
    <cellStyle name="Обычный 24 21 2" xfId="12834"/>
    <cellStyle name="Обычный 24 21 3" xfId="12835"/>
    <cellStyle name="Обычный 24 22" xfId="12836"/>
    <cellStyle name="Обычный 24 22 2" xfId="12837"/>
    <cellStyle name="Обычный 24 22 3" xfId="12838"/>
    <cellStyle name="Обычный 24 23" xfId="12839"/>
    <cellStyle name="Обычный 24 23 2" xfId="12840"/>
    <cellStyle name="Обычный 24 23 3" xfId="12841"/>
    <cellStyle name="Обычный 24 24" xfId="12842"/>
    <cellStyle name="Обычный 24 24 2" xfId="12843"/>
    <cellStyle name="Обычный 24 24 3" xfId="12844"/>
    <cellStyle name="Обычный 24 25" xfId="12845"/>
    <cellStyle name="Обычный 24 25 2" xfId="12846"/>
    <cellStyle name="Обычный 24 25 3" xfId="12847"/>
    <cellStyle name="Обычный 24 26" xfId="12848"/>
    <cellStyle name="Обычный 24 26 2" xfId="12849"/>
    <cellStyle name="Обычный 24 26 3" xfId="12850"/>
    <cellStyle name="Обычный 24 27" xfId="12851"/>
    <cellStyle name="Обычный 24 27 2" xfId="12852"/>
    <cellStyle name="Обычный 24 27 3" xfId="12853"/>
    <cellStyle name="Обычный 24 28" xfId="12854"/>
    <cellStyle name="Обычный 24 28 2" xfId="12855"/>
    <cellStyle name="Обычный 24 28 3" xfId="12856"/>
    <cellStyle name="Обычный 24 29" xfId="12857"/>
    <cellStyle name="Обычный 24 29 2" xfId="12858"/>
    <cellStyle name="Обычный 24 29 3" xfId="12859"/>
    <cellStyle name="Обычный 24 3" xfId="12860"/>
    <cellStyle name="Обычный 24 3 2" xfId="12861"/>
    <cellStyle name="Обычный 24 3 3" xfId="12862"/>
    <cellStyle name="Обычный 24 30" xfId="12863"/>
    <cellStyle name="Обычный 24 30 2" xfId="12864"/>
    <cellStyle name="Обычный 24 30 3" xfId="12865"/>
    <cellStyle name="Обычный 24 31" xfId="12866"/>
    <cellStyle name="Обычный 24 31 2" xfId="12867"/>
    <cellStyle name="Обычный 24 31 3" xfId="12868"/>
    <cellStyle name="Обычный 24 32" xfId="12869"/>
    <cellStyle name="Обычный 24 32 2" xfId="12870"/>
    <cellStyle name="Обычный 24 32 3" xfId="12871"/>
    <cellStyle name="Обычный 24 33" xfId="12872"/>
    <cellStyle name="Обычный 24 33 2" xfId="12873"/>
    <cellStyle name="Обычный 24 33 3" xfId="12874"/>
    <cellStyle name="Обычный 24 34" xfId="12875"/>
    <cellStyle name="Обычный 24 34 2" xfId="12876"/>
    <cellStyle name="Обычный 24 34 3" xfId="12877"/>
    <cellStyle name="Обычный 24 35" xfId="12878"/>
    <cellStyle name="Обычный 24 35 2" xfId="12879"/>
    <cellStyle name="Обычный 24 35 3" xfId="12880"/>
    <cellStyle name="Обычный 24 36" xfId="12881"/>
    <cellStyle name="Обычный 24 36 2" xfId="12882"/>
    <cellStyle name="Обычный 24 36 3" xfId="12883"/>
    <cellStyle name="Обычный 24 37" xfId="12884"/>
    <cellStyle name="Обычный 24 37 2" xfId="12885"/>
    <cellStyle name="Обычный 24 37 3" xfId="12886"/>
    <cellStyle name="Обычный 24 38" xfId="12887"/>
    <cellStyle name="Обычный 24 38 2" xfId="12888"/>
    <cellStyle name="Обычный 24 38 3" xfId="12889"/>
    <cellStyle name="Обычный 24 39" xfId="12890"/>
    <cellStyle name="Обычный 24 39 2" xfId="12891"/>
    <cellStyle name="Обычный 24 39 3" xfId="12892"/>
    <cellStyle name="Обычный 24 4" xfId="12893"/>
    <cellStyle name="Обычный 24 4 2" xfId="12894"/>
    <cellStyle name="Обычный 24 4 3" xfId="12895"/>
    <cellStyle name="Обычный 24 40" xfId="12896"/>
    <cellStyle name="Обычный 24 40 2" xfId="12897"/>
    <cellStyle name="Обычный 24 40 3" xfId="12898"/>
    <cellStyle name="Обычный 24 41" xfId="12899"/>
    <cellStyle name="Обычный 24 41 2" xfId="12900"/>
    <cellStyle name="Обычный 24 41 3" xfId="12901"/>
    <cellStyle name="Обычный 24 42" xfId="12902"/>
    <cellStyle name="Обычный 24 42 2" xfId="12903"/>
    <cellStyle name="Обычный 24 42 3" xfId="12904"/>
    <cellStyle name="Обычный 24 43" xfId="12905"/>
    <cellStyle name="Обычный 24 43 2" xfId="12906"/>
    <cellStyle name="Обычный 24 43 3" xfId="12907"/>
    <cellStyle name="Обычный 24 44" xfId="12908"/>
    <cellStyle name="Обычный 24 44 2" xfId="12909"/>
    <cellStyle name="Обычный 24 44 3" xfId="12910"/>
    <cellStyle name="Обычный 24 45" xfId="12911"/>
    <cellStyle name="Обычный 24 45 2" xfId="12912"/>
    <cellStyle name="Обычный 24 45 3" xfId="12913"/>
    <cellStyle name="Обычный 24 46" xfId="12914"/>
    <cellStyle name="Обычный 24 46 2" xfId="12915"/>
    <cellStyle name="Обычный 24 46 3" xfId="12916"/>
    <cellStyle name="Обычный 24 47" xfId="12917"/>
    <cellStyle name="Обычный 24 47 2" xfId="12918"/>
    <cellStyle name="Обычный 24 47 3" xfId="12919"/>
    <cellStyle name="Обычный 24 48" xfId="12920"/>
    <cellStyle name="Обычный 24 48 2" xfId="12921"/>
    <cellStyle name="Обычный 24 48 3" xfId="12922"/>
    <cellStyle name="Обычный 24 49" xfId="12923"/>
    <cellStyle name="Обычный 24 49 2" xfId="12924"/>
    <cellStyle name="Обычный 24 49 3" xfId="12925"/>
    <cellStyle name="Обычный 24 5" xfId="12926"/>
    <cellStyle name="Обычный 24 5 2" xfId="12927"/>
    <cellStyle name="Обычный 24 5 3" xfId="12928"/>
    <cellStyle name="Обычный 24 50" xfId="12929"/>
    <cellStyle name="Обычный 24 50 2" xfId="12930"/>
    <cellStyle name="Обычный 24 50 3" xfId="12931"/>
    <cellStyle name="Обычный 24 51" xfId="12932"/>
    <cellStyle name="Обычный 24 51 2" xfId="12933"/>
    <cellStyle name="Обычный 24 51 3" xfId="12934"/>
    <cellStyle name="Обычный 24 52" xfId="12935"/>
    <cellStyle name="Обычный 24 52 2" xfId="12936"/>
    <cellStyle name="Обычный 24 52 3" xfId="12937"/>
    <cellStyle name="Обычный 24 53" xfId="12938"/>
    <cellStyle name="Обычный 24 53 2" xfId="12939"/>
    <cellStyle name="Обычный 24 53 3" xfId="12940"/>
    <cellStyle name="Обычный 24 54" xfId="12941"/>
    <cellStyle name="Обычный 24 54 2" xfId="12942"/>
    <cellStyle name="Обычный 24 54 3" xfId="12943"/>
    <cellStyle name="Обычный 24 55" xfId="12944"/>
    <cellStyle name="Обычный 24 55 2" xfId="12945"/>
    <cellStyle name="Обычный 24 55 3" xfId="12946"/>
    <cellStyle name="Обычный 24 56" xfId="12947"/>
    <cellStyle name="Обычный 24 56 2" xfId="12948"/>
    <cellStyle name="Обычный 24 56 3" xfId="12949"/>
    <cellStyle name="Обычный 24 57" xfId="12950"/>
    <cellStyle name="Обычный 24 57 2" xfId="12951"/>
    <cellStyle name="Обычный 24 57 3" xfId="12952"/>
    <cellStyle name="Обычный 24 58" xfId="12953"/>
    <cellStyle name="Обычный 24 58 2" xfId="12954"/>
    <cellStyle name="Обычный 24 58 3" xfId="12955"/>
    <cellStyle name="Обычный 24 59" xfId="12956"/>
    <cellStyle name="Обычный 24 59 2" xfId="12957"/>
    <cellStyle name="Обычный 24 59 3" xfId="12958"/>
    <cellStyle name="Обычный 24 6" xfId="12959"/>
    <cellStyle name="Обычный 24 6 2" xfId="12960"/>
    <cellStyle name="Обычный 24 6 3" xfId="12961"/>
    <cellStyle name="Обычный 24 60" xfId="12962"/>
    <cellStyle name="Обычный 24 60 2" xfId="12963"/>
    <cellStyle name="Обычный 24 60 3" xfId="12964"/>
    <cellStyle name="Обычный 24 61" xfId="12965"/>
    <cellStyle name="Обычный 24 61 2" xfId="12966"/>
    <cellStyle name="Обычный 24 61 3" xfId="12967"/>
    <cellStyle name="Обычный 24 62" xfId="12968"/>
    <cellStyle name="Обычный 24 62 2" xfId="12969"/>
    <cellStyle name="Обычный 24 62 3" xfId="12970"/>
    <cellStyle name="Обычный 24 63" xfId="12971"/>
    <cellStyle name="Обычный 24 63 2" xfId="12972"/>
    <cellStyle name="Обычный 24 63 3" xfId="12973"/>
    <cellStyle name="Обычный 24 64" xfId="12974"/>
    <cellStyle name="Обычный 24 65" xfId="12975"/>
    <cellStyle name="Обычный 24 7" xfId="12976"/>
    <cellStyle name="Обычный 24 7 2" xfId="12977"/>
    <cellStyle name="Обычный 24 7 3" xfId="12978"/>
    <cellStyle name="Обычный 24 8" xfId="12979"/>
    <cellStyle name="Обычный 24 8 2" xfId="12980"/>
    <cellStyle name="Обычный 24 8 3" xfId="12981"/>
    <cellStyle name="Обычный 24 9" xfId="12982"/>
    <cellStyle name="Обычный 24 9 2" xfId="12983"/>
    <cellStyle name="Обычный 24 9 3" xfId="12984"/>
    <cellStyle name="Обычный 25" xfId="12985"/>
    <cellStyle name="Обычный 25 10" xfId="12986"/>
    <cellStyle name="Обычный 25 10 2" xfId="12987"/>
    <cellStyle name="Обычный 25 10 3" xfId="12988"/>
    <cellStyle name="Обычный 25 11" xfId="12989"/>
    <cellStyle name="Обычный 25 11 2" xfId="12990"/>
    <cellStyle name="Обычный 25 11 3" xfId="12991"/>
    <cellStyle name="Обычный 25 12" xfId="12992"/>
    <cellStyle name="Обычный 25 12 2" xfId="12993"/>
    <cellStyle name="Обычный 25 12 3" xfId="12994"/>
    <cellStyle name="Обычный 25 13" xfId="12995"/>
    <cellStyle name="Обычный 25 13 2" xfId="12996"/>
    <cellStyle name="Обычный 25 13 3" xfId="12997"/>
    <cellStyle name="Обычный 25 14" xfId="12998"/>
    <cellStyle name="Обычный 25 14 2" xfId="12999"/>
    <cellStyle name="Обычный 25 14 3" xfId="13000"/>
    <cellStyle name="Обычный 25 15" xfId="13001"/>
    <cellStyle name="Обычный 25 15 2" xfId="13002"/>
    <cellStyle name="Обычный 25 15 3" xfId="13003"/>
    <cellStyle name="Обычный 25 16" xfId="13004"/>
    <cellStyle name="Обычный 25 16 2" xfId="13005"/>
    <cellStyle name="Обычный 25 16 3" xfId="13006"/>
    <cellStyle name="Обычный 25 17" xfId="13007"/>
    <cellStyle name="Обычный 25 17 2" xfId="13008"/>
    <cellStyle name="Обычный 25 17 3" xfId="13009"/>
    <cellStyle name="Обычный 25 18" xfId="13010"/>
    <cellStyle name="Обычный 25 18 2" xfId="13011"/>
    <cellStyle name="Обычный 25 18 3" xfId="13012"/>
    <cellStyle name="Обычный 25 19" xfId="13013"/>
    <cellStyle name="Обычный 25 19 2" xfId="13014"/>
    <cellStyle name="Обычный 25 19 3" xfId="13015"/>
    <cellStyle name="Обычный 25 2" xfId="13016"/>
    <cellStyle name="Обычный 25 2 2" xfId="13017"/>
    <cellStyle name="Обычный 25 2 3" xfId="13018"/>
    <cellStyle name="Обычный 25 20" xfId="13019"/>
    <cellStyle name="Обычный 25 20 2" xfId="13020"/>
    <cellStyle name="Обычный 25 20 3" xfId="13021"/>
    <cellStyle name="Обычный 25 21" xfId="13022"/>
    <cellStyle name="Обычный 25 21 2" xfId="13023"/>
    <cellStyle name="Обычный 25 21 3" xfId="13024"/>
    <cellStyle name="Обычный 25 22" xfId="13025"/>
    <cellStyle name="Обычный 25 22 2" xfId="13026"/>
    <cellStyle name="Обычный 25 22 3" xfId="13027"/>
    <cellStyle name="Обычный 25 23" xfId="13028"/>
    <cellStyle name="Обычный 25 23 2" xfId="13029"/>
    <cellStyle name="Обычный 25 23 3" xfId="13030"/>
    <cellStyle name="Обычный 25 24" xfId="13031"/>
    <cellStyle name="Обычный 25 24 2" xfId="13032"/>
    <cellStyle name="Обычный 25 24 3" xfId="13033"/>
    <cellStyle name="Обычный 25 25" xfId="13034"/>
    <cellStyle name="Обычный 25 25 2" xfId="13035"/>
    <cellStyle name="Обычный 25 25 3" xfId="13036"/>
    <cellStyle name="Обычный 25 26" xfId="13037"/>
    <cellStyle name="Обычный 25 26 2" xfId="13038"/>
    <cellStyle name="Обычный 25 26 3" xfId="13039"/>
    <cellStyle name="Обычный 25 27" xfId="13040"/>
    <cellStyle name="Обычный 25 27 2" xfId="13041"/>
    <cellStyle name="Обычный 25 27 3" xfId="13042"/>
    <cellStyle name="Обычный 25 28" xfId="13043"/>
    <cellStyle name="Обычный 25 28 2" xfId="13044"/>
    <cellStyle name="Обычный 25 28 3" xfId="13045"/>
    <cellStyle name="Обычный 25 29" xfId="13046"/>
    <cellStyle name="Обычный 25 29 2" xfId="13047"/>
    <cellStyle name="Обычный 25 29 3" xfId="13048"/>
    <cellStyle name="Обычный 25 3" xfId="13049"/>
    <cellStyle name="Обычный 25 3 2" xfId="13050"/>
    <cellStyle name="Обычный 25 3 3" xfId="13051"/>
    <cellStyle name="Обычный 25 30" xfId="13052"/>
    <cellStyle name="Обычный 25 30 2" xfId="13053"/>
    <cellStyle name="Обычный 25 30 3" xfId="13054"/>
    <cellStyle name="Обычный 25 31" xfId="13055"/>
    <cellStyle name="Обычный 25 31 2" xfId="13056"/>
    <cellStyle name="Обычный 25 31 3" xfId="13057"/>
    <cellStyle name="Обычный 25 32" xfId="13058"/>
    <cellStyle name="Обычный 25 32 2" xfId="13059"/>
    <cellStyle name="Обычный 25 32 3" xfId="13060"/>
    <cellStyle name="Обычный 25 33" xfId="13061"/>
    <cellStyle name="Обычный 25 33 2" xfId="13062"/>
    <cellStyle name="Обычный 25 33 3" xfId="13063"/>
    <cellStyle name="Обычный 25 34" xfId="13064"/>
    <cellStyle name="Обычный 25 34 2" xfId="13065"/>
    <cellStyle name="Обычный 25 34 3" xfId="13066"/>
    <cellStyle name="Обычный 25 35" xfId="13067"/>
    <cellStyle name="Обычный 25 35 2" xfId="13068"/>
    <cellStyle name="Обычный 25 35 3" xfId="13069"/>
    <cellStyle name="Обычный 25 36" xfId="13070"/>
    <cellStyle name="Обычный 25 36 2" xfId="13071"/>
    <cellStyle name="Обычный 25 36 3" xfId="13072"/>
    <cellStyle name="Обычный 25 37" xfId="13073"/>
    <cellStyle name="Обычный 25 37 2" xfId="13074"/>
    <cellStyle name="Обычный 25 37 3" xfId="13075"/>
    <cellStyle name="Обычный 25 38" xfId="13076"/>
    <cellStyle name="Обычный 25 38 2" xfId="13077"/>
    <cellStyle name="Обычный 25 38 3" xfId="13078"/>
    <cellStyle name="Обычный 25 39" xfId="13079"/>
    <cellStyle name="Обычный 25 39 2" xfId="13080"/>
    <cellStyle name="Обычный 25 39 3" xfId="13081"/>
    <cellStyle name="Обычный 25 4" xfId="13082"/>
    <cellStyle name="Обычный 25 4 2" xfId="13083"/>
    <cellStyle name="Обычный 25 4 3" xfId="13084"/>
    <cellStyle name="Обычный 25 40" xfId="13085"/>
    <cellStyle name="Обычный 25 40 2" xfId="13086"/>
    <cellStyle name="Обычный 25 40 3" xfId="13087"/>
    <cellStyle name="Обычный 25 41" xfId="13088"/>
    <cellStyle name="Обычный 25 41 2" xfId="13089"/>
    <cellStyle name="Обычный 25 41 3" xfId="13090"/>
    <cellStyle name="Обычный 25 42" xfId="13091"/>
    <cellStyle name="Обычный 25 42 2" xfId="13092"/>
    <cellStyle name="Обычный 25 42 3" xfId="13093"/>
    <cellStyle name="Обычный 25 43" xfId="13094"/>
    <cellStyle name="Обычный 25 43 2" xfId="13095"/>
    <cellStyle name="Обычный 25 43 3" xfId="13096"/>
    <cellStyle name="Обычный 25 44" xfId="13097"/>
    <cellStyle name="Обычный 25 44 2" xfId="13098"/>
    <cellStyle name="Обычный 25 44 3" xfId="13099"/>
    <cellStyle name="Обычный 25 45" xfId="13100"/>
    <cellStyle name="Обычный 25 45 2" xfId="13101"/>
    <cellStyle name="Обычный 25 45 3" xfId="13102"/>
    <cellStyle name="Обычный 25 46" xfId="13103"/>
    <cellStyle name="Обычный 25 46 2" xfId="13104"/>
    <cellStyle name="Обычный 25 46 3" xfId="13105"/>
    <cellStyle name="Обычный 25 47" xfId="13106"/>
    <cellStyle name="Обычный 25 47 2" xfId="13107"/>
    <cellStyle name="Обычный 25 47 3" xfId="13108"/>
    <cellStyle name="Обычный 25 48" xfId="13109"/>
    <cellStyle name="Обычный 25 48 2" xfId="13110"/>
    <cellStyle name="Обычный 25 48 3" xfId="13111"/>
    <cellStyle name="Обычный 25 49" xfId="13112"/>
    <cellStyle name="Обычный 25 49 2" xfId="13113"/>
    <cellStyle name="Обычный 25 49 3" xfId="13114"/>
    <cellStyle name="Обычный 25 5" xfId="13115"/>
    <cellStyle name="Обычный 25 5 2" xfId="13116"/>
    <cellStyle name="Обычный 25 5 3" xfId="13117"/>
    <cellStyle name="Обычный 25 50" xfId="13118"/>
    <cellStyle name="Обычный 25 50 2" xfId="13119"/>
    <cellStyle name="Обычный 25 50 3" xfId="13120"/>
    <cellStyle name="Обычный 25 51" xfId="13121"/>
    <cellStyle name="Обычный 25 51 2" xfId="13122"/>
    <cellStyle name="Обычный 25 51 3" xfId="13123"/>
    <cellStyle name="Обычный 25 52" xfId="13124"/>
    <cellStyle name="Обычный 25 52 2" xfId="13125"/>
    <cellStyle name="Обычный 25 52 3" xfId="13126"/>
    <cellStyle name="Обычный 25 53" xfId="13127"/>
    <cellStyle name="Обычный 25 53 2" xfId="13128"/>
    <cellStyle name="Обычный 25 53 3" xfId="13129"/>
    <cellStyle name="Обычный 25 54" xfId="13130"/>
    <cellStyle name="Обычный 25 54 2" xfId="13131"/>
    <cellStyle name="Обычный 25 54 3" xfId="13132"/>
    <cellStyle name="Обычный 25 55" xfId="13133"/>
    <cellStyle name="Обычный 25 55 2" xfId="13134"/>
    <cellStyle name="Обычный 25 55 3" xfId="13135"/>
    <cellStyle name="Обычный 25 56" xfId="13136"/>
    <cellStyle name="Обычный 25 56 2" xfId="13137"/>
    <cellStyle name="Обычный 25 56 3" xfId="13138"/>
    <cellStyle name="Обычный 25 57" xfId="13139"/>
    <cellStyle name="Обычный 25 57 2" xfId="13140"/>
    <cellStyle name="Обычный 25 57 3" xfId="13141"/>
    <cellStyle name="Обычный 25 58" xfId="13142"/>
    <cellStyle name="Обычный 25 58 2" xfId="13143"/>
    <cellStyle name="Обычный 25 58 3" xfId="13144"/>
    <cellStyle name="Обычный 25 59" xfId="13145"/>
    <cellStyle name="Обычный 25 59 2" xfId="13146"/>
    <cellStyle name="Обычный 25 59 3" xfId="13147"/>
    <cellStyle name="Обычный 25 6" xfId="13148"/>
    <cellStyle name="Обычный 25 6 2" xfId="13149"/>
    <cellStyle name="Обычный 25 6 3" xfId="13150"/>
    <cellStyle name="Обычный 25 60" xfId="13151"/>
    <cellStyle name="Обычный 25 60 2" xfId="13152"/>
    <cellStyle name="Обычный 25 60 3" xfId="13153"/>
    <cellStyle name="Обычный 25 61" xfId="13154"/>
    <cellStyle name="Обычный 25 61 2" xfId="13155"/>
    <cellStyle name="Обычный 25 61 3" xfId="13156"/>
    <cellStyle name="Обычный 25 62" xfId="13157"/>
    <cellStyle name="Обычный 25 62 2" xfId="13158"/>
    <cellStyle name="Обычный 25 62 3" xfId="13159"/>
    <cellStyle name="Обычный 25 63" xfId="13160"/>
    <cellStyle name="Обычный 25 63 2" xfId="13161"/>
    <cellStyle name="Обычный 25 63 3" xfId="13162"/>
    <cellStyle name="Обычный 25 64" xfId="13163"/>
    <cellStyle name="Обычный 25 65" xfId="13164"/>
    <cellStyle name="Обычный 25 7" xfId="13165"/>
    <cellStyle name="Обычный 25 7 2" xfId="13166"/>
    <cellStyle name="Обычный 25 7 3" xfId="13167"/>
    <cellStyle name="Обычный 25 8" xfId="13168"/>
    <cellStyle name="Обычный 25 8 2" xfId="13169"/>
    <cellStyle name="Обычный 25 8 3" xfId="13170"/>
    <cellStyle name="Обычный 25 9" xfId="13171"/>
    <cellStyle name="Обычный 25 9 2" xfId="13172"/>
    <cellStyle name="Обычный 25 9 3" xfId="13173"/>
    <cellStyle name="Обычный 26" xfId="13174"/>
    <cellStyle name="Обычный 26 10" xfId="13175"/>
    <cellStyle name="Обычный 26 10 2" xfId="13176"/>
    <cellStyle name="Обычный 26 10 3" xfId="13177"/>
    <cellStyle name="Обычный 26 11" xfId="13178"/>
    <cellStyle name="Обычный 26 11 2" xfId="13179"/>
    <cellStyle name="Обычный 26 11 3" xfId="13180"/>
    <cellStyle name="Обычный 26 12" xfId="13181"/>
    <cellStyle name="Обычный 26 12 2" xfId="13182"/>
    <cellStyle name="Обычный 26 12 3" xfId="13183"/>
    <cellStyle name="Обычный 26 13" xfId="13184"/>
    <cellStyle name="Обычный 26 13 2" xfId="13185"/>
    <cellStyle name="Обычный 26 13 3" xfId="13186"/>
    <cellStyle name="Обычный 26 14" xfId="13187"/>
    <cellStyle name="Обычный 26 14 2" xfId="13188"/>
    <cellStyle name="Обычный 26 14 3" xfId="13189"/>
    <cellStyle name="Обычный 26 15" xfId="13190"/>
    <cellStyle name="Обычный 26 15 2" xfId="13191"/>
    <cellStyle name="Обычный 26 15 3" xfId="13192"/>
    <cellStyle name="Обычный 26 16" xfId="13193"/>
    <cellStyle name="Обычный 26 16 2" xfId="13194"/>
    <cellStyle name="Обычный 26 16 3" xfId="13195"/>
    <cellStyle name="Обычный 26 17" xfId="13196"/>
    <cellStyle name="Обычный 26 17 2" xfId="13197"/>
    <cellStyle name="Обычный 26 17 3" xfId="13198"/>
    <cellStyle name="Обычный 26 18" xfId="13199"/>
    <cellStyle name="Обычный 26 18 2" xfId="13200"/>
    <cellStyle name="Обычный 26 18 3" xfId="13201"/>
    <cellStyle name="Обычный 26 19" xfId="13202"/>
    <cellStyle name="Обычный 26 19 2" xfId="13203"/>
    <cellStyle name="Обычный 26 19 3" xfId="13204"/>
    <cellStyle name="Обычный 26 2" xfId="13205"/>
    <cellStyle name="Обычный 26 2 2" xfId="13206"/>
    <cellStyle name="Обычный 26 2 3" xfId="13207"/>
    <cellStyle name="Обычный 26 20" xfId="13208"/>
    <cellStyle name="Обычный 26 20 2" xfId="13209"/>
    <cellStyle name="Обычный 26 20 3" xfId="13210"/>
    <cellStyle name="Обычный 26 21" xfId="13211"/>
    <cellStyle name="Обычный 26 21 2" xfId="13212"/>
    <cellStyle name="Обычный 26 21 3" xfId="13213"/>
    <cellStyle name="Обычный 26 22" xfId="13214"/>
    <cellStyle name="Обычный 26 22 2" xfId="13215"/>
    <cellStyle name="Обычный 26 22 3" xfId="13216"/>
    <cellStyle name="Обычный 26 23" xfId="13217"/>
    <cellStyle name="Обычный 26 23 2" xfId="13218"/>
    <cellStyle name="Обычный 26 23 3" xfId="13219"/>
    <cellStyle name="Обычный 26 24" xfId="13220"/>
    <cellStyle name="Обычный 26 24 2" xfId="13221"/>
    <cellStyle name="Обычный 26 24 3" xfId="13222"/>
    <cellStyle name="Обычный 26 25" xfId="13223"/>
    <cellStyle name="Обычный 26 25 2" xfId="13224"/>
    <cellStyle name="Обычный 26 25 3" xfId="13225"/>
    <cellStyle name="Обычный 26 26" xfId="13226"/>
    <cellStyle name="Обычный 26 26 2" xfId="13227"/>
    <cellStyle name="Обычный 26 26 3" xfId="13228"/>
    <cellStyle name="Обычный 26 27" xfId="13229"/>
    <cellStyle name="Обычный 26 27 2" xfId="13230"/>
    <cellStyle name="Обычный 26 27 3" xfId="13231"/>
    <cellStyle name="Обычный 26 28" xfId="13232"/>
    <cellStyle name="Обычный 26 28 2" xfId="13233"/>
    <cellStyle name="Обычный 26 28 3" xfId="13234"/>
    <cellStyle name="Обычный 26 29" xfId="13235"/>
    <cellStyle name="Обычный 26 29 2" xfId="13236"/>
    <cellStyle name="Обычный 26 29 3" xfId="13237"/>
    <cellStyle name="Обычный 26 3" xfId="13238"/>
    <cellStyle name="Обычный 26 3 2" xfId="13239"/>
    <cellStyle name="Обычный 26 3 3" xfId="13240"/>
    <cellStyle name="Обычный 26 30" xfId="13241"/>
    <cellStyle name="Обычный 26 30 2" xfId="13242"/>
    <cellStyle name="Обычный 26 30 3" xfId="13243"/>
    <cellStyle name="Обычный 26 31" xfId="13244"/>
    <cellStyle name="Обычный 26 31 2" xfId="13245"/>
    <cellStyle name="Обычный 26 31 3" xfId="13246"/>
    <cellStyle name="Обычный 26 32" xfId="13247"/>
    <cellStyle name="Обычный 26 32 2" xfId="13248"/>
    <cellStyle name="Обычный 26 32 3" xfId="13249"/>
    <cellStyle name="Обычный 26 33" xfId="13250"/>
    <cellStyle name="Обычный 26 33 2" xfId="13251"/>
    <cellStyle name="Обычный 26 33 3" xfId="13252"/>
    <cellStyle name="Обычный 26 34" xfId="13253"/>
    <cellStyle name="Обычный 26 34 2" xfId="13254"/>
    <cellStyle name="Обычный 26 34 3" xfId="13255"/>
    <cellStyle name="Обычный 26 35" xfId="13256"/>
    <cellStyle name="Обычный 26 35 2" xfId="13257"/>
    <cellStyle name="Обычный 26 35 3" xfId="13258"/>
    <cellStyle name="Обычный 26 36" xfId="13259"/>
    <cellStyle name="Обычный 26 36 2" xfId="13260"/>
    <cellStyle name="Обычный 26 36 3" xfId="13261"/>
    <cellStyle name="Обычный 26 37" xfId="13262"/>
    <cellStyle name="Обычный 26 37 2" xfId="13263"/>
    <cellStyle name="Обычный 26 37 3" xfId="13264"/>
    <cellStyle name="Обычный 26 38" xfId="13265"/>
    <cellStyle name="Обычный 26 38 2" xfId="13266"/>
    <cellStyle name="Обычный 26 38 3" xfId="13267"/>
    <cellStyle name="Обычный 26 39" xfId="13268"/>
    <cellStyle name="Обычный 26 39 2" xfId="13269"/>
    <cellStyle name="Обычный 26 39 3" xfId="13270"/>
    <cellStyle name="Обычный 26 4" xfId="13271"/>
    <cellStyle name="Обычный 26 4 2" xfId="13272"/>
    <cellStyle name="Обычный 26 4 3" xfId="13273"/>
    <cellStyle name="Обычный 26 40" xfId="13274"/>
    <cellStyle name="Обычный 26 40 2" xfId="13275"/>
    <cellStyle name="Обычный 26 40 3" xfId="13276"/>
    <cellStyle name="Обычный 26 41" xfId="13277"/>
    <cellStyle name="Обычный 26 41 2" xfId="13278"/>
    <cellStyle name="Обычный 26 41 3" xfId="13279"/>
    <cellStyle name="Обычный 26 42" xfId="13280"/>
    <cellStyle name="Обычный 26 42 2" xfId="13281"/>
    <cellStyle name="Обычный 26 42 3" xfId="13282"/>
    <cellStyle name="Обычный 26 43" xfId="13283"/>
    <cellStyle name="Обычный 26 43 2" xfId="13284"/>
    <cellStyle name="Обычный 26 43 3" xfId="13285"/>
    <cellStyle name="Обычный 26 44" xfId="13286"/>
    <cellStyle name="Обычный 26 44 2" xfId="13287"/>
    <cellStyle name="Обычный 26 44 3" xfId="13288"/>
    <cellStyle name="Обычный 26 45" xfId="13289"/>
    <cellStyle name="Обычный 26 45 2" xfId="13290"/>
    <cellStyle name="Обычный 26 45 3" xfId="13291"/>
    <cellStyle name="Обычный 26 46" xfId="13292"/>
    <cellStyle name="Обычный 26 46 2" xfId="13293"/>
    <cellStyle name="Обычный 26 46 3" xfId="13294"/>
    <cellStyle name="Обычный 26 47" xfId="13295"/>
    <cellStyle name="Обычный 26 47 2" xfId="13296"/>
    <cellStyle name="Обычный 26 47 3" xfId="13297"/>
    <cellStyle name="Обычный 26 48" xfId="13298"/>
    <cellStyle name="Обычный 26 48 2" xfId="13299"/>
    <cellStyle name="Обычный 26 48 3" xfId="13300"/>
    <cellStyle name="Обычный 26 49" xfId="13301"/>
    <cellStyle name="Обычный 26 49 2" xfId="13302"/>
    <cellStyle name="Обычный 26 49 3" xfId="13303"/>
    <cellStyle name="Обычный 26 5" xfId="13304"/>
    <cellStyle name="Обычный 26 5 2" xfId="13305"/>
    <cellStyle name="Обычный 26 5 3" xfId="13306"/>
    <cellStyle name="Обычный 26 50" xfId="13307"/>
    <cellStyle name="Обычный 26 50 2" xfId="13308"/>
    <cellStyle name="Обычный 26 50 3" xfId="13309"/>
    <cellStyle name="Обычный 26 51" xfId="13310"/>
    <cellStyle name="Обычный 26 51 2" xfId="13311"/>
    <cellStyle name="Обычный 26 51 3" xfId="13312"/>
    <cellStyle name="Обычный 26 52" xfId="13313"/>
    <cellStyle name="Обычный 26 52 2" xfId="13314"/>
    <cellStyle name="Обычный 26 52 3" xfId="13315"/>
    <cellStyle name="Обычный 26 53" xfId="13316"/>
    <cellStyle name="Обычный 26 53 2" xfId="13317"/>
    <cellStyle name="Обычный 26 53 3" xfId="13318"/>
    <cellStyle name="Обычный 26 54" xfId="13319"/>
    <cellStyle name="Обычный 26 54 2" xfId="13320"/>
    <cellStyle name="Обычный 26 54 3" xfId="13321"/>
    <cellStyle name="Обычный 26 55" xfId="13322"/>
    <cellStyle name="Обычный 26 55 2" xfId="13323"/>
    <cellStyle name="Обычный 26 55 3" xfId="13324"/>
    <cellStyle name="Обычный 26 56" xfId="13325"/>
    <cellStyle name="Обычный 26 56 2" xfId="13326"/>
    <cellStyle name="Обычный 26 56 3" xfId="13327"/>
    <cellStyle name="Обычный 26 57" xfId="13328"/>
    <cellStyle name="Обычный 26 57 2" xfId="13329"/>
    <cellStyle name="Обычный 26 57 3" xfId="13330"/>
    <cellStyle name="Обычный 26 58" xfId="13331"/>
    <cellStyle name="Обычный 26 58 2" xfId="13332"/>
    <cellStyle name="Обычный 26 58 3" xfId="13333"/>
    <cellStyle name="Обычный 26 59" xfId="13334"/>
    <cellStyle name="Обычный 26 59 2" xfId="13335"/>
    <cellStyle name="Обычный 26 59 3" xfId="13336"/>
    <cellStyle name="Обычный 26 6" xfId="13337"/>
    <cellStyle name="Обычный 26 6 2" xfId="13338"/>
    <cellStyle name="Обычный 26 6 3" xfId="13339"/>
    <cellStyle name="Обычный 26 60" xfId="13340"/>
    <cellStyle name="Обычный 26 60 2" xfId="13341"/>
    <cellStyle name="Обычный 26 60 3" xfId="13342"/>
    <cellStyle name="Обычный 26 61" xfId="13343"/>
    <cellStyle name="Обычный 26 61 2" xfId="13344"/>
    <cellStyle name="Обычный 26 61 3" xfId="13345"/>
    <cellStyle name="Обычный 26 62" xfId="13346"/>
    <cellStyle name="Обычный 26 62 2" xfId="13347"/>
    <cellStyle name="Обычный 26 62 3" xfId="13348"/>
    <cellStyle name="Обычный 26 63" xfId="13349"/>
    <cellStyle name="Обычный 26 63 2" xfId="13350"/>
    <cellStyle name="Обычный 26 63 3" xfId="13351"/>
    <cellStyle name="Обычный 26 64" xfId="13352"/>
    <cellStyle name="Обычный 26 65" xfId="13353"/>
    <cellStyle name="Обычный 26 7" xfId="13354"/>
    <cellStyle name="Обычный 26 7 2" xfId="13355"/>
    <cellStyle name="Обычный 26 7 3" xfId="13356"/>
    <cellStyle name="Обычный 26 8" xfId="13357"/>
    <cellStyle name="Обычный 26 8 2" xfId="13358"/>
    <cellStyle name="Обычный 26 8 3" xfId="13359"/>
    <cellStyle name="Обычный 26 9" xfId="13360"/>
    <cellStyle name="Обычный 26 9 2" xfId="13361"/>
    <cellStyle name="Обычный 26 9 3" xfId="13362"/>
    <cellStyle name="Обычный 27" xfId="13363"/>
    <cellStyle name="Обычный 27 10" xfId="13364"/>
    <cellStyle name="Обычный 27 11" xfId="13365"/>
    <cellStyle name="Обычный 27 2" xfId="13366"/>
    <cellStyle name="Обычный 27 2 10" xfId="13367"/>
    <cellStyle name="Обычный 27 2 10 2" xfId="13368"/>
    <cellStyle name="Обычный 27 2 10 3" xfId="13369"/>
    <cellStyle name="Обычный 27 2 11" xfId="13370"/>
    <cellStyle name="Обычный 27 2 11 2" xfId="13371"/>
    <cellStyle name="Обычный 27 2 11 3" xfId="13372"/>
    <cellStyle name="Обычный 27 2 12" xfId="13373"/>
    <cellStyle name="Обычный 27 2 12 2" xfId="13374"/>
    <cellStyle name="Обычный 27 2 12 3" xfId="13375"/>
    <cellStyle name="Обычный 27 2 13" xfId="13376"/>
    <cellStyle name="Обычный 27 2 13 2" xfId="13377"/>
    <cellStyle name="Обычный 27 2 13 3" xfId="13378"/>
    <cellStyle name="Обычный 27 2 14" xfId="13379"/>
    <cellStyle name="Обычный 27 2 14 2" xfId="13380"/>
    <cellStyle name="Обычный 27 2 14 3" xfId="13381"/>
    <cellStyle name="Обычный 27 2 15" xfId="13382"/>
    <cellStyle name="Обычный 27 2 15 2" xfId="13383"/>
    <cellStyle name="Обычный 27 2 15 3" xfId="13384"/>
    <cellStyle name="Обычный 27 2 16" xfId="13385"/>
    <cellStyle name="Обычный 27 2 16 2" xfId="13386"/>
    <cellStyle name="Обычный 27 2 16 3" xfId="13387"/>
    <cellStyle name="Обычный 27 2 17" xfId="13388"/>
    <cellStyle name="Обычный 27 2 17 2" xfId="13389"/>
    <cellStyle name="Обычный 27 2 17 3" xfId="13390"/>
    <cellStyle name="Обычный 27 2 18" xfId="13391"/>
    <cellStyle name="Обычный 27 2 18 2" xfId="13392"/>
    <cellStyle name="Обычный 27 2 18 3" xfId="13393"/>
    <cellStyle name="Обычный 27 2 19" xfId="13394"/>
    <cellStyle name="Обычный 27 2 19 2" xfId="13395"/>
    <cellStyle name="Обычный 27 2 19 3" xfId="13396"/>
    <cellStyle name="Обычный 27 2 2" xfId="13397"/>
    <cellStyle name="Обычный 27 2 2 10" xfId="13398"/>
    <cellStyle name="Обычный 27 2 2 11" xfId="13399"/>
    <cellStyle name="Обычный 27 2 2 12" xfId="13400"/>
    <cellStyle name="Обычный 27 2 2 13" xfId="13401"/>
    <cellStyle name="Обычный 27 2 2 14" xfId="13402"/>
    <cellStyle name="Обычный 27 2 2 15" xfId="13403"/>
    <cellStyle name="Обычный 27 2 2 16" xfId="13404"/>
    <cellStyle name="Обычный 27 2 2 17" xfId="13405"/>
    <cellStyle name="Обычный 27 2 2 18" xfId="13406"/>
    <cellStyle name="Обычный 27 2 2 19" xfId="13407"/>
    <cellStyle name="Обычный 27 2 2 2" xfId="13408"/>
    <cellStyle name="Обычный 27 2 2 20" xfId="13409"/>
    <cellStyle name="Обычный 27 2 2 21" xfId="13410"/>
    <cellStyle name="Обычный 27 2 2 22" xfId="13411"/>
    <cellStyle name="Обычный 27 2 2 23" xfId="13412"/>
    <cellStyle name="Обычный 27 2 2 24" xfId="13413"/>
    <cellStyle name="Обычный 27 2 2 25" xfId="13414"/>
    <cellStyle name="Обычный 27 2 2 26" xfId="13415"/>
    <cellStyle name="Обычный 27 2 2 27" xfId="13416"/>
    <cellStyle name="Обычный 27 2 2 28" xfId="13417"/>
    <cellStyle name="Обычный 27 2 2 29" xfId="13418"/>
    <cellStyle name="Обычный 27 2 2 3" xfId="13419"/>
    <cellStyle name="Обычный 27 2 2 30" xfId="13420"/>
    <cellStyle name="Обычный 27 2 2 31" xfId="13421"/>
    <cellStyle name="Обычный 27 2 2 32" xfId="13422"/>
    <cellStyle name="Обычный 27 2 2 33" xfId="13423"/>
    <cellStyle name="Обычный 27 2 2 34" xfId="13424"/>
    <cellStyle name="Обычный 27 2 2 35" xfId="13425"/>
    <cellStyle name="Обычный 27 2 2 36" xfId="13426"/>
    <cellStyle name="Обычный 27 2 2 37" xfId="13427"/>
    <cellStyle name="Обычный 27 2 2 38" xfId="13428"/>
    <cellStyle name="Обычный 27 2 2 39" xfId="13429"/>
    <cellStyle name="Обычный 27 2 2 4" xfId="13430"/>
    <cellStyle name="Обычный 27 2 2 40" xfId="13431"/>
    <cellStyle name="Обычный 27 2 2 41" xfId="13432"/>
    <cellStyle name="Обычный 27 2 2 42" xfId="13433"/>
    <cellStyle name="Обычный 27 2 2 43" xfId="13434"/>
    <cellStyle name="Обычный 27 2 2 44" xfId="13435"/>
    <cellStyle name="Обычный 27 2 2 45" xfId="13436"/>
    <cellStyle name="Обычный 27 2 2 46" xfId="13437"/>
    <cellStyle name="Обычный 27 2 2 47" xfId="13438"/>
    <cellStyle name="Обычный 27 2 2 48" xfId="13439"/>
    <cellStyle name="Обычный 27 2 2 49" xfId="13440"/>
    <cellStyle name="Обычный 27 2 2 5" xfId="13441"/>
    <cellStyle name="Обычный 27 2 2 50" xfId="13442"/>
    <cellStyle name="Обычный 27 2 2 51" xfId="13443"/>
    <cellStyle name="Обычный 27 2 2 52" xfId="13444"/>
    <cellStyle name="Обычный 27 2 2 53" xfId="13445"/>
    <cellStyle name="Обычный 27 2 2 54" xfId="13446"/>
    <cellStyle name="Обычный 27 2 2 55" xfId="13447"/>
    <cellStyle name="Обычный 27 2 2 56" xfId="13448"/>
    <cellStyle name="Обычный 27 2 2 57" xfId="13449"/>
    <cellStyle name="Обычный 27 2 2 58" xfId="13450"/>
    <cellStyle name="Обычный 27 2 2 59" xfId="13451"/>
    <cellStyle name="Обычный 27 2 2 6" xfId="13452"/>
    <cellStyle name="Обычный 27 2 2 7" xfId="13453"/>
    <cellStyle name="Обычный 27 2 2 8" xfId="13454"/>
    <cellStyle name="Обычный 27 2 2 9" xfId="13455"/>
    <cellStyle name="Обычный 27 2 20" xfId="13456"/>
    <cellStyle name="Обычный 27 2 20 2" xfId="13457"/>
    <cellStyle name="Обычный 27 2 20 3" xfId="13458"/>
    <cellStyle name="Обычный 27 2 21" xfId="13459"/>
    <cellStyle name="Обычный 27 2 21 2" xfId="13460"/>
    <cellStyle name="Обычный 27 2 21 3" xfId="13461"/>
    <cellStyle name="Обычный 27 2 22" xfId="13462"/>
    <cellStyle name="Обычный 27 2 22 2" xfId="13463"/>
    <cellStyle name="Обычный 27 2 22 3" xfId="13464"/>
    <cellStyle name="Обычный 27 2 23" xfId="13465"/>
    <cellStyle name="Обычный 27 2 23 2" xfId="13466"/>
    <cellStyle name="Обычный 27 2 23 3" xfId="13467"/>
    <cellStyle name="Обычный 27 2 24" xfId="13468"/>
    <cellStyle name="Обычный 27 2 24 2" xfId="13469"/>
    <cellStyle name="Обычный 27 2 24 3" xfId="13470"/>
    <cellStyle name="Обычный 27 2 25" xfId="13471"/>
    <cellStyle name="Обычный 27 2 25 2" xfId="13472"/>
    <cellStyle name="Обычный 27 2 25 3" xfId="13473"/>
    <cellStyle name="Обычный 27 2 26" xfId="13474"/>
    <cellStyle name="Обычный 27 2 26 2" xfId="13475"/>
    <cellStyle name="Обычный 27 2 26 3" xfId="13476"/>
    <cellStyle name="Обычный 27 2 27" xfId="13477"/>
    <cellStyle name="Обычный 27 2 27 2" xfId="13478"/>
    <cellStyle name="Обычный 27 2 27 3" xfId="13479"/>
    <cellStyle name="Обычный 27 2 28" xfId="13480"/>
    <cellStyle name="Обычный 27 2 28 2" xfId="13481"/>
    <cellStyle name="Обычный 27 2 28 3" xfId="13482"/>
    <cellStyle name="Обычный 27 2 29" xfId="13483"/>
    <cellStyle name="Обычный 27 2 29 2" xfId="13484"/>
    <cellStyle name="Обычный 27 2 29 3" xfId="13485"/>
    <cellStyle name="Обычный 27 2 3" xfId="13486"/>
    <cellStyle name="Обычный 27 2 30" xfId="13487"/>
    <cellStyle name="Обычный 27 2 30 2" xfId="13488"/>
    <cellStyle name="Обычный 27 2 30 3" xfId="13489"/>
    <cellStyle name="Обычный 27 2 31" xfId="13490"/>
    <cellStyle name="Обычный 27 2 31 2" xfId="13491"/>
    <cellStyle name="Обычный 27 2 31 3" xfId="13492"/>
    <cellStyle name="Обычный 27 2 32" xfId="13493"/>
    <cellStyle name="Обычный 27 2 32 2" xfId="13494"/>
    <cellStyle name="Обычный 27 2 32 3" xfId="13495"/>
    <cellStyle name="Обычный 27 2 33" xfId="13496"/>
    <cellStyle name="Обычный 27 2 33 2" xfId="13497"/>
    <cellStyle name="Обычный 27 2 33 3" xfId="13498"/>
    <cellStyle name="Обычный 27 2 34" xfId="13499"/>
    <cellStyle name="Обычный 27 2 34 2" xfId="13500"/>
    <cellStyle name="Обычный 27 2 34 3" xfId="13501"/>
    <cellStyle name="Обычный 27 2 35" xfId="13502"/>
    <cellStyle name="Обычный 27 2 35 2" xfId="13503"/>
    <cellStyle name="Обычный 27 2 35 3" xfId="13504"/>
    <cellStyle name="Обычный 27 2 36" xfId="13505"/>
    <cellStyle name="Обычный 27 2 36 2" xfId="13506"/>
    <cellStyle name="Обычный 27 2 36 3" xfId="13507"/>
    <cellStyle name="Обычный 27 2 37" xfId="13508"/>
    <cellStyle name="Обычный 27 2 37 2" xfId="13509"/>
    <cellStyle name="Обычный 27 2 37 3" xfId="13510"/>
    <cellStyle name="Обычный 27 2 38" xfId="13511"/>
    <cellStyle name="Обычный 27 2 38 2" xfId="13512"/>
    <cellStyle name="Обычный 27 2 38 3" xfId="13513"/>
    <cellStyle name="Обычный 27 2 39" xfId="13514"/>
    <cellStyle name="Обычный 27 2 39 2" xfId="13515"/>
    <cellStyle name="Обычный 27 2 39 3" xfId="13516"/>
    <cellStyle name="Обычный 27 2 4" xfId="13517"/>
    <cellStyle name="Обычный 27 2 40" xfId="13518"/>
    <cellStyle name="Обычный 27 2 40 2" xfId="13519"/>
    <cellStyle name="Обычный 27 2 40 3" xfId="13520"/>
    <cellStyle name="Обычный 27 2 41" xfId="13521"/>
    <cellStyle name="Обычный 27 2 41 2" xfId="13522"/>
    <cellStyle name="Обычный 27 2 41 3" xfId="13523"/>
    <cellStyle name="Обычный 27 2 42" xfId="13524"/>
    <cellStyle name="Обычный 27 2 42 2" xfId="13525"/>
    <cellStyle name="Обычный 27 2 42 3" xfId="13526"/>
    <cellStyle name="Обычный 27 2 43" xfId="13527"/>
    <cellStyle name="Обычный 27 2 43 2" xfId="13528"/>
    <cellStyle name="Обычный 27 2 43 3" xfId="13529"/>
    <cellStyle name="Обычный 27 2 44" xfId="13530"/>
    <cellStyle name="Обычный 27 2 44 2" xfId="13531"/>
    <cellStyle name="Обычный 27 2 44 3" xfId="13532"/>
    <cellStyle name="Обычный 27 2 45" xfId="13533"/>
    <cellStyle name="Обычный 27 2 45 2" xfId="13534"/>
    <cellStyle name="Обычный 27 2 45 3" xfId="13535"/>
    <cellStyle name="Обычный 27 2 46" xfId="13536"/>
    <cellStyle name="Обычный 27 2 46 2" xfId="13537"/>
    <cellStyle name="Обычный 27 2 46 3" xfId="13538"/>
    <cellStyle name="Обычный 27 2 47" xfId="13539"/>
    <cellStyle name="Обычный 27 2 47 2" xfId="13540"/>
    <cellStyle name="Обычный 27 2 47 3" xfId="13541"/>
    <cellStyle name="Обычный 27 2 48" xfId="13542"/>
    <cellStyle name="Обычный 27 2 48 2" xfId="13543"/>
    <cellStyle name="Обычный 27 2 48 3" xfId="13544"/>
    <cellStyle name="Обычный 27 2 49" xfId="13545"/>
    <cellStyle name="Обычный 27 2 49 2" xfId="13546"/>
    <cellStyle name="Обычный 27 2 49 3" xfId="13547"/>
    <cellStyle name="Обычный 27 2 5" xfId="13548"/>
    <cellStyle name="Обычный 27 2 5 2" xfId="13549"/>
    <cellStyle name="Обычный 27 2 5 3" xfId="13550"/>
    <cellStyle name="Обычный 27 2 50" xfId="13551"/>
    <cellStyle name="Обычный 27 2 50 2" xfId="13552"/>
    <cellStyle name="Обычный 27 2 50 3" xfId="13553"/>
    <cellStyle name="Обычный 27 2 51" xfId="13554"/>
    <cellStyle name="Обычный 27 2 51 2" xfId="13555"/>
    <cellStyle name="Обычный 27 2 51 3" xfId="13556"/>
    <cellStyle name="Обычный 27 2 52" xfId="13557"/>
    <cellStyle name="Обычный 27 2 52 2" xfId="13558"/>
    <cellStyle name="Обычный 27 2 52 3" xfId="13559"/>
    <cellStyle name="Обычный 27 2 53" xfId="13560"/>
    <cellStyle name="Обычный 27 2 53 2" xfId="13561"/>
    <cellStyle name="Обычный 27 2 53 3" xfId="13562"/>
    <cellStyle name="Обычный 27 2 54" xfId="13563"/>
    <cellStyle name="Обычный 27 2 54 2" xfId="13564"/>
    <cellStyle name="Обычный 27 2 54 3" xfId="13565"/>
    <cellStyle name="Обычный 27 2 55" xfId="13566"/>
    <cellStyle name="Обычный 27 2 55 2" xfId="13567"/>
    <cellStyle name="Обычный 27 2 55 3" xfId="13568"/>
    <cellStyle name="Обычный 27 2 56" xfId="13569"/>
    <cellStyle name="Обычный 27 2 56 2" xfId="13570"/>
    <cellStyle name="Обычный 27 2 56 3" xfId="13571"/>
    <cellStyle name="Обычный 27 2 57" xfId="13572"/>
    <cellStyle name="Обычный 27 2 57 2" xfId="13573"/>
    <cellStyle name="Обычный 27 2 57 3" xfId="13574"/>
    <cellStyle name="Обычный 27 2 58" xfId="13575"/>
    <cellStyle name="Обычный 27 2 58 2" xfId="13576"/>
    <cellStyle name="Обычный 27 2 58 3" xfId="13577"/>
    <cellStyle name="Обычный 27 2 59" xfId="13578"/>
    <cellStyle name="Обычный 27 2 59 2" xfId="13579"/>
    <cellStyle name="Обычный 27 2 59 3" xfId="13580"/>
    <cellStyle name="Обычный 27 2 6" xfId="13581"/>
    <cellStyle name="Обычный 27 2 6 2" xfId="13582"/>
    <cellStyle name="Обычный 27 2 6 3" xfId="13583"/>
    <cellStyle name="Обычный 27 2 7" xfId="13584"/>
    <cellStyle name="Обычный 27 2 7 2" xfId="13585"/>
    <cellStyle name="Обычный 27 2 7 3" xfId="13586"/>
    <cellStyle name="Обычный 27 2 8" xfId="13587"/>
    <cellStyle name="Обычный 27 2 8 2" xfId="13588"/>
    <cellStyle name="Обычный 27 2 8 3" xfId="13589"/>
    <cellStyle name="Обычный 27 2 9" xfId="13590"/>
    <cellStyle name="Обычный 27 2 9 2" xfId="13591"/>
    <cellStyle name="Обычный 27 2 9 3" xfId="13592"/>
    <cellStyle name="Обычный 27 3" xfId="13593"/>
    <cellStyle name="Обычный 27 4" xfId="13594"/>
    <cellStyle name="Обычный 27 5" xfId="13595"/>
    <cellStyle name="Обычный 27 6" xfId="13596"/>
    <cellStyle name="Обычный 27 7" xfId="13597"/>
    <cellStyle name="Обычный 27 8" xfId="13598"/>
    <cellStyle name="Обычный 27 8 2" xfId="13599"/>
    <cellStyle name="Обычный 27 8 3" xfId="13600"/>
    <cellStyle name="Обычный 27 9" xfId="13601"/>
    <cellStyle name="Обычный 27 9 2" xfId="13602"/>
    <cellStyle name="Обычный 27 9 3" xfId="13603"/>
    <cellStyle name="Обычный 28" xfId="13604"/>
    <cellStyle name="Обычный 28 2" xfId="13605"/>
    <cellStyle name="Обычный 28 3" xfId="13606"/>
    <cellStyle name="Обычный 28 4" xfId="13607"/>
    <cellStyle name="Обычный 29" xfId="13608"/>
    <cellStyle name="Обычный 29 2" xfId="13609"/>
    <cellStyle name="Обычный 29 3" xfId="13610"/>
    <cellStyle name="Обычный 3" xfId="107"/>
    <cellStyle name="Обычный 3 2" xfId="108"/>
    <cellStyle name="Обычный 3 3" xfId="109"/>
    <cellStyle name="Обычный 3 4" xfId="110"/>
    <cellStyle name="Обычный 3 5" xfId="32656"/>
    <cellStyle name="Обычный 30" xfId="13611"/>
    <cellStyle name="Обычный 30 10" xfId="13612"/>
    <cellStyle name="Обычный 30 11" xfId="13613"/>
    <cellStyle name="Обычный 30 12" xfId="13614"/>
    <cellStyle name="Обычный 30 13" xfId="13615"/>
    <cellStyle name="Обычный 30 14" xfId="13616"/>
    <cellStyle name="Обычный 30 15" xfId="13617"/>
    <cellStyle name="Обычный 30 16" xfId="13618"/>
    <cellStyle name="Обычный 30 17" xfId="13619"/>
    <cellStyle name="Обычный 30 18" xfId="13620"/>
    <cellStyle name="Обычный 30 19" xfId="13621"/>
    <cellStyle name="Обычный 30 2" xfId="13622"/>
    <cellStyle name="Обычный 30 20" xfId="13623"/>
    <cellStyle name="Обычный 30 21" xfId="13624"/>
    <cellStyle name="Обычный 30 22" xfId="13625"/>
    <cellStyle name="Обычный 30 23" xfId="13626"/>
    <cellStyle name="Обычный 30 24" xfId="13627"/>
    <cellStyle name="Обычный 30 25" xfId="13628"/>
    <cellStyle name="Обычный 30 26" xfId="13629"/>
    <cellStyle name="Обычный 30 27" xfId="13630"/>
    <cellStyle name="Обычный 30 28" xfId="13631"/>
    <cellStyle name="Обычный 30 29" xfId="13632"/>
    <cellStyle name="Обычный 30 3" xfId="13633"/>
    <cellStyle name="Обычный 30 30" xfId="13634"/>
    <cellStyle name="Обычный 30 31" xfId="13635"/>
    <cellStyle name="Обычный 30 32" xfId="13636"/>
    <cellStyle name="Обычный 30 33" xfId="13637"/>
    <cellStyle name="Обычный 30 34" xfId="13638"/>
    <cellStyle name="Обычный 30 35" xfId="13639"/>
    <cellStyle name="Обычный 30 36" xfId="13640"/>
    <cellStyle name="Обычный 30 37" xfId="13641"/>
    <cellStyle name="Обычный 30 38" xfId="13642"/>
    <cellStyle name="Обычный 30 39" xfId="13643"/>
    <cellStyle name="Обычный 30 4" xfId="13644"/>
    <cellStyle name="Обычный 30 40" xfId="13645"/>
    <cellStyle name="Обычный 30 41" xfId="13646"/>
    <cellStyle name="Обычный 30 42" xfId="13647"/>
    <cellStyle name="Обычный 30 43" xfId="13648"/>
    <cellStyle name="Обычный 30 44" xfId="13649"/>
    <cellStyle name="Обычный 30 45" xfId="13650"/>
    <cellStyle name="Обычный 30 46" xfId="13651"/>
    <cellStyle name="Обычный 30 47" xfId="13652"/>
    <cellStyle name="Обычный 30 48" xfId="13653"/>
    <cellStyle name="Обычный 30 49" xfId="13654"/>
    <cellStyle name="Обычный 30 5" xfId="13655"/>
    <cellStyle name="Обычный 30 50" xfId="13656"/>
    <cellStyle name="Обычный 30 51" xfId="13657"/>
    <cellStyle name="Обычный 30 52" xfId="13658"/>
    <cellStyle name="Обычный 30 53" xfId="13659"/>
    <cellStyle name="Обычный 30 54" xfId="13660"/>
    <cellStyle name="Обычный 30 55" xfId="13661"/>
    <cellStyle name="Обычный 30 56" xfId="13662"/>
    <cellStyle name="Обычный 30 57" xfId="13663"/>
    <cellStyle name="Обычный 30 58" xfId="13664"/>
    <cellStyle name="Обычный 30 59" xfId="13665"/>
    <cellStyle name="Обычный 30 6" xfId="13666"/>
    <cellStyle name="Обычный 30 7" xfId="13667"/>
    <cellStyle name="Обычный 30 8" xfId="13668"/>
    <cellStyle name="Обычный 30 9" xfId="13669"/>
    <cellStyle name="Обычный 31" xfId="13670"/>
    <cellStyle name="Обычный 31 10" xfId="13671"/>
    <cellStyle name="Обычный 31 11" xfId="13672"/>
    <cellStyle name="Обычный 31 12" xfId="13673"/>
    <cellStyle name="Обычный 31 13" xfId="13674"/>
    <cellStyle name="Обычный 31 14" xfId="13675"/>
    <cellStyle name="Обычный 31 15" xfId="13676"/>
    <cellStyle name="Обычный 31 16" xfId="13677"/>
    <cellStyle name="Обычный 31 17" xfId="13678"/>
    <cellStyle name="Обычный 31 18" xfId="13679"/>
    <cellStyle name="Обычный 31 19" xfId="13680"/>
    <cellStyle name="Обычный 31 2" xfId="13681"/>
    <cellStyle name="Обычный 31 20" xfId="13682"/>
    <cellStyle name="Обычный 31 21" xfId="13683"/>
    <cellStyle name="Обычный 31 22" xfId="13684"/>
    <cellStyle name="Обычный 31 23" xfId="13685"/>
    <cellStyle name="Обычный 31 24" xfId="13686"/>
    <cellStyle name="Обычный 31 25" xfId="13687"/>
    <cellStyle name="Обычный 31 26" xfId="13688"/>
    <cellStyle name="Обычный 31 27" xfId="13689"/>
    <cellStyle name="Обычный 31 28" xfId="13690"/>
    <cellStyle name="Обычный 31 29" xfId="13691"/>
    <cellStyle name="Обычный 31 3" xfId="13692"/>
    <cellStyle name="Обычный 31 30" xfId="13693"/>
    <cellStyle name="Обычный 31 31" xfId="13694"/>
    <cellStyle name="Обычный 31 32" xfId="13695"/>
    <cellStyle name="Обычный 31 33" xfId="13696"/>
    <cellStyle name="Обычный 31 34" xfId="13697"/>
    <cellStyle name="Обычный 31 35" xfId="13698"/>
    <cellStyle name="Обычный 31 36" xfId="13699"/>
    <cellStyle name="Обычный 31 37" xfId="13700"/>
    <cellStyle name="Обычный 31 38" xfId="13701"/>
    <cellStyle name="Обычный 31 39" xfId="13702"/>
    <cellStyle name="Обычный 31 4" xfId="13703"/>
    <cellStyle name="Обычный 31 40" xfId="13704"/>
    <cellStyle name="Обычный 31 41" xfId="13705"/>
    <cellStyle name="Обычный 31 42" xfId="13706"/>
    <cellStyle name="Обычный 31 43" xfId="13707"/>
    <cellStyle name="Обычный 31 44" xfId="13708"/>
    <cellStyle name="Обычный 31 45" xfId="13709"/>
    <cellStyle name="Обычный 31 46" xfId="13710"/>
    <cellStyle name="Обычный 31 47" xfId="13711"/>
    <cellStyle name="Обычный 31 48" xfId="13712"/>
    <cellStyle name="Обычный 31 49" xfId="13713"/>
    <cellStyle name="Обычный 31 5" xfId="13714"/>
    <cellStyle name="Обычный 31 50" xfId="13715"/>
    <cellStyle name="Обычный 31 51" xfId="13716"/>
    <cellStyle name="Обычный 31 52" xfId="13717"/>
    <cellStyle name="Обычный 31 53" xfId="13718"/>
    <cellStyle name="Обычный 31 54" xfId="13719"/>
    <cellStyle name="Обычный 31 55" xfId="13720"/>
    <cellStyle name="Обычный 31 56" xfId="13721"/>
    <cellStyle name="Обычный 31 57" xfId="13722"/>
    <cellStyle name="Обычный 31 6" xfId="13723"/>
    <cellStyle name="Обычный 31 7" xfId="13724"/>
    <cellStyle name="Обычный 31 8" xfId="13725"/>
    <cellStyle name="Обычный 31 9" xfId="13726"/>
    <cellStyle name="Обычный 32" xfId="111"/>
    <cellStyle name="Обычный 32 10" xfId="13727"/>
    <cellStyle name="Обычный 32 11" xfId="13728"/>
    <cellStyle name="Обычный 32 12" xfId="13729"/>
    <cellStyle name="Обычный 32 13" xfId="13730"/>
    <cellStyle name="Обычный 32 14" xfId="13731"/>
    <cellStyle name="Обычный 32 15" xfId="13732"/>
    <cellStyle name="Обычный 32 16" xfId="13733"/>
    <cellStyle name="Обычный 32 17" xfId="13734"/>
    <cellStyle name="Обычный 32 18" xfId="13735"/>
    <cellStyle name="Обычный 32 19" xfId="13736"/>
    <cellStyle name="Обычный 32 2" xfId="13737"/>
    <cellStyle name="Обычный 32 20" xfId="13738"/>
    <cellStyle name="Обычный 32 21" xfId="13739"/>
    <cellStyle name="Обычный 32 22" xfId="13740"/>
    <cellStyle name="Обычный 32 23" xfId="13741"/>
    <cellStyle name="Обычный 32 24" xfId="13742"/>
    <cellStyle name="Обычный 32 25" xfId="13743"/>
    <cellStyle name="Обычный 32 26" xfId="13744"/>
    <cellStyle name="Обычный 32 27" xfId="13745"/>
    <cellStyle name="Обычный 32 28" xfId="13746"/>
    <cellStyle name="Обычный 32 29" xfId="13747"/>
    <cellStyle name="Обычный 32 3" xfId="13748"/>
    <cellStyle name="Обычный 32 30" xfId="13749"/>
    <cellStyle name="Обычный 32 31" xfId="13750"/>
    <cellStyle name="Обычный 32 32" xfId="13751"/>
    <cellStyle name="Обычный 32 33" xfId="13752"/>
    <cellStyle name="Обычный 32 34" xfId="13753"/>
    <cellStyle name="Обычный 32 35" xfId="13754"/>
    <cellStyle name="Обычный 32 36" xfId="13755"/>
    <cellStyle name="Обычный 32 37" xfId="13756"/>
    <cellStyle name="Обычный 32 38" xfId="13757"/>
    <cellStyle name="Обычный 32 39" xfId="13758"/>
    <cellStyle name="Обычный 32 4" xfId="13759"/>
    <cellStyle name="Обычный 32 40" xfId="13760"/>
    <cellStyle name="Обычный 32 41" xfId="13761"/>
    <cellStyle name="Обычный 32 42" xfId="13762"/>
    <cellStyle name="Обычный 32 43" xfId="13763"/>
    <cellStyle name="Обычный 32 44" xfId="13764"/>
    <cellStyle name="Обычный 32 45" xfId="13765"/>
    <cellStyle name="Обычный 32 46" xfId="13766"/>
    <cellStyle name="Обычный 32 47" xfId="13767"/>
    <cellStyle name="Обычный 32 48" xfId="13768"/>
    <cellStyle name="Обычный 32 49" xfId="13769"/>
    <cellStyle name="Обычный 32 5" xfId="13770"/>
    <cellStyle name="Обычный 32 50" xfId="13771"/>
    <cellStyle name="Обычный 32 51" xfId="13772"/>
    <cellStyle name="Обычный 32 52" xfId="13773"/>
    <cellStyle name="Обычный 32 53" xfId="13774"/>
    <cellStyle name="Обычный 32 54" xfId="13775"/>
    <cellStyle name="Обычный 32 55" xfId="13776"/>
    <cellStyle name="Обычный 32 56" xfId="13777"/>
    <cellStyle name="Обычный 32 57" xfId="13778"/>
    <cellStyle name="Обычный 32 6" xfId="13779"/>
    <cellStyle name="Обычный 32 7" xfId="13780"/>
    <cellStyle name="Обычный 32 8" xfId="13781"/>
    <cellStyle name="Обычный 32 9" xfId="13782"/>
    <cellStyle name="Обычный 33" xfId="13783"/>
    <cellStyle name="Обычный 33 10" xfId="13784"/>
    <cellStyle name="Обычный 33 10 2" xfId="13785"/>
    <cellStyle name="Обычный 33 10 3" xfId="13786"/>
    <cellStyle name="Обычный 33 11" xfId="13787"/>
    <cellStyle name="Обычный 33 11 2" xfId="13788"/>
    <cellStyle name="Обычный 33 11 3" xfId="13789"/>
    <cellStyle name="Обычный 33 12" xfId="13790"/>
    <cellStyle name="Обычный 33 12 2" xfId="13791"/>
    <cellStyle name="Обычный 33 12 3" xfId="13792"/>
    <cellStyle name="Обычный 33 13" xfId="13793"/>
    <cellStyle name="Обычный 33 13 2" xfId="13794"/>
    <cellStyle name="Обычный 33 13 3" xfId="13795"/>
    <cellStyle name="Обычный 33 14" xfId="13796"/>
    <cellStyle name="Обычный 33 14 2" xfId="13797"/>
    <cellStyle name="Обычный 33 14 3" xfId="13798"/>
    <cellStyle name="Обычный 33 15" xfId="13799"/>
    <cellStyle name="Обычный 33 15 2" xfId="13800"/>
    <cellStyle name="Обычный 33 15 3" xfId="13801"/>
    <cellStyle name="Обычный 33 16" xfId="13802"/>
    <cellStyle name="Обычный 33 16 2" xfId="13803"/>
    <cellStyle name="Обычный 33 16 3" xfId="13804"/>
    <cellStyle name="Обычный 33 17" xfId="13805"/>
    <cellStyle name="Обычный 33 17 2" xfId="13806"/>
    <cellStyle name="Обычный 33 17 3" xfId="13807"/>
    <cellStyle name="Обычный 33 18" xfId="13808"/>
    <cellStyle name="Обычный 33 18 2" xfId="13809"/>
    <cellStyle name="Обычный 33 18 3" xfId="13810"/>
    <cellStyle name="Обычный 33 19" xfId="13811"/>
    <cellStyle name="Обычный 33 19 2" xfId="13812"/>
    <cellStyle name="Обычный 33 19 3" xfId="13813"/>
    <cellStyle name="Обычный 33 2" xfId="13814"/>
    <cellStyle name="Обычный 33 2 2" xfId="13815"/>
    <cellStyle name="Обычный 33 2 3" xfId="13816"/>
    <cellStyle name="Обычный 33 20" xfId="13817"/>
    <cellStyle name="Обычный 33 20 2" xfId="13818"/>
    <cellStyle name="Обычный 33 20 3" xfId="13819"/>
    <cellStyle name="Обычный 33 21" xfId="13820"/>
    <cellStyle name="Обычный 33 21 2" xfId="13821"/>
    <cellStyle name="Обычный 33 21 3" xfId="13822"/>
    <cellStyle name="Обычный 33 22" xfId="13823"/>
    <cellStyle name="Обычный 33 22 2" xfId="13824"/>
    <cellStyle name="Обычный 33 22 3" xfId="13825"/>
    <cellStyle name="Обычный 33 23" xfId="13826"/>
    <cellStyle name="Обычный 33 23 2" xfId="13827"/>
    <cellStyle name="Обычный 33 23 3" xfId="13828"/>
    <cellStyle name="Обычный 33 24" xfId="13829"/>
    <cellStyle name="Обычный 33 24 2" xfId="13830"/>
    <cellStyle name="Обычный 33 24 3" xfId="13831"/>
    <cellStyle name="Обычный 33 25" xfId="13832"/>
    <cellStyle name="Обычный 33 25 2" xfId="13833"/>
    <cellStyle name="Обычный 33 25 3" xfId="13834"/>
    <cellStyle name="Обычный 33 26" xfId="13835"/>
    <cellStyle name="Обычный 33 26 2" xfId="13836"/>
    <cellStyle name="Обычный 33 26 3" xfId="13837"/>
    <cellStyle name="Обычный 33 27" xfId="13838"/>
    <cellStyle name="Обычный 33 27 2" xfId="13839"/>
    <cellStyle name="Обычный 33 27 3" xfId="13840"/>
    <cellStyle name="Обычный 33 28" xfId="13841"/>
    <cellStyle name="Обычный 33 28 2" xfId="13842"/>
    <cellStyle name="Обычный 33 28 3" xfId="13843"/>
    <cellStyle name="Обычный 33 29" xfId="13844"/>
    <cellStyle name="Обычный 33 29 2" xfId="13845"/>
    <cellStyle name="Обычный 33 29 3" xfId="13846"/>
    <cellStyle name="Обычный 33 3" xfId="13847"/>
    <cellStyle name="Обычный 33 3 2" xfId="13848"/>
    <cellStyle name="Обычный 33 3 3" xfId="13849"/>
    <cellStyle name="Обычный 33 30" xfId="13850"/>
    <cellStyle name="Обычный 33 30 2" xfId="13851"/>
    <cellStyle name="Обычный 33 30 3" xfId="13852"/>
    <cellStyle name="Обычный 33 31" xfId="13853"/>
    <cellStyle name="Обычный 33 31 2" xfId="13854"/>
    <cellStyle name="Обычный 33 31 3" xfId="13855"/>
    <cellStyle name="Обычный 33 32" xfId="13856"/>
    <cellStyle name="Обычный 33 32 2" xfId="13857"/>
    <cellStyle name="Обычный 33 32 3" xfId="13858"/>
    <cellStyle name="Обычный 33 33" xfId="13859"/>
    <cellStyle name="Обычный 33 33 2" xfId="13860"/>
    <cellStyle name="Обычный 33 33 3" xfId="13861"/>
    <cellStyle name="Обычный 33 34" xfId="13862"/>
    <cellStyle name="Обычный 33 34 2" xfId="13863"/>
    <cellStyle name="Обычный 33 34 3" xfId="13864"/>
    <cellStyle name="Обычный 33 35" xfId="13865"/>
    <cellStyle name="Обычный 33 35 2" xfId="13866"/>
    <cellStyle name="Обычный 33 35 3" xfId="13867"/>
    <cellStyle name="Обычный 33 36" xfId="13868"/>
    <cellStyle name="Обычный 33 36 2" xfId="13869"/>
    <cellStyle name="Обычный 33 36 3" xfId="13870"/>
    <cellStyle name="Обычный 33 37" xfId="13871"/>
    <cellStyle name="Обычный 33 37 2" xfId="13872"/>
    <cellStyle name="Обычный 33 37 3" xfId="13873"/>
    <cellStyle name="Обычный 33 38" xfId="13874"/>
    <cellStyle name="Обычный 33 38 2" xfId="13875"/>
    <cellStyle name="Обычный 33 38 3" xfId="13876"/>
    <cellStyle name="Обычный 33 39" xfId="13877"/>
    <cellStyle name="Обычный 33 39 2" xfId="13878"/>
    <cellStyle name="Обычный 33 39 3" xfId="13879"/>
    <cellStyle name="Обычный 33 4" xfId="13880"/>
    <cellStyle name="Обычный 33 4 2" xfId="13881"/>
    <cellStyle name="Обычный 33 4 3" xfId="13882"/>
    <cellStyle name="Обычный 33 40" xfId="13883"/>
    <cellStyle name="Обычный 33 40 2" xfId="13884"/>
    <cellStyle name="Обычный 33 40 3" xfId="13885"/>
    <cellStyle name="Обычный 33 41" xfId="13886"/>
    <cellStyle name="Обычный 33 41 2" xfId="13887"/>
    <cellStyle name="Обычный 33 41 3" xfId="13888"/>
    <cellStyle name="Обычный 33 42" xfId="13889"/>
    <cellStyle name="Обычный 33 42 2" xfId="13890"/>
    <cellStyle name="Обычный 33 42 3" xfId="13891"/>
    <cellStyle name="Обычный 33 43" xfId="13892"/>
    <cellStyle name="Обычный 33 43 2" xfId="13893"/>
    <cellStyle name="Обычный 33 43 3" xfId="13894"/>
    <cellStyle name="Обычный 33 44" xfId="13895"/>
    <cellStyle name="Обычный 33 44 2" xfId="13896"/>
    <cellStyle name="Обычный 33 44 3" xfId="13897"/>
    <cellStyle name="Обычный 33 45" xfId="13898"/>
    <cellStyle name="Обычный 33 45 2" xfId="13899"/>
    <cellStyle name="Обычный 33 45 3" xfId="13900"/>
    <cellStyle name="Обычный 33 46" xfId="13901"/>
    <cellStyle name="Обычный 33 46 2" xfId="13902"/>
    <cellStyle name="Обычный 33 46 3" xfId="13903"/>
    <cellStyle name="Обычный 33 47" xfId="13904"/>
    <cellStyle name="Обычный 33 47 2" xfId="13905"/>
    <cellStyle name="Обычный 33 47 3" xfId="13906"/>
    <cellStyle name="Обычный 33 48" xfId="13907"/>
    <cellStyle name="Обычный 33 48 2" xfId="13908"/>
    <cellStyle name="Обычный 33 48 3" xfId="13909"/>
    <cellStyle name="Обычный 33 49" xfId="13910"/>
    <cellStyle name="Обычный 33 49 2" xfId="13911"/>
    <cellStyle name="Обычный 33 49 3" xfId="13912"/>
    <cellStyle name="Обычный 33 5" xfId="13913"/>
    <cellStyle name="Обычный 33 5 2" xfId="13914"/>
    <cellStyle name="Обычный 33 5 3" xfId="13915"/>
    <cellStyle name="Обычный 33 50" xfId="13916"/>
    <cellStyle name="Обычный 33 50 2" xfId="13917"/>
    <cellStyle name="Обычный 33 50 3" xfId="13918"/>
    <cellStyle name="Обычный 33 51" xfId="13919"/>
    <cellStyle name="Обычный 33 51 2" xfId="13920"/>
    <cellStyle name="Обычный 33 51 3" xfId="13921"/>
    <cellStyle name="Обычный 33 52" xfId="13922"/>
    <cellStyle name="Обычный 33 52 2" xfId="13923"/>
    <cellStyle name="Обычный 33 52 3" xfId="13924"/>
    <cellStyle name="Обычный 33 53" xfId="13925"/>
    <cellStyle name="Обычный 33 53 2" xfId="13926"/>
    <cellStyle name="Обычный 33 53 3" xfId="13927"/>
    <cellStyle name="Обычный 33 54" xfId="13928"/>
    <cellStyle name="Обычный 33 54 2" xfId="13929"/>
    <cellStyle name="Обычный 33 54 3" xfId="13930"/>
    <cellStyle name="Обычный 33 55" xfId="13931"/>
    <cellStyle name="Обычный 33 55 2" xfId="13932"/>
    <cellStyle name="Обычный 33 55 3" xfId="13933"/>
    <cellStyle name="Обычный 33 56" xfId="13934"/>
    <cellStyle name="Обычный 33 56 2" xfId="13935"/>
    <cellStyle name="Обычный 33 56 3" xfId="13936"/>
    <cellStyle name="Обычный 33 57" xfId="13937"/>
    <cellStyle name="Обычный 33 57 2" xfId="13938"/>
    <cellStyle name="Обычный 33 57 3" xfId="13939"/>
    <cellStyle name="Обычный 33 58" xfId="13940"/>
    <cellStyle name="Обычный 33 59" xfId="13941"/>
    <cellStyle name="Обычный 33 6" xfId="13942"/>
    <cellStyle name="Обычный 33 6 2" xfId="13943"/>
    <cellStyle name="Обычный 33 6 3" xfId="13944"/>
    <cellStyle name="Обычный 33 7" xfId="13945"/>
    <cellStyle name="Обычный 33 7 2" xfId="13946"/>
    <cellStyle name="Обычный 33 7 3" xfId="13947"/>
    <cellStyle name="Обычный 33 8" xfId="13948"/>
    <cellStyle name="Обычный 33 8 2" xfId="13949"/>
    <cellStyle name="Обычный 33 8 3" xfId="13950"/>
    <cellStyle name="Обычный 33 9" xfId="13951"/>
    <cellStyle name="Обычный 33 9 2" xfId="13952"/>
    <cellStyle name="Обычный 33 9 3" xfId="13953"/>
    <cellStyle name="Обычный 34" xfId="13954"/>
    <cellStyle name="Обычный 34 10" xfId="13955"/>
    <cellStyle name="Обычный 34 10 2" xfId="13956"/>
    <cellStyle name="Обычный 34 10 3" xfId="13957"/>
    <cellStyle name="Обычный 34 11" xfId="13958"/>
    <cellStyle name="Обычный 34 11 2" xfId="13959"/>
    <cellStyle name="Обычный 34 11 3" xfId="13960"/>
    <cellStyle name="Обычный 34 12" xfId="13961"/>
    <cellStyle name="Обычный 34 12 2" xfId="13962"/>
    <cellStyle name="Обычный 34 12 3" xfId="13963"/>
    <cellStyle name="Обычный 34 13" xfId="13964"/>
    <cellStyle name="Обычный 34 13 2" xfId="13965"/>
    <cellStyle name="Обычный 34 13 3" xfId="13966"/>
    <cellStyle name="Обычный 34 14" xfId="13967"/>
    <cellStyle name="Обычный 34 14 2" xfId="13968"/>
    <cellStyle name="Обычный 34 14 3" xfId="13969"/>
    <cellStyle name="Обычный 34 15" xfId="13970"/>
    <cellStyle name="Обычный 34 15 2" xfId="13971"/>
    <cellStyle name="Обычный 34 15 3" xfId="13972"/>
    <cellStyle name="Обычный 34 16" xfId="13973"/>
    <cellStyle name="Обычный 34 16 2" xfId="13974"/>
    <cellStyle name="Обычный 34 16 3" xfId="13975"/>
    <cellStyle name="Обычный 34 17" xfId="13976"/>
    <cellStyle name="Обычный 34 17 2" xfId="13977"/>
    <cellStyle name="Обычный 34 17 3" xfId="13978"/>
    <cellStyle name="Обычный 34 18" xfId="13979"/>
    <cellStyle name="Обычный 34 18 2" xfId="13980"/>
    <cellStyle name="Обычный 34 18 3" xfId="13981"/>
    <cellStyle name="Обычный 34 19" xfId="13982"/>
    <cellStyle name="Обычный 34 19 2" xfId="13983"/>
    <cellStyle name="Обычный 34 19 3" xfId="13984"/>
    <cellStyle name="Обычный 34 2" xfId="13985"/>
    <cellStyle name="Обычный 34 2 2" xfId="13986"/>
    <cellStyle name="Обычный 34 2 3" xfId="13987"/>
    <cellStyle name="Обычный 34 20" xfId="13988"/>
    <cellStyle name="Обычный 34 20 2" xfId="13989"/>
    <cellStyle name="Обычный 34 20 3" xfId="13990"/>
    <cellStyle name="Обычный 34 21" xfId="13991"/>
    <cellStyle name="Обычный 34 21 2" xfId="13992"/>
    <cellStyle name="Обычный 34 21 3" xfId="13993"/>
    <cellStyle name="Обычный 34 22" xfId="13994"/>
    <cellStyle name="Обычный 34 22 2" xfId="13995"/>
    <cellStyle name="Обычный 34 22 3" xfId="13996"/>
    <cellStyle name="Обычный 34 23" xfId="13997"/>
    <cellStyle name="Обычный 34 23 2" xfId="13998"/>
    <cellStyle name="Обычный 34 23 3" xfId="13999"/>
    <cellStyle name="Обычный 34 24" xfId="14000"/>
    <cellStyle name="Обычный 34 24 2" xfId="14001"/>
    <cellStyle name="Обычный 34 24 3" xfId="14002"/>
    <cellStyle name="Обычный 34 25" xfId="14003"/>
    <cellStyle name="Обычный 34 25 2" xfId="14004"/>
    <cellStyle name="Обычный 34 25 3" xfId="14005"/>
    <cellStyle name="Обычный 34 26" xfId="14006"/>
    <cellStyle name="Обычный 34 26 2" xfId="14007"/>
    <cellStyle name="Обычный 34 26 3" xfId="14008"/>
    <cellStyle name="Обычный 34 27" xfId="14009"/>
    <cellStyle name="Обычный 34 27 2" xfId="14010"/>
    <cellStyle name="Обычный 34 27 3" xfId="14011"/>
    <cellStyle name="Обычный 34 28" xfId="14012"/>
    <cellStyle name="Обычный 34 28 2" xfId="14013"/>
    <cellStyle name="Обычный 34 28 3" xfId="14014"/>
    <cellStyle name="Обычный 34 29" xfId="14015"/>
    <cellStyle name="Обычный 34 29 2" xfId="14016"/>
    <cellStyle name="Обычный 34 29 3" xfId="14017"/>
    <cellStyle name="Обычный 34 3" xfId="14018"/>
    <cellStyle name="Обычный 34 3 2" xfId="14019"/>
    <cellStyle name="Обычный 34 3 3" xfId="14020"/>
    <cellStyle name="Обычный 34 30" xfId="14021"/>
    <cellStyle name="Обычный 34 30 2" xfId="14022"/>
    <cellStyle name="Обычный 34 30 3" xfId="14023"/>
    <cellStyle name="Обычный 34 31" xfId="14024"/>
    <cellStyle name="Обычный 34 31 2" xfId="14025"/>
    <cellStyle name="Обычный 34 31 3" xfId="14026"/>
    <cellStyle name="Обычный 34 32" xfId="14027"/>
    <cellStyle name="Обычный 34 32 2" xfId="14028"/>
    <cellStyle name="Обычный 34 32 3" xfId="14029"/>
    <cellStyle name="Обычный 34 33" xfId="14030"/>
    <cellStyle name="Обычный 34 33 2" xfId="14031"/>
    <cellStyle name="Обычный 34 33 3" xfId="14032"/>
    <cellStyle name="Обычный 34 34" xfId="14033"/>
    <cellStyle name="Обычный 34 34 2" xfId="14034"/>
    <cellStyle name="Обычный 34 34 3" xfId="14035"/>
    <cellStyle name="Обычный 34 35" xfId="14036"/>
    <cellStyle name="Обычный 34 35 2" xfId="14037"/>
    <cellStyle name="Обычный 34 35 3" xfId="14038"/>
    <cellStyle name="Обычный 34 36" xfId="14039"/>
    <cellStyle name="Обычный 34 36 2" xfId="14040"/>
    <cellStyle name="Обычный 34 36 3" xfId="14041"/>
    <cellStyle name="Обычный 34 37" xfId="14042"/>
    <cellStyle name="Обычный 34 37 2" xfId="14043"/>
    <cellStyle name="Обычный 34 37 3" xfId="14044"/>
    <cellStyle name="Обычный 34 38" xfId="14045"/>
    <cellStyle name="Обычный 34 38 2" xfId="14046"/>
    <cellStyle name="Обычный 34 38 3" xfId="14047"/>
    <cellStyle name="Обычный 34 39" xfId="14048"/>
    <cellStyle name="Обычный 34 39 2" xfId="14049"/>
    <cellStyle name="Обычный 34 39 3" xfId="14050"/>
    <cellStyle name="Обычный 34 4" xfId="14051"/>
    <cellStyle name="Обычный 34 4 2" xfId="14052"/>
    <cellStyle name="Обычный 34 4 3" xfId="14053"/>
    <cellStyle name="Обычный 34 40" xfId="14054"/>
    <cellStyle name="Обычный 34 40 2" xfId="14055"/>
    <cellStyle name="Обычный 34 40 3" xfId="14056"/>
    <cellStyle name="Обычный 34 41" xfId="14057"/>
    <cellStyle name="Обычный 34 41 2" xfId="14058"/>
    <cellStyle name="Обычный 34 41 3" xfId="14059"/>
    <cellStyle name="Обычный 34 42" xfId="14060"/>
    <cellStyle name="Обычный 34 42 2" xfId="14061"/>
    <cellStyle name="Обычный 34 42 3" xfId="14062"/>
    <cellStyle name="Обычный 34 43" xfId="14063"/>
    <cellStyle name="Обычный 34 43 2" xfId="14064"/>
    <cellStyle name="Обычный 34 43 3" xfId="14065"/>
    <cellStyle name="Обычный 34 44" xfId="14066"/>
    <cellStyle name="Обычный 34 44 2" xfId="14067"/>
    <cellStyle name="Обычный 34 44 3" xfId="14068"/>
    <cellStyle name="Обычный 34 45" xfId="14069"/>
    <cellStyle name="Обычный 34 45 2" xfId="14070"/>
    <cellStyle name="Обычный 34 45 3" xfId="14071"/>
    <cellStyle name="Обычный 34 46" xfId="14072"/>
    <cellStyle name="Обычный 34 46 2" xfId="14073"/>
    <cellStyle name="Обычный 34 46 3" xfId="14074"/>
    <cellStyle name="Обычный 34 47" xfId="14075"/>
    <cellStyle name="Обычный 34 47 2" xfId="14076"/>
    <cellStyle name="Обычный 34 47 3" xfId="14077"/>
    <cellStyle name="Обычный 34 48" xfId="14078"/>
    <cellStyle name="Обычный 34 48 2" xfId="14079"/>
    <cellStyle name="Обычный 34 48 3" xfId="14080"/>
    <cellStyle name="Обычный 34 49" xfId="14081"/>
    <cellStyle name="Обычный 34 49 2" xfId="14082"/>
    <cellStyle name="Обычный 34 49 3" xfId="14083"/>
    <cellStyle name="Обычный 34 5" xfId="14084"/>
    <cellStyle name="Обычный 34 5 2" xfId="14085"/>
    <cellStyle name="Обычный 34 5 3" xfId="14086"/>
    <cellStyle name="Обычный 34 50" xfId="14087"/>
    <cellStyle name="Обычный 34 50 2" xfId="14088"/>
    <cellStyle name="Обычный 34 50 3" xfId="14089"/>
    <cellStyle name="Обычный 34 51" xfId="14090"/>
    <cellStyle name="Обычный 34 51 2" xfId="14091"/>
    <cellStyle name="Обычный 34 51 3" xfId="14092"/>
    <cellStyle name="Обычный 34 52" xfId="14093"/>
    <cellStyle name="Обычный 34 52 2" xfId="14094"/>
    <cellStyle name="Обычный 34 52 3" xfId="14095"/>
    <cellStyle name="Обычный 34 53" xfId="14096"/>
    <cellStyle name="Обычный 34 53 2" xfId="14097"/>
    <cellStyle name="Обычный 34 53 3" xfId="14098"/>
    <cellStyle name="Обычный 34 54" xfId="14099"/>
    <cellStyle name="Обычный 34 54 2" xfId="14100"/>
    <cellStyle name="Обычный 34 54 3" xfId="14101"/>
    <cellStyle name="Обычный 34 55" xfId="14102"/>
    <cellStyle name="Обычный 34 55 2" xfId="14103"/>
    <cellStyle name="Обычный 34 55 3" xfId="14104"/>
    <cellStyle name="Обычный 34 56" xfId="14105"/>
    <cellStyle name="Обычный 34 56 2" xfId="14106"/>
    <cellStyle name="Обычный 34 56 3" xfId="14107"/>
    <cellStyle name="Обычный 34 57" xfId="14108"/>
    <cellStyle name="Обычный 34 57 2" xfId="14109"/>
    <cellStyle name="Обычный 34 57 3" xfId="14110"/>
    <cellStyle name="Обычный 34 58" xfId="14111"/>
    <cellStyle name="Обычный 34 59" xfId="14112"/>
    <cellStyle name="Обычный 34 6" xfId="14113"/>
    <cellStyle name="Обычный 34 6 2" xfId="14114"/>
    <cellStyle name="Обычный 34 6 3" xfId="14115"/>
    <cellStyle name="Обычный 34 7" xfId="14116"/>
    <cellStyle name="Обычный 34 7 2" xfId="14117"/>
    <cellStyle name="Обычный 34 7 3" xfId="14118"/>
    <cellStyle name="Обычный 34 8" xfId="14119"/>
    <cellStyle name="Обычный 34 8 2" xfId="14120"/>
    <cellStyle name="Обычный 34 8 3" xfId="14121"/>
    <cellStyle name="Обычный 34 9" xfId="14122"/>
    <cellStyle name="Обычный 34 9 2" xfId="14123"/>
    <cellStyle name="Обычный 34 9 3" xfId="14124"/>
    <cellStyle name="Обычный 35" xfId="14125"/>
    <cellStyle name="Обычный 35 2" xfId="14126"/>
    <cellStyle name="Обычный 35 3" xfId="14127"/>
    <cellStyle name="Обычный 36" xfId="14128"/>
    <cellStyle name="Обычный 36 2" xfId="14129"/>
    <cellStyle name="Обычный 36 3" xfId="14130"/>
    <cellStyle name="Обычный 37" xfId="14131"/>
    <cellStyle name="Обычный 37 2" xfId="14132"/>
    <cellStyle name="Обычный 37 3" xfId="14133"/>
    <cellStyle name="Обычный 38" xfId="14134"/>
    <cellStyle name="Обычный 38 2" xfId="14135"/>
    <cellStyle name="Обычный 38 3" xfId="14136"/>
    <cellStyle name="Обычный 39" xfId="14137"/>
    <cellStyle name="Обычный 39 2" xfId="14138"/>
    <cellStyle name="Обычный 39 3" xfId="14139"/>
    <cellStyle name="Обычный 4" xfId="1"/>
    <cellStyle name="Обычный 4 10" xfId="14140"/>
    <cellStyle name="Обычный 4 11" xfId="14141"/>
    <cellStyle name="Обычный 4 12" xfId="14142"/>
    <cellStyle name="Обычный 4 13" xfId="14143"/>
    <cellStyle name="Обычный 4 14" xfId="14144"/>
    <cellStyle name="Обычный 4 15" xfId="14145"/>
    <cellStyle name="Обычный 4 16" xfId="14146"/>
    <cellStyle name="Обычный 4 17" xfId="14147"/>
    <cellStyle name="Обычный 4 18" xfId="14148"/>
    <cellStyle name="Обычный 4 19" xfId="14149"/>
    <cellStyle name="Обычный 4 2" xfId="112"/>
    <cellStyle name="Обычный 4 2 2" xfId="32654"/>
    <cellStyle name="Обычный 4 2 3" xfId="32665"/>
    <cellStyle name="Обычный 4 20" xfId="14150"/>
    <cellStyle name="Обычный 4 21" xfId="14151"/>
    <cellStyle name="Обычный 4 22" xfId="14152"/>
    <cellStyle name="Обычный 4 23" xfId="14153"/>
    <cellStyle name="Обычный 4 24" xfId="14154"/>
    <cellStyle name="Обычный 4 25" xfId="14155"/>
    <cellStyle name="Обычный 4 26" xfId="14156"/>
    <cellStyle name="Обычный 4 27" xfId="14157"/>
    <cellStyle name="Обычный 4 28" xfId="14158"/>
    <cellStyle name="Обычный 4 29" xfId="14159"/>
    <cellStyle name="Обычный 4 3" xfId="113"/>
    <cellStyle name="Обычный 4 30" xfId="14160"/>
    <cellStyle name="Обычный 4 31" xfId="14161"/>
    <cellStyle name="Обычный 4 32" xfId="14162"/>
    <cellStyle name="Обычный 4 33" xfId="14163"/>
    <cellStyle name="Обычный 4 34" xfId="14164"/>
    <cellStyle name="Обычный 4 35" xfId="14165"/>
    <cellStyle name="Обычный 4 36" xfId="14166"/>
    <cellStyle name="Обычный 4 37" xfId="14167"/>
    <cellStyle name="Обычный 4 38" xfId="14168"/>
    <cellStyle name="Обычный 4 39" xfId="14169"/>
    <cellStyle name="Обычный 4 4" xfId="114"/>
    <cellStyle name="Обычный 4 40" xfId="14170"/>
    <cellStyle name="Обычный 4 41" xfId="14171"/>
    <cellStyle name="Обычный 4 42" xfId="14172"/>
    <cellStyle name="Обычный 4 43" xfId="14173"/>
    <cellStyle name="Обычный 4 44" xfId="14174"/>
    <cellStyle name="Обычный 4 45" xfId="14175"/>
    <cellStyle name="Обычный 4 46" xfId="14176"/>
    <cellStyle name="Обычный 4 47" xfId="14177"/>
    <cellStyle name="Обычный 4 48" xfId="14178"/>
    <cellStyle name="Обычный 4 49" xfId="14179"/>
    <cellStyle name="Обычный 4 5" xfId="14180"/>
    <cellStyle name="Обычный 4 50" xfId="14181"/>
    <cellStyle name="Обычный 4 51" xfId="14182"/>
    <cellStyle name="Обычный 4 52" xfId="14183"/>
    <cellStyle name="Обычный 4 53" xfId="14184"/>
    <cellStyle name="Обычный 4 54" xfId="14185"/>
    <cellStyle name="Обычный 4 55" xfId="14186"/>
    <cellStyle name="Обычный 4 56" xfId="14187"/>
    <cellStyle name="Обычный 4 57" xfId="14188"/>
    <cellStyle name="Обычный 4 58" xfId="14189"/>
    <cellStyle name="Обычный 4 59" xfId="14190"/>
    <cellStyle name="Обычный 4 6" xfId="14191"/>
    <cellStyle name="Обычный 4 60" xfId="14192"/>
    <cellStyle name="Обычный 4 61" xfId="14193"/>
    <cellStyle name="Обычный 4 62" xfId="14194"/>
    <cellStyle name="Обычный 4 63" xfId="14195"/>
    <cellStyle name="Обычный 4 64" xfId="14196"/>
    <cellStyle name="Обычный 4 65" xfId="14197"/>
    <cellStyle name="Обычный 4 66" xfId="14198"/>
    <cellStyle name="Обычный 4 67" xfId="14199"/>
    <cellStyle name="Обычный 4 68" xfId="14200"/>
    <cellStyle name="Обычный 4 69" xfId="14201"/>
    <cellStyle name="Обычный 4 7" xfId="14202"/>
    <cellStyle name="Обычный 4 70" xfId="14203"/>
    <cellStyle name="Обычный 4 71" xfId="14204"/>
    <cellStyle name="Обычный 4 72" xfId="14205"/>
    <cellStyle name="Обычный 4 73" xfId="14206"/>
    <cellStyle name="Обычный 4 74" xfId="14207"/>
    <cellStyle name="Обычный 4 75" xfId="14208"/>
    <cellStyle name="Обычный 4 76" xfId="14209"/>
    <cellStyle name="Обычный 4 77" xfId="14210"/>
    <cellStyle name="Обычный 4 78" xfId="14211"/>
    <cellStyle name="Обычный 4 79" xfId="14212"/>
    <cellStyle name="Обычный 4 8" xfId="14213"/>
    <cellStyle name="Обычный 4 80" xfId="14214"/>
    <cellStyle name="Обычный 4 81" xfId="14215"/>
    <cellStyle name="Обычный 4 82" xfId="14216"/>
    <cellStyle name="Обычный 4 83" xfId="14217"/>
    <cellStyle name="Обычный 4 84" xfId="14218"/>
    <cellStyle name="Обычный 4 85" xfId="14219"/>
    <cellStyle name="Обычный 4 86" xfId="14220"/>
    <cellStyle name="Обычный 4 87" xfId="14221"/>
    <cellStyle name="Обычный 4 88" xfId="32663"/>
    <cellStyle name="Обычный 4 9" xfId="14222"/>
    <cellStyle name="Обычный 40" xfId="14223"/>
    <cellStyle name="Обычный 40 2" xfId="14224"/>
    <cellStyle name="Обычный 40 3" xfId="14225"/>
    <cellStyle name="Обычный 41" xfId="14226"/>
    <cellStyle name="Обычный 41 2" xfId="14227"/>
    <cellStyle name="Обычный 41 3" xfId="14228"/>
    <cellStyle name="Обычный 42" xfId="14229"/>
    <cellStyle name="Обычный 43" xfId="32653"/>
    <cellStyle name="Обычный 44" xfId="14230"/>
    <cellStyle name="Обычный 44 2" xfId="14231"/>
    <cellStyle name="Обычный 44 3" xfId="14232"/>
    <cellStyle name="Обычный 45" xfId="14233"/>
    <cellStyle name="Обычный 45 2" xfId="14234"/>
    <cellStyle name="Обычный 45 3" xfId="14235"/>
    <cellStyle name="Обычный 46" xfId="14236"/>
    <cellStyle name="Обычный 46 2" xfId="14237"/>
    <cellStyle name="Обычный 46 3" xfId="14238"/>
    <cellStyle name="Обычный 47" xfId="14239"/>
    <cellStyle name="Обычный 47 2" xfId="14240"/>
    <cellStyle name="Обычный 47 3" xfId="14241"/>
    <cellStyle name="Обычный 48" xfId="14242"/>
    <cellStyle name="Обычный 48 2" xfId="14243"/>
    <cellStyle name="Обычный 48 3" xfId="14244"/>
    <cellStyle name="Обычный 49" xfId="14245"/>
    <cellStyle name="Обычный 49 2" xfId="14246"/>
    <cellStyle name="Обычный 49 3" xfId="14247"/>
    <cellStyle name="Обычный 5" xfId="14248"/>
    <cellStyle name="Обычный 5 2" xfId="115"/>
    <cellStyle name="Обычный 52" xfId="14249"/>
    <cellStyle name="Обычный 52 2" xfId="14250"/>
    <cellStyle name="Обычный 52 3" xfId="14251"/>
    <cellStyle name="Обычный 53" xfId="14252"/>
    <cellStyle name="Обычный 53 2" xfId="14253"/>
    <cellStyle name="Обычный 53 3" xfId="14254"/>
    <cellStyle name="Обычный 54" xfId="14255"/>
    <cellStyle name="Обычный 54 2" xfId="14256"/>
    <cellStyle name="Обычный 54 3" xfId="14257"/>
    <cellStyle name="Обычный 56" xfId="14258"/>
    <cellStyle name="Обычный 56 2" xfId="14259"/>
    <cellStyle name="Обычный 56 3" xfId="14260"/>
    <cellStyle name="Обычный 57" xfId="14261"/>
    <cellStyle name="Обычный 57 2" xfId="14262"/>
    <cellStyle name="Обычный 57 3" xfId="14263"/>
    <cellStyle name="Обычный 58" xfId="14264"/>
    <cellStyle name="Обычный 58 2" xfId="14265"/>
    <cellStyle name="Обычный 58 3" xfId="14266"/>
    <cellStyle name="Обычный 59" xfId="14267"/>
    <cellStyle name="Обычный 59 2" xfId="14268"/>
    <cellStyle name="Обычный 59 3" xfId="14269"/>
    <cellStyle name="Обычный 6" xfId="14270"/>
    <cellStyle name="Обычный 60" xfId="14271"/>
    <cellStyle name="Обычный 60 2" xfId="14272"/>
    <cellStyle name="Обычный 60 3" xfId="14273"/>
    <cellStyle name="Обычный 61" xfId="14274"/>
    <cellStyle name="Обычный 61 2" xfId="14275"/>
    <cellStyle name="Обычный 61 3" xfId="14276"/>
    <cellStyle name="Обычный 62" xfId="14277"/>
    <cellStyle name="Обычный 62 2" xfId="14278"/>
    <cellStyle name="Обычный 62 3" xfId="14279"/>
    <cellStyle name="Обычный 63" xfId="14280"/>
    <cellStyle name="Обычный 63 2" xfId="14281"/>
    <cellStyle name="Обычный 63 3" xfId="14282"/>
    <cellStyle name="Обычный 64" xfId="14283"/>
    <cellStyle name="Обычный 64 2" xfId="14284"/>
    <cellStyle name="Обычный 64 3" xfId="14285"/>
    <cellStyle name="Обычный 65" xfId="14286"/>
    <cellStyle name="Обычный 65 2" xfId="14287"/>
    <cellStyle name="Обычный 65 3" xfId="14288"/>
    <cellStyle name="Обычный 66" xfId="14289"/>
    <cellStyle name="Обычный 66 2" xfId="14290"/>
    <cellStyle name="Обычный 66 3" xfId="14291"/>
    <cellStyle name="Обычный 67" xfId="14292"/>
    <cellStyle name="Обычный 67 2" xfId="14293"/>
    <cellStyle name="Обычный 67 3" xfId="14294"/>
    <cellStyle name="Обычный 68" xfId="14295"/>
    <cellStyle name="Обычный 68 2" xfId="14296"/>
    <cellStyle name="Обычный 68 3" xfId="14297"/>
    <cellStyle name="Обычный 69" xfId="14298"/>
    <cellStyle name="Обычный 69 2" xfId="14299"/>
    <cellStyle name="Обычный 69 3" xfId="14300"/>
    <cellStyle name="Обычный 7" xfId="116"/>
    <cellStyle name="Обычный 7 10" xfId="14301"/>
    <cellStyle name="Обычный 7 10 10" xfId="14302"/>
    <cellStyle name="Обычный 7 10 10 2" xfId="14303"/>
    <cellStyle name="Обычный 7 10 10 3" xfId="14304"/>
    <cellStyle name="Обычный 7 10 11" xfId="14305"/>
    <cellStyle name="Обычный 7 10 11 2" xfId="14306"/>
    <cellStyle name="Обычный 7 10 11 3" xfId="14307"/>
    <cellStyle name="Обычный 7 10 12" xfId="14308"/>
    <cellStyle name="Обычный 7 10 12 2" xfId="14309"/>
    <cellStyle name="Обычный 7 10 12 3" xfId="14310"/>
    <cellStyle name="Обычный 7 10 13" xfId="14311"/>
    <cellStyle name="Обычный 7 10 13 2" xfId="14312"/>
    <cellStyle name="Обычный 7 10 13 3" xfId="14313"/>
    <cellStyle name="Обычный 7 10 14" xfId="14314"/>
    <cellStyle name="Обычный 7 10 14 2" xfId="14315"/>
    <cellStyle name="Обычный 7 10 14 3" xfId="14316"/>
    <cellStyle name="Обычный 7 10 15" xfId="14317"/>
    <cellStyle name="Обычный 7 10 15 2" xfId="14318"/>
    <cellStyle name="Обычный 7 10 15 3" xfId="14319"/>
    <cellStyle name="Обычный 7 10 16" xfId="14320"/>
    <cellStyle name="Обычный 7 10 16 2" xfId="14321"/>
    <cellStyle name="Обычный 7 10 16 3" xfId="14322"/>
    <cellStyle name="Обычный 7 10 17" xfId="14323"/>
    <cellStyle name="Обычный 7 10 17 2" xfId="14324"/>
    <cellStyle name="Обычный 7 10 17 3" xfId="14325"/>
    <cellStyle name="Обычный 7 10 18" xfId="14326"/>
    <cellStyle name="Обычный 7 10 18 2" xfId="14327"/>
    <cellStyle name="Обычный 7 10 18 3" xfId="14328"/>
    <cellStyle name="Обычный 7 10 19" xfId="14329"/>
    <cellStyle name="Обычный 7 10 19 2" xfId="14330"/>
    <cellStyle name="Обычный 7 10 19 3" xfId="14331"/>
    <cellStyle name="Обычный 7 10 2" xfId="14332"/>
    <cellStyle name="Обычный 7 10 2 2" xfId="14333"/>
    <cellStyle name="Обычный 7 10 2 3" xfId="14334"/>
    <cellStyle name="Обычный 7 10 20" xfId="14335"/>
    <cellStyle name="Обычный 7 10 20 2" xfId="14336"/>
    <cellStyle name="Обычный 7 10 20 3" xfId="14337"/>
    <cellStyle name="Обычный 7 10 21" xfId="14338"/>
    <cellStyle name="Обычный 7 10 21 2" xfId="14339"/>
    <cellStyle name="Обычный 7 10 21 3" xfId="14340"/>
    <cellStyle name="Обычный 7 10 22" xfId="14341"/>
    <cellStyle name="Обычный 7 10 22 2" xfId="14342"/>
    <cellStyle name="Обычный 7 10 22 3" xfId="14343"/>
    <cellStyle name="Обычный 7 10 23" xfId="14344"/>
    <cellStyle name="Обычный 7 10 23 2" xfId="14345"/>
    <cellStyle name="Обычный 7 10 23 3" xfId="14346"/>
    <cellStyle name="Обычный 7 10 24" xfId="14347"/>
    <cellStyle name="Обычный 7 10 24 2" xfId="14348"/>
    <cellStyle name="Обычный 7 10 24 3" xfId="14349"/>
    <cellStyle name="Обычный 7 10 25" xfId="14350"/>
    <cellStyle name="Обычный 7 10 25 2" xfId="14351"/>
    <cellStyle name="Обычный 7 10 25 3" xfId="14352"/>
    <cellStyle name="Обычный 7 10 26" xfId="14353"/>
    <cellStyle name="Обычный 7 10 26 2" xfId="14354"/>
    <cellStyle name="Обычный 7 10 26 3" xfId="14355"/>
    <cellStyle name="Обычный 7 10 27" xfId="14356"/>
    <cellStyle name="Обычный 7 10 27 2" xfId="14357"/>
    <cellStyle name="Обычный 7 10 27 3" xfId="14358"/>
    <cellStyle name="Обычный 7 10 28" xfId="14359"/>
    <cellStyle name="Обычный 7 10 28 2" xfId="14360"/>
    <cellStyle name="Обычный 7 10 28 3" xfId="14361"/>
    <cellStyle name="Обычный 7 10 29" xfId="14362"/>
    <cellStyle name="Обычный 7 10 29 2" xfId="14363"/>
    <cellStyle name="Обычный 7 10 29 3" xfId="14364"/>
    <cellStyle name="Обычный 7 10 3" xfId="14365"/>
    <cellStyle name="Обычный 7 10 3 2" xfId="14366"/>
    <cellStyle name="Обычный 7 10 3 3" xfId="14367"/>
    <cellStyle name="Обычный 7 10 30" xfId="14368"/>
    <cellStyle name="Обычный 7 10 30 2" xfId="14369"/>
    <cellStyle name="Обычный 7 10 30 3" xfId="14370"/>
    <cellStyle name="Обычный 7 10 31" xfId="14371"/>
    <cellStyle name="Обычный 7 10 31 2" xfId="14372"/>
    <cellStyle name="Обычный 7 10 31 3" xfId="14373"/>
    <cellStyle name="Обычный 7 10 32" xfId="14374"/>
    <cellStyle name="Обычный 7 10 32 2" xfId="14375"/>
    <cellStyle name="Обычный 7 10 32 3" xfId="14376"/>
    <cellStyle name="Обычный 7 10 33" xfId="14377"/>
    <cellStyle name="Обычный 7 10 33 2" xfId="14378"/>
    <cellStyle name="Обычный 7 10 33 3" xfId="14379"/>
    <cellStyle name="Обычный 7 10 34" xfId="14380"/>
    <cellStyle name="Обычный 7 10 34 2" xfId="14381"/>
    <cellStyle name="Обычный 7 10 34 3" xfId="14382"/>
    <cellStyle name="Обычный 7 10 35" xfId="14383"/>
    <cellStyle name="Обычный 7 10 35 2" xfId="14384"/>
    <cellStyle name="Обычный 7 10 35 3" xfId="14385"/>
    <cellStyle name="Обычный 7 10 36" xfId="14386"/>
    <cellStyle name="Обычный 7 10 36 2" xfId="14387"/>
    <cellStyle name="Обычный 7 10 36 3" xfId="14388"/>
    <cellStyle name="Обычный 7 10 37" xfId="14389"/>
    <cellStyle name="Обычный 7 10 37 2" xfId="14390"/>
    <cellStyle name="Обычный 7 10 37 3" xfId="14391"/>
    <cellStyle name="Обычный 7 10 38" xfId="14392"/>
    <cellStyle name="Обычный 7 10 38 2" xfId="14393"/>
    <cellStyle name="Обычный 7 10 38 3" xfId="14394"/>
    <cellStyle name="Обычный 7 10 39" xfId="14395"/>
    <cellStyle name="Обычный 7 10 39 2" xfId="14396"/>
    <cellStyle name="Обычный 7 10 39 3" xfId="14397"/>
    <cellStyle name="Обычный 7 10 4" xfId="14398"/>
    <cellStyle name="Обычный 7 10 4 2" xfId="14399"/>
    <cellStyle name="Обычный 7 10 4 3" xfId="14400"/>
    <cellStyle name="Обычный 7 10 40" xfId="14401"/>
    <cellStyle name="Обычный 7 10 40 2" xfId="14402"/>
    <cellStyle name="Обычный 7 10 40 3" xfId="14403"/>
    <cellStyle name="Обычный 7 10 41" xfId="14404"/>
    <cellStyle name="Обычный 7 10 41 2" xfId="14405"/>
    <cellStyle name="Обычный 7 10 41 3" xfId="14406"/>
    <cellStyle name="Обычный 7 10 42" xfId="14407"/>
    <cellStyle name="Обычный 7 10 42 2" xfId="14408"/>
    <cellStyle name="Обычный 7 10 42 3" xfId="14409"/>
    <cellStyle name="Обычный 7 10 43" xfId="14410"/>
    <cellStyle name="Обычный 7 10 43 2" xfId="14411"/>
    <cellStyle name="Обычный 7 10 43 3" xfId="14412"/>
    <cellStyle name="Обычный 7 10 44" xfId="14413"/>
    <cellStyle name="Обычный 7 10 44 2" xfId="14414"/>
    <cellStyle name="Обычный 7 10 44 3" xfId="14415"/>
    <cellStyle name="Обычный 7 10 45" xfId="14416"/>
    <cellStyle name="Обычный 7 10 45 2" xfId="14417"/>
    <cellStyle name="Обычный 7 10 45 3" xfId="14418"/>
    <cellStyle name="Обычный 7 10 46" xfId="14419"/>
    <cellStyle name="Обычный 7 10 46 2" xfId="14420"/>
    <cellStyle name="Обычный 7 10 46 3" xfId="14421"/>
    <cellStyle name="Обычный 7 10 47" xfId="14422"/>
    <cellStyle name="Обычный 7 10 47 2" xfId="14423"/>
    <cellStyle name="Обычный 7 10 47 3" xfId="14424"/>
    <cellStyle name="Обычный 7 10 48" xfId="14425"/>
    <cellStyle name="Обычный 7 10 48 2" xfId="14426"/>
    <cellStyle name="Обычный 7 10 48 3" xfId="14427"/>
    <cellStyle name="Обычный 7 10 49" xfId="14428"/>
    <cellStyle name="Обычный 7 10 49 2" xfId="14429"/>
    <cellStyle name="Обычный 7 10 49 3" xfId="14430"/>
    <cellStyle name="Обычный 7 10 5" xfId="14431"/>
    <cellStyle name="Обычный 7 10 5 2" xfId="14432"/>
    <cellStyle name="Обычный 7 10 5 3" xfId="14433"/>
    <cellStyle name="Обычный 7 10 50" xfId="14434"/>
    <cellStyle name="Обычный 7 10 50 2" xfId="14435"/>
    <cellStyle name="Обычный 7 10 50 3" xfId="14436"/>
    <cellStyle name="Обычный 7 10 51" xfId="14437"/>
    <cellStyle name="Обычный 7 10 51 2" xfId="14438"/>
    <cellStyle name="Обычный 7 10 51 3" xfId="14439"/>
    <cellStyle name="Обычный 7 10 52" xfId="14440"/>
    <cellStyle name="Обычный 7 10 52 2" xfId="14441"/>
    <cellStyle name="Обычный 7 10 52 3" xfId="14442"/>
    <cellStyle name="Обычный 7 10 53" xfId="14443"/>
    <cellStyle name="Обычный 7 10 53 2" xfId="14444"/>
    <cellStyle name="Обычный 7 10 53 3" xfId="14445"/>
    <cellStyle name="Обычный 7 10 54" xfId="14446"/>
    <cellStyle name="Обычный 7 10 54 2" xfId="14447"/>
    <cellStyle name="Обычный 7 10 54 3" xfId="14448"/>
    <cellStyle name="Обычный 7 10 55" xfId="14449"/>
    <cellStyle name="Обычный 7 10 55 2" xfId="14450"/>
    <cellStyle name="Обычный 7 10 55 3" xfId="14451"/>
    <cellStyle name="Обычный 7 10 56" xfId="14452"/>
    <cellStyle name="Обычный 7 10 56 2" xfId="14453"/>
    <cellStyle name="Обычный 7 10 56 3" xfId="14454"/>
    <cellStyle name="Обычный 7 10 57" xfId="14455"/>
    <cellStyle name="Обычный 7 10 57 2" xfId="14456"/>
    <cellStyle name="Обычный 7 10 57 3" xfId="14457"/>
    <cellStyle name="Обычный 7 10 58" xfId="14458"/>
    <cellStyle name="Обычный 7 10 58 2" xfId="14459"/>
    <cellStyle name="Обычный 7 10 58 3" xfId="14460"/>
    <cellStyle name="Обычный 7 10 59" xfId="14461"/>
    <cellStyle name="Обычный 7 10 59 2" xfId="14462"/>
    <cellStyle name="Обычный 7 10 59 3" xfId="14463"/>
    <cellStyle name="Обычный 7 10 6" xfId="14464"/>
    <cellStyle name="Обычный 7 10 6 2" xfId="14465"/>
    <cellStyle name="Обычный 7 10 6 3" xfId="14466"/>
    <cellStyle name="Обычный 7 10 60" xfId="14467"/>
    <cellStyle name="Обычный 7 10 60 2" xfId="14468"/>
    <cellStyle name="Обычный 7 10 60 3" xfId="14469"/>
    <cellStyle name="Обычный 7 10 61" xfId="14470"/>
    <cellStyle name="Обычный 7 10 61 2" xfId="14471"/>
    <cellStyle name="Обычный 7 10 61 3" xfId="14472"/>
    <cellStyle name="Обычный 7 10 62" xfId="14473"/>
    <cellStyle name="Обычный 7 10 62 2" xfId="14474"/>
    <cellStyle name="Обычный 7 10 62 3" xfId="14475"/>
    <cellStyle name="Обычный 7 10 63" xfId="14476"/>
    <cellStyle name="Обычный 7 10 63 2" xfId="14477"/>
    <cellStyle name="Обычный 7 10 63 3" xfId="14478"/>
    <cellStyle name="Обычный 7 10 64" xfId="14479"/>
    <cellStyle name="Обычный 7 10 65" xfId="14480"/>
    <cellStyle name="Обычный 7 10 7" xfId="14481"/>
    <cellStyle name="Обычный 7 10 7 2" xfId="14482"/>
    <cellStyle name="Обычный 7 10 7 3" xfId="14483"/>
    <cellStyle name="Обычный 7 10 8" xfId="14484"/>
    <cellStyle name="Обычный 7 10 8 2" xfId="14485"/>
    <cellStyle name="Обычный 7 10 8 3" xfId="14486"/>
    <cellStyle name="Обычный 7 10 9" xfId="14487"/>
    <cellStyle name="Обычный 7 10 9 2" xfId="14488"/>
    <cellStyle name="Обычный 7 10 9 3" xfId="14489"/>
    <cellStyle name="Обычный 7 11" xfId="14490"/>
    <cellStyle name="Обычный 7 11 10" xfId="14491"/>
    <cellStyle name="Обычный 7 11 10 2" xfId="14492"/>
    <cellStyle name="Обычный 7 11 10 3" xfId="14493"/>
    <cellStyle name="Обычный 7 11 11" xfId="14494"/>
    <cellStyle name="Обычный 7 11 11 2" xfId="14495"/>
    <cellStyle name="Обычный 7 11 11 3" xfId="14496"/>
    <cellStyle name="Обычный 7 11 12" xfId="14497"/>
    <cellStyle name="Обычный 7 11 12 2" xfId="14498"/>
    <cellStyle name="Обычный 7 11 12 3" xfId="14499"/>
    <cellStyle name="Обычный 7 11 13" xfId="14500"/>
    <cellStyle name="Обычный 7 11 13 2" xfId="14501"/>
    <cellStyle name="Обычный 7 11 13 3" xfId="14502"/>
    <cellStyle name="Обычный 7 11 14" xfId="14503"/>
    <cellStyle name="Обычный 7 11 14 2" xfId="14504"/>
    <cellStyle name="Обычный 7 11 14 3" xfId="14505"/>
    <cellStyle name="Обычный 7 11 15" xfId="14506"/>
    <cellStyle name="Обычный 7 11 15 2" xfId="14507"/>
    <cellStyle name="Обычный 7 11 15 3" xfId="14508"/>
    <cellStyle name="Обычный 7 11 16" xfId="14509"/>
    <cellStyle name="Обычный 7 11 16 2" xfId="14510"/>
    <cellStyle name="Обычный 7 11 16 3" xfId="14511"/>
    <cellStyle name="Обычный 7 11 17" xfId="14512"/>
    <cellStyle name="Обычный 7 11 17 2" xfId="14513"/>
    <cellStyle name="Обычный 7 11 17 3" xfId="14514"/>
    <cellStyle name="Обычный 7 11 18" xfId="14515"/>
    <cellStyle name="Обычный 7 11 18 2" xfId="14516"/>
    <cellStyle name="Обычный 7 11 18 3" xfId="14517"/>
    <cellStyle name="Обычный 7 11 19" xfId="14518"/>
    <cellStyle name="Обычный 7 11 19 2" xfId="14519"/>
    <cellStyle name="Обычный 7 11 19 3" xfId="14520"/>
    <cellStyle name="Обычный 7 11 2" xfId="14521"/>
    <cellStyle name="Обычный 7 11 2 2" xfId="14522"/>
    <cellStyle name="Обычный 7 11 2 3" xfId="14523"/>
    <cellStyle name="Обычный 7 11 20" xfId="14524"/>
    <cellStyle name="Обычный 7 11 20 2" xfId="14525"/>
    <cellStyle name="Обычный 7 11 20 3" xfId="14526"/>
    <cellStyle name="Обычный 7 11 21" xfId="14527"/>
    <cellStyle name="Обычный 7 11 21 2" xfId="14528"/>
    <cellStyle name="Обычный 7 11 21 3" xfId="14529"/>
    <cellStyle name="Обычный 7 11 22" xfId="14530"/>
    <cellStyle name="Обычный 7 11 22 2" xfId="14531"/>
    <cellStyle name="Обычный 7 11 22 3" xfId="14532"/>
    <cellStyle name="Обычный 7 11 23" xfId="14533"/>
    <cellStyle name="Обычный 7 11 23 2" xfId="14534"/>
    <cellStyle name="Обычный 7 11 23 3" xfId="14535"/>
    <cellStyle name="Обычный 7 11 24" xfId="14536"/>
    <cellStyle name="Обычный 7 11 24 2" xfId="14537"/>
    <cellStyle name="Обычный 7 11 24 3" xfId="14538"/>
    <cellStyle name="Обычный 7 11 25" xfId="14539"/>
    <cellStyle name="Обычный 7 11 25 2" xfId="14540"/>
    <cellStyle name="Обычный 7 11 25 3" xfId="14541"/>
    <cellStyle name="Обычный 7 11 26" xfId="14542"/>
    <cellStyle name="Обычный 7 11 26 2" xfId="14543"/>
    <cellStyle name="Обычный 7 11 26 3" xfId="14544"/>
    <cellStyle name="Обычный 7 11 27" xfId="14545"/>
    <cellStyle name="Обычный 7 11 27 2" xfId="14546"/>
    <cellStyle name="Обычный 7 11 27 3" xfId="14547"/>
    <cellStyle name="Обычный 7 11 28" xfId="14548"/>
    <cellStyle name="Обычный 7 11 28 2" xfId="14549"/>
    <cellStyle name="Обычный 7 11 28 3" xfId="14550"/>
    <cellStyle name="Обычный 7 11 29" xfId="14551"/>
    <cellStyle name="Обычный 7 11 29 2" xfId="14552"/>
    <cellStyle name="Обычный 7 11 29 3" xfId="14553"/>
    <cellStyle name="Обычный 7 11 3" xfId="14554"/>
    <cellStyle name="Обычный 7 11 3 2" xfId="14555"/>
    <cellStyle name="Обычный 7 11 3 3" xfId="14556"/>
    <cellStyle name="Обычный 7 11 30" xfId="14557"/>
    <cellStyle name="Обычный 7 11 30 2" xfId="14558"/>
    <cellStyle name="Обычный 7 11 30 3" xfId="14559"/>
    <cellStyle name="Обычный 7 11 31" xfId="14560"/>
    <cellStyle name="Обычный 7 11 31 2" xfId="14561"/>
    <cellStyle name="Обычный 7 11 31 3" xfId="14562"/>
    <cellStyle name="Обычный 7 11 32" xfId="14563"/>
    <cellStyle name="Обычный 7 11 32 2" xfId="14564"/>
    <cellStyle name="Обычный 7 11 32 3" xfId="14565"/>
    <cellStyle name="Обычный 7 11 33" xfId="14566"/>
    <cellStyle name="Обычный 7 11 33 2" xfId="14567"/>
    <cellStyle name="Обычный 7 11 33 3" xfId="14568"/>
    <cellStyle name="Обычный 7 11 34" xfId="14569"/>
    <cellStyle name="Обычный 7 11 34 2" xfId="14570"/>
    <cellStyle name="Обычный 7 11 34 3" xfId="14571"/>
    <cellStyle name="Обычный 7 11 35" xfId="14572"/>
    <cellStyle name="Обычный 7 11 35 2" xfId="14573"/>
    <cellStyle name="Обычный 7 11 35 3" xfId="14574"/>
    <cellStyle name="Обычный 7 11 36" xfId="14575"/>
    <cellStyle name="Обычный 7 11 36 2" xfId="14576"/>
    <cellStyle name="Обычный 7 11 36 3" xfId="14577"/>
    <cellStyle name="Обычный 7 11 37" xfId="14578"/>
    <cellStyle name="Обычный 7 11 37 2" xfId="14579"/>
    <cellStyle name="Обычный 7 11 37 3" xfId="14580"/>
    <cellStyle name="Обычный 7 11 38" xfId="14581"/>
    <cellStyle name="Обычный 7 11 38 2" xfId="14582"/>
    <cellStyle name="Обычный 7 11 38 3" xfId="14583"/>
    <cellStyle name="Обычный 7 11 39" xfId="14584"/>
    <cellStyle name="Обычный 7 11 39 2" xfId="14585"/>
    <cellStyle name="Обычный 7 11 39 3" xfId="14586"/>
    <cellStyle name="Обычный 7 11 4" xfId="14587"/>
    <cellStyle name="Обычный 7 11 4 2" xfId="14588"/>
    <cellStyle name="Обычный 7 11 4 3" xfId="14589"/>
    <cellStyle name="Обычный 7 11 40" xfId="14590"/>
    <cellStyle name="Обычный 7 11 40 2" xfId="14591"/>
    <cellStyle name="Обычный 7 11 40 3" xfId="14592"/>
    <cellStyle name="Обычный 7 11 41" xfId="14593"/>
    <cellStyle name="Обычный 7 11 41 2" xfId="14594"/>
    <cellStyle name="Обычный 7 11 41 3" xfId="14595"/>
    <cellStyle name="Обычный 7 11 42" xfId="14596"/>
    <cellStyle name="Обычный 7 11 42 2" xfId="14597"/>
    <cellStyle name="Обычный 7 11 42 3" xfId="14598"/>
    <cellStyle name="Обычный 7 11 43" xfId="14599"/>
    <cellStyle name="Обычный 7 11 43 2" xfId="14600"/>
    <cellStyle name="Обычный 7 11 43 3" xfId="14601"/>
    <cellStyle name="Обычный 7 11 44" xfId="14602"/>
    <cellStyle name="Обычный 7 11 44 2" xfId="14603"/>
    <cellStyle name="Обычный 7 11 44 3" xfId="14604"/>
    <cellStyle name="Обычный 7 11 45" xfId="14605"/>
    <cellStyle name="Обычный 7 11 45 2" xfId="14606"/>
    <cellStyle name="Обычный 7 11 45 3" xfId="14607"/>
    <cellStyle name="Обычный 7 11 46" xfId="14608"/>
    <cellStyle name="Обычный 7 11 46 2" xfId="14609"/>
    <cellStyle name="Обычный 7 11 46 3" xfId="14610"/>
    <cellStyle name="Обычный 7 11 47" xfId="14611"/>
    <cellStyle name="Обычный 7 11 47 2" xfId="14612"/>
    <cellStyle name="Обычный 7 11 47 3" xfId="14613"/>
    <cellStyle name="Обычный 7 11 48" xfId="14614"/>
    <cellStyle name="Обычный 7 11 48 2" xfId="14615"/>
    <cellStyle name="Обычный 7 11 48 3" xfId="14616"/>
    <cellStyle name="Обычный 7 11 49" xfId="14617"/>
    <cellStyle name="Обычный 7 11 49 2" xfId="14618"/>
    <cellStyle name="Обычный 7 11 49 3" xfId="14619"/>
    <cellStyle name="Обычный 7 11 5" xfId="14620"/>
    <cellStyle name="Обычный 7 11 5 2" xfId="14621"/>
    <cellStyle name="Обычный 7 11 5 3" xfId="14622"/>
    <cellStyle name="Обычный 7 11 50" xfId="14623"/>
    <cellStyle name="Обычный 7 11 50 2" xfId="14624"/>
    <cellStyle name="Обычный 7 11 50 3" xfId="14625"/>
    <cellStyle name="Обычный 7 11 51" xfId="14626"/>
    <cellStyle name="Обычный 7 11 51 2" xfId="14627"/>
    <cellStyle name="Обычный 7 11 51 3" xfId="14628"/>
    <cellStyle name="Обычный 7 11 52" xfId="14629"/>
    <cellStyle name="Обычный 7 11 52 2" xfId="14630"/>
    <cellStyle name="Обычный 7 11 52 3" xfId="14631"/>
    <cellStyle name="Обычный 7 11 53" xfId="14632"/>
    <cellStyle name="Обычный 7 11 53 2" xfId="14633"/>
    <cellStyle name="Обычный 7 11 53 3" xfId="14634"/>
    <cellStyle name="Обычный 7 11 54" xfId="14635"/>
    <cellStyle name="Обычный 7 11 54 2" xfId="14636"/>
    <cellStyle name="Обычный 7 11 54 3" xfId="14637"/>
    <cellStyle name="Обычный 7 11 55" xfId="14638"/>
    <cellStyle name="Обычный 7 11 55 2" xfId="14639"/>
    <cellStyle name="Обычный 7 11 55 3" xfId="14640"/>
    <cellStyle name="Обычный 7 11 56" xfId="14641"/>
    <cellStyle name="Обычный 7 11 56 2" xfId="14642"/>
    <cellStyle name="Обычный 7 11 56 3" xfId="14643"/>
    <cellStyle name="Обычный 7 11 57" xfId="14644"/>
    <cellStyle name="Обычный 7 11 57 2" xfId="14645"/>
    <cellStyle name="Обычный 7 11 57 3" xfId="14646"/>
    <cellStyle name="Обычный 7 11 58" xfId="14647"/>
    <cellStyle name="Обычный 7 11 58 2" xfId="14648"/>
    <cellStyle name="Обычный 7 11 58 3" xfId="14649"/>
    <cellStyle name="Обычный 7 11 59" xfId="14650"/>
    <cellStyle name="Обычный 7 11 59 2" xfId="14651"/>
    <cellStyle name="Обычный 7 11 59 3" xfId="14652"/>
    <cellStyle name="Обычный 7 11 6" xfId="14653"/>
    <cellStyle name="Обычный 7 11 6 2" xfId="14654"/>
    <cellStyle name="Обычный 7 11 6 3" xfId="14655"/>
    <cellStyle name="Обычный 7 11 60" xfId="14656"/>
    <cellStyle name="Обычный 7 11 60 2" xfId="14657"/>
    <cellStyle name="Обычный 7 11 60 3" xfId="14658"/>
    <cellStyle name="Обычный 7 11 61" xfId="14659"/>
    <cellStyle name="Обычный 7 11 61 2" xfId="14660"/>
    <cellStyle name="Обычный 7 11 61 3" xfId="14661"/>
    <cellStyle name="Обычный 7 11 62" xfId="14662"/>
    <cellStyle name="Обычный 7 11 62 2" xfId="14663"/>
    <cellStyle name="Обычный 7 11 62 3" xfId="14664"/>
    <cellStyle name="Обычный 7 11 63" xfId="14665"/>
    <cellStyle name="Обычный 7 11 63 2" xfId="14666"/>
    <cellStyle name="Обычный 7 11 63 3" xfId="14667"/>
    <cellStyle name="Обычный 7 11 64" xfId="14668"/>
    <cellStyle name="Обычный 7 11 65" xfId="14669"/>
    <cellStyle name="Обычный 7 11 7" xfId="14670"/>
    <cellStyle name="Обычный 7 11 7 2" xfId="14671"/>
    <cellStyle name="Обычный 7 11 7 3" xfId="14672"/>
    <cellStyle name="Обычный 7 11 8" xfId="14673"/>
    <cellStyle name="Обычный 7 11 8 2" xfId="14674"/>
    <cellStyle name="Обычный 7 11 8 3" xfId="14675"/>
    <cellStyle name="Обычный 7 11 9" xfId="14676"/>
    <cellStyle name="Обычный 7 11 9 2" xfId="14677"/>
    <cellStyle name="Обычный 7 11 9 3" xfId="14678"/>
    <cellStyle name="Обычный 7 12" xfId="14679"/>
    <cellStyle name="Обычный 7 12 10" xfId="14680"/>
    <cellStyle name="Обычный 7 12 10 2" xfId="14681"/>
    <cellStyle name="Обычный 7 12 10 3" xfId="14682"/>
    <cellStyle name="Обычный 7 12 11" xfId="14683"/>
    <cellStyle name="Обычный 7 12 11 2" xfId="14684"/>
    <cellStyle name="Обычный 7 12 11 3" xfId="14685"/>
    <cellStyle name="Обычный 7 12 12" xfId="14686"/>
    <cellStyle name="Обычный 7 12 12 2" xfId="14687"/>
    <cellStyle name="Обычный 7 12 12 3" xfId="14688"/>
    <cellStyle name="Обычный 7 12 13" xfId="14689"/>
    <cellStyle name="Обычный 7 12 13 2" xfId="14690"/>
    <cellStyle name="Обычный 7 12 13 3" xfId="14691"/>
    <cellStyle name="Обычный 7 12 14" xfId="14692"/>
    <cellStyle name="Обычный 7 12 14 2" xfId="14693"/>
    <cellStyle name="Обычный 7 12 14 3" xfId="14694"/>
    <cellStyle name="Обычный 7 12 15" xfId="14695"/>
    <cellStyle name="Обычный 7 12 15 2" xfId="14696"/>
    <cellStyle name="Обычный 7 12 15 3" xfId="14697"/>
    <cellStyle name="Обычный 7 12 16" xfId="14698"/>
    <cellStyle name="Обычный 7 12 16 2" xfId="14699"/>
    <cellStyle name="Обычный 7 12 16 3" xfId="14700"/>
    <cellStyle name="Обычный 7 12 17" xfId="14701"/>
    <cellStyle name="Обычный 7 12 17 2" xfId="14702"/>
    <cellStyle name="Обычный 7 12 17 3" xfId="14703"/>
    <cellStyle name="Обычный 7 12 18" xfId="14704"/>
    <cellStyle name="Обычный 7 12 18 2" xfId="14705"/>
    <cellStyle name="Обычный 7 12 18 3" xfId="14706"/>
    <cellStyle name="Обычный 7 12 19" xfId="14707"/>
    <cellStyle name="Обычный 7 12 19 2" xfId="14708"/>
    <cellStyle name="Обычный 7 12 19 3" xfId="14709"/>
    <cellStyle name="Обычный 7 12 2" xfId="14710"/>
    <cellStyle name="Обычный 7 12 2 2" xfId="14711"/>
    <cellStyle name="Обычный 7 12 2 3" xfId="14712"/>
    <cellStyle name="Обычный 7 12 20" xfId="14713"/>
    <cellStyle name="Обычный 7 12 20 2" xfId="14714"/>
    <cellStyle name="Обычный 7 12 20 3" xfId="14715"/>
    <cellStyle name="Обычный 7 12 21" xfId="14716"/>
    <cellStyle name="Обычный 7 12 21 2" xfId="14717"/>
    <cellStyle name="Обычный 7 12 21 3" xfId="14718"/>
    <cellStyle name="Обычный 7 12 22" xfId="14719"/>
    <cellStyle name="Обычный 7 12 22 2" xfId="14720"/>
    <cellStyle name="Обычный 7 12 22 3" xfId="14721"/>
    <cellStyle name="Обычный 7 12 23" xfId="14722"/>
    <cellStyle name="Обычный 7 12 23 2" xfId="14723"/>
    <cellStyle name="Обычный 7 12 23 3" xfId="14724"/>
    <cellStyle name="Обычный 7 12 24" xfId="14725"/>
    <cellStyle name="Обычный 7 12 24 2" xfId="14726"/>
    <cellStyle name="Обычный 7 12 24 3" xfId="14727"/>
    <cellStyle name="Обычный 7 12 25" xfId="14728"/>
    <cellStyle name="Обычный 7 12 25 2" xfId="14729"/>
    <cellStyle name="Обычный 7 12 25 3" xfId="14730"/>
    <cellStyle name="Обычный 7 12 26" xfId="14731"/>
    <cellStyle name="Обычный 7 12 26 2" xfId="14732"/>
    <cellStyle name="Обычный 7 12 26 3" xfId="14733"/>
    <cellStyle name="Обычный 7 12 27" xfId="14734"/>
    <cellStyle name="Обычный 7 12 27 2" xfId="14735"/>
    <cellStyle name="Обычный 7 12 27 3" xfId="14736"/>
    <cellStyle name="Обычный 7 12 28" xfId="14737"/>
    <cellStyle name="Обычный 7 12 28 2" xfId="14738"/>
    <cellStyle name="Обычный 7 12 28 3" xfId="14739"/>
    <cellStyle name="Обычный 7 12 29" xfId="14740"/>
    <cellStyle name="Обычный 7 12 29 2" xfId="14741"/>
    <cellStyle name="Обычный 7 12 29 3" xfId="14742"/>
    <cellStyle name="Обычный 7 12 3" xfId="14743"/>
    <cellStyle name="Обычный 7 12 3 2" xfId="14744"/>
    <cellStyle name="Обычный 7 12 3 3" xfId="14745"/>
    <cellStyle name="Обычный 7 12 30" xfId="14746"/>
    <cellStyle name="Обычный 7 12 30 2" xfId="14747"/>
    <cellStyle name="Обычный 7 12 30 3" xfId="14748"/>
    <cellStyle name="Обычный 7 12 31" xfId="14749"/>
    <cellStyle name="Обычный 7 12 31 2" xfId="14750"/>
    <cellStyle name="Обычный 7 12 31 3" xfId="14751"/>
    <cellStyle name="Обычный 7 12 32" xfId="14752"/>
    <cellStyle name="Обычный 7 12 32 2" xfId="14753"/>
    <cellStyle name="Обычный 7 12 32 3" xfId="14754"/>
    <cellStyle name="Обычный 7 12 33" xfId="14755"/>
    <cellStyle name="Обычный 7 12 33 2" xfId="14756"/>
    <cellStyle name="Обычный 7 12 33 3" xfId="14757"/>
    <cellStyle name="Обычный 7 12 34" xfId="14758"/>
    <cellStyle name="Обычный 7 12 34 2" xfId="14759"/>
    <cellStyle name="Обычный 7 12 34 3" xfId="14760"/>
    <cellStyle name="Обычный 7 12 35" xfId="14761"/>
    <cellStyle name="Обычный 7 12 35 2" xfId="14762"/>
    <cellStyle name="Обычный 7 12 35 3" xfId="14763"/>
    <cellStyle name="Обычный 7 12 36" xfId="14764"/>
    <cellStyle name="Обычный 7 12 36 2" xfId="14765"/>
    <cellStyle name="Обычный 7 12 36 3" xfId="14766"/>
    <cellStyle name="Обычный 7 12 37" xfId="14767"/>
    <cellStyle name="Обычный 7 12 37 2" xfId="14768"/>
    <cellStyle name="Обычный 7 12 37 3" xfId="14769"/>
    <cellStyle name="Обычный 7 12 38" xfId="14770"/>
    <cellStyle name="Обычный 7 12 38 2" xfId="14771"/>
    <cellStyle name="Обычный 7 12 38 3" xfId="14772"/>
    <cellStyle name="Обычный 7 12 39" xfId="14773"/>
    <cellStyle name="Обычный 7 12 39 2" xfId="14774"/>
    <cellStyle name="Обычный 7 12 39 3" xfId="14775"/>
    <cellStyle name="Обычный 7 12 4" xfId="14776"/>
    <cellStyle name="Обычный 7 12 4 2" xfId="14777"/>
    <cellStyle name="Обычный 7 12 4 3" xfId="14778"/>
    <cellStyle name="Обычный 7 12 40" xfId="14779"/>
    <cellStyle name="Обычный 7 12 40 2" xfId="14780"/>
    <cellStyle name="Обычный 7 12 40 3" xfId="14781"/>
    <cellStyle name="Обычный 7 12 41" xfId="14782"/>
    <cellStyle name="Обычный 7 12 41 2" xfId="14783"/>
    <cellStyle name="Обычный 7 12 41 3" xfId="14784"/>
    <cellStyle name="Обычный 7 12 42" xfId="14785"/>
    <cellStyle name="Обычный 7 12 42 2" xfId="14786"/>
    <cellStyle name="Обычный 7 12 42 3" xfId="14787"/>
    <cellStyle name="Обычный 7 12 43" xfId="14788"/>
    <cellStyle name="Обычный 7 12 43 2" xfId="14789"/>
    <cellStyle name="Обычный 7 12 43 3" xfId="14790"/>
    <cellStyle name="Обычный 7 12 44" xfId="14791"/>
    <cellStyle name="Обычный 7 12 44 2" xfId="14792"/>
    <cellStyle name="Обычный 7 12 44 3" xfId="14793"/>
    <cellStyle name="Обычный 7 12 45" xfId="14794"/>
    <cellStyle name="Обычный 7 12 45 2" xfId="14795"/>
    <cellStyle name="Обычный 7 12 45 3" xfId="14796"/>
    <cellStyle name="Обычный 7 12 46" xfId="14797"/>
    <cellStyle name="Обычный 7 12 46 2" xfId="14798"/>
    <cellStyle name="Обычный 7 12 46 3" xfId="14799"/>
    <cellStyle name="Обычный 7 12 47" xfId="14800"/>
    <cellStyle name="Обычный 7 12 47 2" xfId="14801"/>
    <cellStyle name="Обычный 7 12 47 3" xfId="14802"/>
    <cellStyle name="Обычный 7 12 48" xfId="14803"/>
    <cellStyle name="Обычный 7 12 48 2" xfId="14804"/>
    <cellStyle name="Обычный 7 12 48 3" xfId="14805"/>
    <cellStyle name="Обычный 7 12 49" xfId="14806"/>
    <cellStyle name="Обычный 7 12 49 2" xfId="14807"/>
    <cellStyle name="Обычный 7 12 49 3" xfId="14808"/>
    <cellStyle name="Обычный 7 12 5" xfId="14809"/>
    <cellStyle name="Обычный 7 12 5 2" xfId="14810"/>
    <cellStyle name="Обычный 7 12 5 3" xfId="14811"/>
    <cellStyle name="Обычный 7 12 50" xfId="14812"/>
    <cellStyle name="Обычный 7 12 50 2" xfId="14813"/>
    <cellStyle name="Обычный 7 12 50 3" xfId="14814"/>
    <cellStyle name="Обычный 7 12 51" xfId="14815"/>
    <cellStyle name="Обычный 7 12 51 2" xfId="14816"/>
    <cellStyle name="Обычный 7 12 51 3" xfId="14817"/>
    <cellStyle name="Обычный 7 12 52" xfId="14818"/>
    <cellStyle name="Обычный 7 12 52 2" xfId="14819"/>
    <cellStyle name="Обычный 7 12 52 3" xfId="14820"/>
    <cellStyle name="Обычный 7 12 53" xfId="14821"/>
    <cellStyle name="Обычный 7 12 53 2" xfId="14822"/>
    <cellStyle name="Обычный 7 12 53 3" xfId="14823"/>
    <cellStyle name="Обычный 7 12 54" xfId="14824"/>
    <cellStyle name="Обычный 7 12 54 2" xfId="14825"/>
    <cellStyle name="Обычный 7 12 54 3" xfId="14826"/>
    <cellStyle name="Обычный 7 12 55" xfId="14827"/>
    <cellStyle name="Обычный 7 12 55 2" xfId="14828"/>
    <cellStyle name="Обычный 7 12 55 3" xfId="14829"/>
    <cellStyle name="Обычный 7 12 56" xfId="14830"/>
    <cellStyle name="Обычный 7 12 56 2" xfId="14831"/>
    <cellStyle name="Обычный 7 12 56 3" xfId="14832"/>
    <cellStyle name="Обычный 7 12 57" xfId="14833"/>
    <cellStyle name="Обычный 7 12 57 2" xfId="14834"/>
    <cellStyle name="Обычный 7 12 57 3" xfId="14835"/>
    <cellStyle name="Обычный 7 12 58" xfId="14836"/>
    <cellStyle name="Обычный 7 12 58 2" xfId="14837"/>
    <cellStyle name="Обычный 7 12 58 3" xfId="14838"/>
    <cellStyle name="Обычный 7 12 59" xfId="14839"/>
    <cellStyle name="Обычный 7 12 59 2" xfId="14840"/>
    <cellStyle name="Обычный 7 12 59 3" xfId="14841"/>
    <cellStyle name="Обычный 7 12 6" xfId="14842"/>
    <cellStyle name="Обычный 7 12 6 2" xfId="14843"/>
    <cellStyle name="Обычный 7 12 6 3" xfId="14844"/>
    <cellStyle name="Обычный 7 12 60" xfId="14845"/>
    <cellStyle name="Обычный 7 12 60 2" xfId="14846"/>
    <cellStyle name="Обычный 7 12 60 3" xfId="14847"/>
    <cellStyle name="Обычный 7 12 61" xfId="14848"/>
    <cellStyle name="Обычный 7 12 61 2" xfId="14849"/>
    <cellStyle name="Обычный 7 12 61 3" xfId="14850"/>
    <cellStyle name="Обычный 7 12 62" xfId="14851"/>
    <cellStyle name="Обычный 7 12 62 2" xfId="14852"/>
    <cellStyle name="Обычный 7 12 62 3" xfId="14853"/>
    <cellStyle name="Обычный 7 12 63" xfId="14854"/>
    <cellStyle name="Обычный 7 12 63 2" xfId="14855"/>
    <cellStyle name="Обычный 7 12 63 3" xfId="14856"/>
    <cellStyle name="Обычный 7 12 64" xfId="14857"/>
    <cellStyle name="Обычный 7 12 65" xfId="14858"/>
    <cellStyle name="Обычный 7 12 7" xfId="14859"/>
    <cellStyle name="Обычный 7 12 7 2" xfId="14860"/>
    <cellStyle name="Обычный 7 12 7 3" xfId="14861"/>
    <cellStyle name="Обычный 7 12 8" xfId="14862"/>
    <cellStyle name="Обычный 7 12 8 2" xfId="14863"/>
    <cellStyle name="Обычный 7 12 8 3" xfId="14864"/>
    <cellStyle name="Обычный 7 12 9" xfId="14865"/>
    <cellStyle name="Обычный 7 12 9 2" xfId="14866"/>
    <cellStyle name="Обычный 7 12 9 3" xfId="14867"/>
    <cellStyle name="Обычный 7 13" xfId="14868"/>
    <cellStyle name="Обычный 7 13 10" xfId="14869"/>
    <cellStyle name="Обычный 7 13 10 2" xfId="14870"/>
    <cellStyle name="Обычный 7 13 10 3" xfId="14871"/>
    <cellStyle name="Обычный 7 13 11" xfId="14872"/>
    <cellStyle name="Обычный 7 13 11 2" xfId="14873"/>
    <cellStyle name="Обычный 7 13 11 3" xfId="14874"/>
    <cellStyle name="Обычный 7 13 12" xfId="14875"/>
    <cellStyle name="Обычный 7 13 12 2" xfId="14876"/>
    <cellStyle name="Обычный 7 13 12 3" xfId="14877"/>
    <cellStyle name="Обычный 7 13 13" xfId="14878"/>
    <cellStyle name="Обычный 7 13 13 2" xfId="14879"/>
    <cellStyle name="Обычный 7 13 13 3" xfId="14880"/>
    <cellStyle name="Обычный 7 13 14" xfId="14881"/>
    <cellStyle name="Обычный 7 13 14 2" xfId="14882"/>
    <cellStyle name="Обычный 7 13 14 3" xfId="14883"/>
    <cellStyle name="Обычный 7 13 15" xfId="14884"/>
    <cellStyle name="Обычный 7 13 15 2" xfId="14885"/>
    <cellStyle name="Обычный 7 13 15 3" xfId="14886"/>
    <cellStyle name="Обычный 7 13 16" xfId="14887"/>
    <cellStyle name="Обычный 7 13 16 2" xfId="14888"/>
    <cellStyle name="Обычный 7 13 16 3" xfId="14889"/>
    <cellStyle name="Обычный 7 13 17" xfId="14890"/>
    <cellStyle name="Обычный 7 13 17 2" xfId="14891"/>
    <cellStyle name="Обычный 7 13 17 3" xfId="14892"/>
    <cellStyle name="Обычный 7 13 18" xfId="14893"/>
    <cellStyle name="Обычный 7 13 18 2" xfId="14894"/>
    <cellStyle name="Обычный 7 13 18 3" xfId="14895"/>
    <cellStyle name="Обычный 7 13 19" xfId="14896"/>
    <cellStyle name="Обычный 7 13 19 2" xfId="14897"/>
    <cellStyle name="Обычный 7 13 19 3" xfId="14898"/>
    <cellStyle name="Обычный 7 13 2" xfId="14899"/>
    <cellStyle name="Обычный 7 13 2 2" xfId="14900"/>
    <cellStyle name="Обычный 7 13 2 3" xfId="14901"/>
    <cellStyle name="Обычный 7 13 20" xfId="14902"/>
    <cellStyle name="Обычный 7 13 20 2" xfId="14903"/>
    <cellStyle name="Обычный 7 13 20 3" xfId="14904"/>
    <cellStyle name="Обычный 7 13 21" xfId="14905"/>
    <cellStyle name="Обычный 7 13 21 2" xfId="14906"/>
    <cellStyle name="Обычный 7 13 21 3" xfId="14907"/>
    <cellStyle name="Обычный 7 13 22" xfId="14908"/>
    <cellStyle name="Обычный 7 13 22 2" xfId="14909"/>
    <cellStyle name="Обычный 7 13 22 3" xfId="14910"/>
    <cellStyle name="Обычный 7 13 23" xfId="14911"/>
    <cellStyle name="Обычный 7 13 23 2" xfId="14912"/>
    <cellStyle name="Обычный 7 13 23 3" xfId="14913"/>
    <cellStyle name="Обычный 7 13 24" xfId="14914"/>
    <cellStyle name="Обычный 7 13 24 2" xfId="14915"/>
    <cellStyle name="Обычный 7 13 24 3" xfId="14916"/>
    <cellStyle name="Обычный 7 13 25" xfId="14917"/>
    <cellStyle name="Обычный 7 13 25 2" xfId="14918"/>
    <cellStyle name="Обычный 7 13 25 3" xfId="14919"/>
    <cellStyle name="Обычный 7 13 26" xfId="14920"/>
    <cellStyle name="Обычный 7 13 26 2" xfId="14921"/>
    <cellStyle name="Обычный 7 13 26 3" xfId="14922"/>
    <cellStyle name="Обычный 7 13 27" xfId="14923"/>
    <cellStyle name="Обычный 7 13 27 2" xfId="14924"/>
    <cellStyle name="Обычный 7 13 27 3" xfId="14925"/>
    <cellStyle name="Обычный 7 13 28" xfId="14926"/>
    <cellStyle name="Обычный 7 13 28 2" xfId="14927"/>
    <cellStyle name="Обычный 7 13 28 3" xfId="14928"/>
    <cellStyle name="Обычный 7 13 29" xfId="14929"/>
    <cellStyle name="Обычный 7 13 29 2" xfId="14930"/>
    <cellStyle name="Обычный 7 13 29 3" xfId="14931"/>
    <cellStyle name="Обычный 7 13 3" xfId="14932"/>
    <cellStyle name="Обычный 7 13 3 2" xfId="14933"/>
    <cellStyle name="Обычный 7 13 3 3" xfId="14934"/>
    <cellStyle name="Обычный 7 13 30" xfId="14935"/>
    <cellStyle name="Обычный 7 13 30 2" xfId="14936"/>
    <cellStyle name="Обычный 7 13 30 3" xfId="14937"/>
    <cellStyle name="Обычный 7 13 31" xfId="14938"/>
    <cellStyle name="Обычный 7 13 31 2" xfId="14939"/>
    <cellStyle name="Обычный 7 13 31 3" xfId="14940"/>
    <cellStyle name="Обычный 7 13 32" xfId="14941"/>
    <cellStyle name="Обычный 7 13 32 2" xfId="14942"/>
    <cellStyle name="Обычный 7 13 32 3" xfId="14943"/>
    <cellStyle name="Обычный 7 13 33" xfId="14944"/>
    <cellStyle name="Обычный 7 13 33 2" xfId="14945"/>
    <cellStyle name="Обычный 7 13 33 3" xfId="14946"/>
    <cellStyle name="Обычный 7 13 34" xfId="14947"/>
    <cellStyle name="Обычный 7 13 34 2" xfId="14948"/>
    <cellStyle name="Обычный 7 13 34 3" xfId="14949"/>
    <cellStyle name="Обычный 7 13 35" xfId="14950"/>
    <cellStyle name="Обычный 7 13 35 2" xfId="14951"/>
    <cellStyle name="Обычный 7 13 35 3" xfId="14952"/>
    <cellStyle name="Обычный 7 13 36" xfId="14953"/>
    <cellStyle name="Обычный 7 13 36 2" xfId="14954"/>
    <cellStyle name="Обычный 7 13 36 3" xfId="14955"/>
    <cellStyle name="Обычный 7 13 37" xfId="14956"/>
    <cellStyle name="Обычный 7 13 37 2" xfId="14957"/>
    <cellStyle name="Обычный 7 13 37 3" xfId="14958"/>
    <cellStyle name="Обычный 7 13 38" xfId="14959"/>
    <cellStyle name="Обычный 7 13 38 2" xfId="14960"/>
    <cellStyle name="Обычный 7 13 38 3" xfId="14961"/>
    <cellStyle name="Обычный 7 13 39" xfId="14962"/>
    <cellStyle name="Обычный 7 13 39 2" xfId="14963"/>
    <cellStyle name="Обычный 7 13 39 3" xfId="14964"/>
    <cellStyle name="Обычный 7 13 4" xfId="14965"/>
    <cellStyle name="Обычный 7 13 4 2" xfId="14966"/>
    <cellStyle name="Обычный 7 13 4 3" xfId="14967"/>
    <cellStyle name="Обычный 7 13 40" xfId="14968"/>
    <cellStyle name="Обычный 7 13 40 2" xfId="14969"/>
    <cellStyle name="Обычный 7 13 40 3" xfId="14970"/>
    <cellStyle name="Обычный 7 13 41" xfId="14971"/>
    <cellStyle name="Обычный 7 13 41 2" xfId="14972"/>
    <cellStyle name="Обычный 7 13 41 3" xfId="14973"/>
    <cellStyle name="Обычный 7 13 42" xfId="14974"/>
    <cellStyle name="Обычный 7 13 42 2" xfId="14975"/>
    <cellStyle name="Обычный 7 13 42 3" xfId="14976"/>
    <cellStyle name="Обычный 7 13 43" xfId="14977"/>
    <cellStyle name="Обычный 7 13 43 2" xfId="14978"/>
    <cellStyle name="Обычный 7 13 43 3" xfId="14979"/>
    <cellStyle name="Обычный 7 13 44" xfId="14980"/>
    <cellStyle name="Обычный 7 13 44 2" xfId="14981"/>
    <cellStyle name="Обычный 7 13 44 3" xfId="14982"/>
    <cellStyle name="Обычный 7 13 45" xfId="14983"/>
    <cellStyle name="Обычный 7 13 45 2" xfId="14984"/>
    <cellStyle name="Обычный 7 13 45 3" xfId="14985"/>
    <cellStyle name="Обычный 7 13 46" xfId="14986"/>
    <cellStyle name="Обычный 7 13 46 2" xfId="14987"/>
    <cellStyle name="Обычный 7 13 46 3" xfId="14988"/>
    <cellStyle name="Обычный 7 13 47" xfId="14989"/>
    <cellStyle name="Обычный 7 13 47 2" xfId="14990"/>
    <cellStyle name="Обычный 7 13 47 3" xfId="14991"/>
    <cellStyle name="Обычный 7 13 48" xfId="14992"/>
    <cellStyle name="Обычный 7 13 48 2" xfId="14993"/>
    <cellStyle name="Обычный 7 13 48 3" xfId="14994"/>
    <cellStyle name="Обычный 7 13 49" xfId="14995"/>
    <cellStyle name="Обычный 7 13 49 2" xfId="14996"/>
    <cellStyle name="Обычный 7 13 49 3" xfId="14997"/>
    <cellStyle name="Обычный 7 13 5" xfId="14998"/>
    <cellStyle name="Обычный 7 13 5 2" xfId="14999"/>
    <cellStyle name="Обычный 7 13 5 3" xfId="15000"/>
    <cellStyle name="Обычный 7 13 50" xfId="15001"/>
    <cellStyle name="Обычный 7 13 50 2" xfId="15002"/>
    <cellStyle name="Обычный 7 13 50 3" xfId="15003"/>
    <cellStyle name="Обычный 7 13 51" xfId="15004"/>
    <cellStyle name="Обычный 7 13 51 2" xfId="15005"/>
    <cellStyle name="Обычный 7 13 51 3" xfId="15006"/>
    <cellStyle name="Обычный 7 13 52" xfId="15007"/>
    <cellStyle name="Обычный 7 13 52 2" xfId="15008"/>
    <cellStyle name="Обычный 7 13 52 3" xfId="15009"/>
    <cellStyle name="Обычный 7 13 53" xfId="15010"/>
    <cellStyle name="Обычный 7 13 53 2" xfId="15011"/>
    <cellStyle name="Обычный 7 13 53 3" xfId="15012"/>
    <cellStyle name="Обычный 7 13 54" xfId="15013"/>
    <cellStyle name="Обычный 7 13 54 2" xfId="15014"/>
    <cellStyle name="Обычный 7 13 54 3" xfId="15015"/>
    <cellStyle name="Обычный 7 13 55" xfId="15016"/>
    <cellStyle name="Обычный 7 13 55 2" xfId="15017"/>
    <cellStyle name="Обычный 7 13 55 3" xfId="15018"/>
    <cellStyle name="Обычный 7 13 56" xfId="15019"/>
    <cellStyle name="Обычный 7 13 56 2" xfId="15020"/>
    <cellStyle name="Обычный 7 13 56 3" xfId="15021"/>
    <cellStyle name="Обычный 7 13 57" xfId="15022"/>
    <cellStyle name="Обычный 7 13 57 2" xfId="15023"/>
    <cellStyle name="Обычный 7 13 57 3" xfId="15024"/>
    <cellStyle name="Обычный 7 13 58" xfId="15025"/>
    <cellStyle name="Обычный 7 13 58 2" xfId="15026"/>
    <cellStyle name="Обычный 7 13 58 3" xfId="15027"/>
    <cellStyle name="Обычный 7 13 59" xfId="15028"/>
    <cellStyle name="Обычный 7 13 59 2" xfId="15029"/>
    <cellStyle name="Обычный 7 13 59 3" xfId="15030"/>
    <cellStyle name="Обычный 7 13 6" xfId="15031"/>
    <cellStyle name="Обычный 7 13 6 2" xfId="15032"/>
    <cellStyle name="Обычный 7 13 6 3" xfId="15033"/>
    <cellStyle name="Обычный 7 13 60" xfId="15034"/>
    <cellStyle name="Обычный 7 13 60 2" xfId="15035"/>
    <cellStyle name="Обычный 7 13 60 3" xfId="15036"/>
    <cellStyle name="Обычный 7 13 61" xfId="15037"/>
    <cellStyle name="Обычный 7 13 61 2" xfId="15038"/>
    <cellStyle name="Обычный 7 13 61 3" xfId="15039"/>
    <cellStyle name="Обычный 7 13 62" xfId="15040"/>
    <cellStyle name="Обычный 7 13 62 2" xfId="15041"/>
    <cellStyle name="Обычный 7 13 62 3" xfId="15042"/>
    <cellStyle name="Обычный 7 13 63" xfId="15043"/>
    <cellStyle name="Обычный 7 13 63 2" xfId="15044"/>
    <cellStyle name="Обычный 7 13 63 3" xfId="15045"/>
    <cellStyle name="Обычный 7 13 64" xfId="15046"/>
    <cellStyle name="Обычный 7 13 65" xfId="15047"/>
    <cellStyle name="Обычный 7 13 7" xfId="15048"/>
    <cellStyle name="Обычный 7 13 7 2" xfId="15049"/>
    <cellStyle name="Обычный 7 13 7 3" xfId="15050"/>
    <cellStyle name="Обычный 7 13 8" xfId="15051"/>
    <cellStyle name="Обычный 7 13 8 2" xfId="15052"/>
    <cellStyle name="Обычный 7 13 8 3" xfId="15053"/>
    <cellStyle name="Обычный 7 13 9" xfId="15054"/>
    <cellStyle name="Обычный 7 13 9 2" xfId="15055"/>
    <cellStyle name="Обычный 7 13 9 3" xfId="15056"/>
    <cellStyle name="Обычный 7 14" xfId="15057"/>
    <cellStyle name="Обычный 7 14 10" xfId="15058"/>
    <cellStyle name="Обычный 7 14 10 2" xfId="15059"/>
    <cellStyle name="Обычный 7 14 10 3" xfId="15060"/>
    <cellStyle name="Обычный 7 14 11" xfId="15061"/>
    <cellStyle name="Обычный 7 14 11 2" xfId="15062"/>
    <cellStyle name="Обычный 7 14 11 3" xfId="15063"/>
    <cellStyle name="Обычный 7 14 12" xfId="15064"/>
    <cellStyle name="Обычный 7 14 12 2" xfId="15065"/>
    <cellStyle name="Обычный 7 14 12 3" xfId="15066"/>
    <cellStyle name="Обычный 7 14 13" xfId="15067"/>
    <cellStyle name="Обычный 7 14 13 2" xfId="15068"/>
    <cellStyle name="Обычный 7 14 13 3" xfId="15069"/>
    <cellStyle name="Обычный 7 14 14" xfId="15070"/>
    <cellStyle name="Обычный 7 14 14 2" xfId="15071"/>
    <cellStyle name="Обычный 7 14 14 3" xfId="15072"/>
    <cellStyle name="Обычный 7 14 15" xfId="15073"/>
    <cellStyle name="Обычный 7 14 15 2" xfId="15074"/>
    <cellStyle name="Обычный 7 14 15 3" xfId="15075"/>
    <cellStyle name="Обычный 7 14 16" xfId="15076"/>
    <cellStyle name="Обычный 7 14 16 2" xfId="15077"/>
    <cellStyle name="Обычный 7 14 16 3" xfId="15078"/>
    <cellStyle name="Обычный 7 14 17" xfId="15079"/>
    <cellStyle name="Обычный 7 14 17 2" xfId="15080"/>
    <cellStyle name="Обычный 7 14 17 3" xfId="15081"/>
    <cellStyle name="Обычный 7 14 18" xfId="15082"/>
    <cellStyle name="Обычный 7 14 18 2" xfId="15083"/>
    <cellStyle name="Обычный 7 14 18 3" xfId="15084"/>
    <cellStyle name="Обычный 7 14 19" xfId="15085"/>
    <cellStyle name="Обычный 7 14 19 2" xfId="15086"/>
    <cellStyle name="Обычный 7 14 19 3" xfId="15087"/>
    <cellStyle name="Обычный 7 14 2" xfId="15088"/>
    <cellStyle name="Обычный 7 14 2 2" xfId="15089"/>
    <cellStyle name="Обычный 7 14 2 3" xfId="15090"/>
    <cellStyle name="Обычный 7 14 20" xfId="15091"/>
    <cellStyle name="Обычный 7 14 20 2" xfId="15092"/>
    <cellStyle name="Обычный 7 14 20 3" xfId="15093"/>
    <cellStyle name="Обычный 7 14 21" xfId="15094"/>
    <cellStyle name="Обычный 7 14 21 2" xfId="15095"/>
    <cellStyle name="Обычный 7 14 21 3" xfId="15096"/>
    <cellStyle name="Обычный 7 14 22" xfId="15097"/>
    <cellStyle name="Обычный 7 14 22 2" xfId="15098"/>
    <cellStyle name="Обычный 7 14 22 3" xfId="15099"/>
    <cellStyle name="Обычный 7 14 23" xfId="15100"/>
    <cellStyle name="Обычный 7 14 23 2" xfId="15101"/>
    <cellStyle name="Обычный 7 14 23 3" xfId="15102"/>
    <cellStyle name="Обычный 7 14 24" xfId="15103"/>
    <cellStyle name="Обычный 7 14 24 2" xfId="15104"/>
    <cellStyle name="Обычный 7 14 24 3" xfId="15105"/>
    <cellStyle name="Обычный 7 14 25" xfId="15106"/>
    <cellStyle name="Обычный 7 14 25 2" xfId="15107"/>
    <cellStyle name="Обычный 7 14 25 3" xfId="15108"/>
    <cellStyle name="Обычный 7 14 26" xfId="15109"/>
    <cellStyle name="Обычный 7 14 26 2" xfId="15110"/>
    <cellStyle name="Обычный 7 14 26 3" xfId="15111"/>
    <cellStyle name="Обычный 7 14 27" xfId="15112"/>
    <cellStyle name="Обычный 7 14 27 2" xfId="15113"/>
    <cellStyle name="Обычный 7 14 27 3" xfId="15114"/>
    <cellStyle name="Обычный 7 14 28" xfId="15115"/>
    <cellStyle name="Обычный 7 14 28 2" xfId="15116"/>
    <cellStyle name="Обычный 7 14 28 3" xfId="15117"/>
    <cellStyle name="Обычный 7 14 29" xfId="15118"/>
    <cellStyle name="Обычный 7 14 29 2" xfId="15119"/>
    <cellStyle name="Обычный 7 14 29 3" xfId="15120"/>
    <cellStyle name="Обычный 7 14 3" xfId="15121"/>
    <cellStyle name="Обычный 7 14 3 2" xfId="15122"/>
    <cellStyle name="Обычный 7 14 3 3" xfId="15123"/>
    <cellStyle name="Обычный 7 14 30" xfId="15124"/>
    <cellStyle name="Обычный 7 14 30 2" xfId="15125"/>
    <cellStyle name="Обычный 7 14 30 3" xfId="15126"/>
    <cellStyle name="Обычный 7 14 31" xfId="15127"/>
    <cellStyle name="Обычный 7 14 31 2" xfId="15128"/>
    <cellStyle name="Обычный 7 14 31 3" xfId="15129"/>
    <cellStyle name="Обычный 7 14 32" xfId="15130"/>
    <cellStyle name="Обычный 7 14 32 2" xfId="15131"/>
    <cellStyle name="Обычный 7 14 32 3" xfId="15132"/>
    <cellStyle name="Обычный 7 14 33" xfId="15133"/>
    <cellStyle name="Обычный 7 14 33 2" xfId="15134"/>
    <cellStyle name="Обычный 7 14 33 3" xfId="15135"/>
    <cellStyle name="Обычный 7 14 34" xfId="15136"/>
    <cellStyle name="Обычный 7 14 34 2" xfId="15137"/>
    <cellStyle name="Обычный 7 14 34 3" xfId="15138"/>
    <cellStyle name="Обычный 7 14 35" xfId="15139"/>
    <cellStyle name="Обычный 7 14 35 2" xfId="15140"/>
    <cellStyle name="Обычный 7 14 35 3" xfId="15141"/>
    <cellStyle name="Обычный 7 14 36" xfId="15142"/>
    <cellStyle name="Обычный 7 14 36 2" xfId="15143"/>
    <cellStyle name="Обычный 7 14 36 3" xfId="15144"/>
    <cellStyle name="Обычный 7 14 37" xfId="15145"/>
    <cellStyle name="Обычный 7 14 37 2" xfId="15146"/>
    <cellStyle name="Обычный 7 14 37 3" xfId="15147"/>
    <cellStyle name="Обычный 7 14 38" xfId="15148"/>
    <cellStyle name="Обычный 7 14 38 2" xfId="15149"/>
    <cellStyle name="Обычный 7 14 38 3" xfId="15150"/>
    <cellStyle name="Обычный 7 14 39" xfId="15151"/>
    <cellStyle name="Обычный 7 14 39 2" xfId="15152"/>
    <cellStyle name="Обычный 7 14 39 3" xfId="15153"/>
    <cellStyle name="Обычный 7 14 4" xfId="15154"/>
    <cellStyle name="Обычный 7 14 4 2" xfId="15155"/>
    <cellStyle name="Обычный 7 14 4 3" xfId="15156"/>
    <cellStyle name="Обычный 7 14 40" xfId="15157"/>
    <cellStyle name="Обычный 7 14 40 2" xfId="15158"/>
    <cellStyle name="Обычный 7 14 40 3" xfId="15159"/>
    <cellStyle name="Обычный 7 14 41" xfId="15160"/>
    <cellStyle name="Обычный 7 14 41 2" xfId="15161"/>
    <cellStyle name="Обычный 7 14 41 3" xfId="15162"/>
    <cellStyle name="Обычный 7 14 42" xfId="15163"/>
    <cellStyle name="Обычный 7 14 42 2" xfId="15164"/>
    <cellStyle name="Обычный 7 14 42 3" xfId="15165"/>
    <cellStyle name="Обычный 7 14 43" xfId="15166"/>
    <cellStyle name="Обычный 7 14 43 2" xfId="15167"/>
    <cellStyle name="Обычный 7 14 43 3" xfId="15168"/>
    <cellStyle name="Обычный 7 14 44" xfId="15169"/>
    <cellStyle name="Обычный 7 14 44 2" xfId="15170"/>
    <cellStyle name="Обычный 7 14 44 3" xfId="15171"/>
    <cellStyle name="Обычный 7 14 45" xfId="15172"/>
    <cellStyle name="Обычный 7 14 45 2" xfId="15173"/>
    <cellStyle name="Обычный 7 14 45 3" xfId="15174"/>
    <cellStyle name="Обычный 7 14 46" xfId="15175"/>
    <cellStyle name="Обычный 7 14 46 2" xfId="15176"/>
    <cellStyle name="Обычный 7 14 46 3" xfId="15177"/>
    <cellStyle name="Обычный 7 14 47" xfId="15178"/>
    <cellStyle name="Обычный 7 14 47 2" xfId="15179"/>
    <cellStyle name="Обычный 7 14 47 3" xfId="15180"/>
    <cellStyle name="Обычный 7 14 48" xfId="15181"/>
    <cellStyle name="Обычный 7 14 48 2" xfId="15182"/>
    <cellStyle name="Обычный 7 14 48 3" xfId="15183"/>
    <cellStyle name="Обычный 7 14 49" xfId="15184"/>
    <cellStyle name="Обычный 7 14 49 2" xfId="15185"/>
    <cellStyle name="Обычный 7 14 49 3" xfId="15186"/>
    <cellStyle name="Обычный 7 14 5" xfId="15187"/>
    <cellStyle name="Обычный 7 14 5 2" xfId="15188"/>
    <cellStyle name="Обычный 7 14 5 3" xfId="15189"/>
    <cellStyle name="Обычный 7 14 50" xfId="15190"/>
    <cellStyle name="Обычный 7 14 50 2" xfId="15191"/>
    <cellStyle name="Обычный 7 14 50 3" xfId="15192"/>
    <cellStyle name="Обычный 7 14 51" xfId="15193"/>
    <cellStyle name="Обычный 7 14 51 2" xfId="15194"/>
    <cellStyle name="Обычный 7 14 51 3" xfId="15195"/>
    <cellStyle name="Обычный 7 14 52" xfId="15196"/>
    <cellStyle name="Обычный 7 14 52 2" xfId="15197"/>
    <cellStyle name="Обычный 7 14 52 3" xfId="15198"/>
    <cellStyle name="Обычный 7 14 53" xfId="15199"/>
    <cellStyle name="Обычный 7 14 53 2" xfId="15200"/>
    <cellStyle name="Обычный 7 14 53 3" xfId="15201"/>
    <cellStyle name="Обычный 7 14 54" xfId="15202"/>
    <cellStyle name="Обычный 7 14 54 2" xfId="15203"/>
    <cellStyle name="Обычный 7 14 54 3" xfId="15204"/>
    <cellStyle name="Обычный 7 14 55" xfId="15205"/>
    <cellStyle name="Обычный 7 14 55 2" xfId="15206"/>
    <cellStyle name="Обычный 7 14 55 3" xfId="15207"/>
    <cellStyle name="Обычный 7 14 56" xfId="15208"/>
    <cellStyle name="Обычный 7 14 56 2" xfId="15209"/>
    <cellStyle name="Обычный 7 14 56 3" xfId="15210"/>
    <cellStyle name="Обычный 7 14 57" xfId="15211"/>
    <cellStyle name="Обычный 7 14 57 2" xfId="15212"/>
    <cellStyle name="Обычный 7 14 57 3" xfId="15213"/>
    <cellStyle name="Обычный 7 14 58" xfId="15214"/>
    <cellStyle name="Обычный 7 14 58 2" xfId="15215"/>
    <cellStyle name="Обычный 7 14 58 3" xfId="15216"/>
    <cellStyle name="Обычный 7 14 59" xfId="15217"/>
    <cellStyle name="Обычный 7 14 59 2" xfId="15218"/>
    <cellStyle name="Обычный 7 14 59 3" xfId="15219"/>
    <cellStyle name="Обычный 7 14 6" xfId="15220"/>
    <cellStyle name="Обычный 7 14 6 2" xfId="15221"/>
    <cellStyle name="Обычный 7 14 6 3" xfId="15222"/>
    <cellStyle name="Обычный 7 14 60" xfId="15223"/>
    <cellStyle name="Обычный 7 14 60 2" xfId="15224"/>
    <cellStyle name="Обычный 7 14 60 3" xfId="15225"/>
    <cellStyle name="Обычный 7 14 61" xfId="15226"/>
    <cellStyle name="Обычный 7 14 61 2" xfId="15227"/>
    <cellStyle name="Обычный 7 14 61 3" xfId="15228"/>
    <cellStyle name="Обычный 7 14 62" xfId="15229"/>
    <cellStyle name="Обычный 7 14 62 2" xfId="15230"/>
    <cellStyle name="Обычный 7 14 62 3" xfId="15231"/>
    <cellStyle name="Обычный 7 14 63" xfId="15232"/>
    <cellStyle name="Обычный 7 14 63 2" xfId="15233"/>
    <cellStyle name="Обычный 7 14 63 3" xfId="15234"/>
    <cellStyle name="Обычный 7 14 64" xfId="15235"/>
    <cellStyle name="Обычный 7 14 65" xfId="15236"/>
    <cellStyle name="Обычный 7 14 7" xfId="15237"/>
    <cellStyle name="Обычный 7 14 7 2" xfId="15238"/>
    <cellStyle name="Обычный 7 14 7 3" xfId="15239"/>
    <cellStyle name="Обычный 7 14 8" xfId="15240"/>
    <cellStyle name="Обычный 7 14 8 2" xfId="15241"/>
    <cellStyle name="Обычный 7 14 8 3" xfId="15242"/>
    <cellStyle name="Обычный 7 14 9" xfId="15243"/>
    <cellStyle name="Обычный 7 14 9 2" xfId="15244"/>
    <cellStyle name="Обычный 7 14 9 3" xfId="15245"/>
    <cellStyle name="Обычный 7 15" xfId="15246"/>
    <cellStyle name="Обычный 7 15 10" xfId="15247"/>
    <cellStyle name="Обычный 7 15 10 2" xfId="15248"/>
    <cellStyle name="Обычный 7 15 10 3" xfId="15249"/>
    <cellStyle name="Обычный 7 15 11" xfId="15250"/>
    <cellStyle name="Обычный 7 15 11 2" xfId="15251"/>
    <cellStyle name="Обычный 7 15 11 3" xfId="15252"/>
    <cellStyle name="Обычный 7 15 12" xfId="15253"/>
    <cellStyle name="Обычный 7 15 12 2" xfId="15254"/>
    <cellStyle name="Обычный 7 15 12 3" xfId="15255"/>
    <cellStyle name="Обычный 7 15 13" xfId="15256"/>
    <cellStyle name="Обычный 7 15 13 2" xfId="15257"/>
    <cellStyle name="Обычный 7 15 13 3" xfId="15258"/>
    <cellStyle name="Обычный 7 15 14" xfId="15259"/>
    <cellStyle name="Обычный 7 15 14 2" xfId="15260"/>
    <cellStyle name="Обычный 7 15 14 3" xfId="15261"/>
    <cellStyle name="Обычный 7 15 15" xfId="15262"/>
    <cellStyle name="Обычный 7 15 15 2" xfId="15263"/>
    <cellStyle name="Обычный 7 15 15 3" xfId="15264"/>
    <cellStyle name="Обычный 7 15 16" xfId="15265"/>
    <cellStyle name="Обычный 7 15 16 2" xfId="15266"/>
    <cellStyle name="Обычный 7 15 16 3" xfId="15267"/>
    <cellStyle name="Обычный 7 15 17" xfId="15268"/>
    <cellStyle name="Обычный 7 15 17 2" xfId="15269"/>
    <cellStyle name="Обычный 7 15 17 3" xfId="15270"/>
    <cellStyle name="Обычный 7 15 18" xfId="15271"/>
    <cellStyle name="Обычный 7 15 18 2" xfId="15272"/>
    <cellStyle name="Обычный 7 15 18 3" xfId="15273"/>
    <cellStyle name="Обычный 7 15 19" xfId="15274"/>
    <cellStyle name="Обычный 7 15 19 2" xfId="15275"/>
    <cellStyle name="Обычный 7 15 19 3" xfId="15276"/>
    <cellStyle name="Обычный 7 15 2" xfId="15277"/>
    <cellStyle name="Обычный 7 15 2 2" xfId="15278"/>
    <cellStyle name="Обычный 7 15 2 3" xfId="15279"/>
    <cellStyle name="Обычный 7 15 20" xfId="15280"/>
    <cellStyle name="Обычный 7 15 20 2" xfId="15281"/>
    <cellStyle name="Обычный 7 15 20 3" xfId="15282"/>
    <cellStyle name="Обычный 7 15 21" xfId="15283"/>
    <cellStyle name="Обычный 7 15 21 2" xfId="15284"/>
    <cellStyle name="Обычный 7 15 21 3" xfId="15285"/>
    <cellStyle name="Обычный 7 15 22" xfId="15286"/>
    <cellStyle name="Обычный 7 15 22 2" xfId="15287"/>
    <cellStyle name="Обычный 7 15 22 3" xfId="15288"/>
    <cellStyle name="Обычный 7 15 23" xfId="15289"/>
    <cellStyle name="Обычный 7 15 23 2" xfId="15290"/>
    <cellStyle name="Обычный 7 15 23 3" xfId="15291"/>
    <cellStyle name="Обычный 7 15 24" xfId="15292"/>
    <cellStyle name="Обычный 7 15 24 2" xfId="15293"/>
    <cellStyle name="Обычный 7 15 24 3" xfId="15294"/>
    <cellStyle name="Обычный 7 15 25" xfId="15295"/>
    <cellStyle name="Обычный 7 15 25 2" xfId="15296"/>
    <cellStyle name="Обычный 7 15 25 3" xfId="15297"/>
    <cellStyle name="Обычный 7 15 26" xfId="15298"/>
    <cellStyle name="Обычный 7 15 26 2" xfId="15299"/>
    <cellStyle name="Обычный 7 15 26 3" xfId="15300"/>
    <cellStyle name="Обычный 7 15 27" xfId="15301"/>
    <cellStyle name="Обычный 7 15 27 2" xfId="15302"/>
    <cellStyle name="Обычный 7 15 27 3" xfId="15303"/>
    <cellStyle name="Обычный 7 15 28" xfId="15304"/>
    <cellStyle name="Обычный 7 15 28 2" xfId="15305"/>
    <cellStyle name="Обычный 7 15 28 3" xfId="15306"/>
    <cellStyle name="Обычный 7 15 29" xfId="15307"/>
    <cellStyle name="Обычный 7 15 29 2" xfId="15308"/>
    <cellStyle name="Обычный 7 15 29 3" xfId="15309"/>
    <cellStyle name="Обычный 7 15 3" xfId="15310"/>
    <cellStyle name="Обычный 7 15 3 2" xfId="15311"/>
    <cellStyle name="Обычный 7 15 3 3" xfId="15312"/>
    <cellStyle name="Обычный 7 15 30" xfId="15313"/>
    <cellStyle name="Обычный 7 15 30 2" xfId="15314"/>
    <cellStyle name="Обычный 7 15 30 3" xfId="15315"/>
    <cellStyle name="Обычный 7 15 31" xfId="15316"/>
    <cellStyle name="Обычный 7 15 31 2" xfId="15317"/>
    <cellStyle name="Обычный 7 15 31 3" xfId="15318"/>
    <cellStyle name="Обычный 7 15 32" xfId="15319"/>
    <cellStyle name="Обычный 7 15 32 2" xfId="15320"/>
    <cellStyle name="Обычный 7 15 32 3" xfId="15321"/>
    <cellStyle name="Обычный 7 15 33" xfId="15322"/>
    <cellStyle name="Обычный 7 15 33 2" xfId="15323"/>
    <cellStyle name="Обычный 7 15 33 3" xfId="15324"/>
    <cellStyle name="Обычный 7 15 34" xfId="15325"/>
    <cellStyle name="Обычный 7 15 34 2" xfId="15326"/>
    <cellStyle name="Обычный 7 15 34 3" xfId="15327"/>
    <cellStyle name="Обычный 7 15 35" xfId="15328"/>
    <cellStyle name="Обычный 7 15 35 2" xfId="15329"/>
    <cellStyle name="Обычный 7 15 35 3" xfId="15330"/>
    <cellStyle name="Обычный 7 15 36" xfId="15331"/>
    <cellStyle name="Обычный 7 15 36 2" xfId="15332"/>
    <cellStyle name="Обычный 7 15 36 3" xfId="15333"/>
    <cellStyle name="Обычный 7 15 37" xfId="15334"/>
    <cellStyle name="Обычный 7 15 37 2" xfId="15335"/>
    <cellStyle name="Обычный 7 15 37 3" xfId="15336"/>
    <cellStyle name="Обычный 7 15 38" xfId="15337"/>
    <cellStyle name="Обычный 7 15 38 2" xfId="15338"/>
    <cellStyle name="Обычный 7 15 38 3" xfId="15339"/>
    <cellStyle name="Обычный 7 15 39" xfId="15340"/>
    <cellStyle name="Обычный 7 15 39 2" xfId="15341"/>
    <cellStyle name="Обычный 7 15 39 3" xfId="15342"/>
    <cellStyle name="Обычный 7 15 4" xfId="15343"/>
    <cellStyle name="Обычный 7 15 4 2" xfId="15344"/>
    <cellStyle name="Обычный 7 15 4 3" xfId="15345"/>
    <cellStyle name="Обычный 7 15 40" xfId="15346"/>
    <cellStyle name="Обычный 7 15 40 2" xfId="15347"/>
    <cellStyle name="Обычный 7 15 40 3" xfId="15348"/>
    <cellStyle name="Обычный 7 15 41" xfId="15349"/>
    <cellStyle name="Обычный 7 15 41 2" xfId="15350"/>
    <cellStyle name="Обычный 7 15 41 3" xfId="15351"/>
    <cellStyle name="Обычный 7 15 42" xfId="15352"/>
    <cellStyle name="Обычный 7 15 42 2" xfId="15353"/>
    <cellStyle name="Обычный 7 15 42 3" xfId="15354"/>
    <cellStyle name="Обычный 7 15 43" xfId="15355"/>
    <cellStyle name="Обычный 7 15 43 2" xfId="15356"/>
    <cellStyle name="Обычный 7 15 43 3" xfId="15357"/>
    <cellStyle name="Обычный 7 15 44" xfId="15358"/>
    <cellStyle name="Обычный 7 15 44 2" xfId="15359"/>
    <cellStyle name="Обычный 7 15 44 3" xfId="15360"/>
    <cellStyle name="Обычный 7 15 45" xfId="15361"/>
    <cellStyle name="Обычный 7 15 45 2" xfId="15362"/>
    <cellStyle name="Обычный 7 15 45 3" xfId="15363"/>
    <cellStyle name="Обычный 7 15 46" xfId="15364"/>
    <cellStyle name="Обычный 7 15 46 2" xfId="15365"/>
    <cellStyle name="Обычный 7 15 46 3" xfId="15366"/>
    <cellStyle name="Обычный 7 15 47" xfId="15367"/>
    <cellStyle name="Обычный 7 15 47 2" xfId="15368"/>
    <cellStyle name="Обычный 7 15 47 3" xfId="15369"/>
    <cellStyle name="Обычный 7 15 48" xfId="15370"/>
    <cellStyle name="Обычный 7 15 48 2" xfId="15371"/>
    <cellStyle name="Обычный 7 15 48 3" xfId="15372"/>
    <cellStyle name="Обычный 7 15 49" xfId="15373"/>
    <cellStyle name="Обычный 7 15 49 2" xfId="15374"/>
    <cellStyle name="Обычный 7 15 49 3" xfId="15375"/>
    <cellStyle name="Обычный 7 15 5" xfId="15376"/>
    <cellStyle name="Обычный 7 15 5 2" xfId="15377"/>
    <cellStyle name="Обычный 7 15 5 3" xfId="15378"/>
    <cellStyle name="Обычный 7 15 50" xfId="15379"/>
    <cellStyle name="Обычный 7 15 50 2" xfId="15380"/>
    <cellStyle name="Обычный 7 15 50 3" xfId="15381"/>
    <cellStyle name="Обычный 7 15 51" xfId="15382"/>
    <cellStyle name="Обычный 7 15 51 2" xfId="15383"/>
    <cellStyle name="Обычный 7 15 51 3" xfId="15384"/>
    <cellStyle name="Обычный 7 15 52" xfId="15385"/>
    <cellStyle name="Обычный 7 15 52 2" xfId="15386"/>
    <cellStyle name="Обычный 7 15 52 3" xfId="15387"/>
    <cellStyle name="Обычный 7 15 53" xfId="15388"/>
    <cellStyle name="Обычный 7 15 53 2" xfId="15389"/>
    <cellStyle name="Обычный 7 15 53 3" xfId="15390"/>
    <cellStyle name="Обычный 7 15 54" xfId="15391"/>
    <cellStyle name="Обычный 7 15 54 2" xfId="15392"/>
    <cellStyle name="Обычный 7 15 54 3" xfId="15393"/>
    <cellStyle name="Обычный 7 15 55" xfId="15394"/>
    <cellStyle name="Обычный 7 15 55 2" xfId="15395"/>
    <cellStyle name="Обычный 7 15 55 3" xfId="15396"/>
    <cellStyle name="Обычный 7 15 56" xfId="15397"/>
    <cellStyle name="Обычный 7 15 56 2" xfId="15398"/>
    <cellStyle name="Обычный 7 15 56 3" xfId="15399"/>
    <cellStyle name="Обычный 7 15 57" xfId="15400"/>
    <cellStyle name="Обычный 7 15 57 2" xfId="15401"/>
    <cellStyle name="Обычный 7 15 57 3" xfId="15402"/>
    <cellStyle name="Обычный 7 15 58" xfId="15403"/>
    <cellStyle name="Обычный 7 15 58 2" xfId="15404"/>
    <cellStyle name="Обычный 7 15 58 3" xfId="15405"/>
    <cellStyle name="Обычный 7 15 59" xfId="15406"/>
    <cellStyle name="Обычный 7 15 59 2" xfId="15407"/>
    <cellStyle name="Обычный 7 15 59 3" xfId="15408"/>
    <cellStyle name="Обычный 7 15 6" xfId="15409"/>
    <cellStyle name="Обычный 7 15 6 2" xfId="15410"/>
    <cellStyle name="Обычный 7 15 6 3" xfId="15411"/>
    <cellStyle name="Обычный 7 15 60" xfId="15412"/>
    <cellStyle name="Обычный 7 15 60 2" xfId="15413"/>
    <cellStyle name="Обычный 7 15 60 3" xfId="15414"/>
    <cellStyle name="Обычный 7 15 61" xfId="15415"/>
    <cellStyle name="Обычный 7 15 61 2" xfId="15416"/>
    <cellStyle name="Обычный 7 15 61 3" xfId="15417"/>
    <cellStyle name="Обычный 7 15 62" xfId="15418"/>
    <cellStyle name="Обычный 7 15 62 2" xfId="15419"/>
    <cellStyle name="Обычный 7 15 62 3" xfId="15420"/>
    <cellStyle name="Обычный 7 15 63" xfId="15421"/>
    <cellStyle name="Обычный 7 15 63 2" xfId="15422"/>
    <cellStyle name="Обычный 7 15 63 3" xfId="15423"/>
    <cellStyle name="Обычный 7 15 64" xfId="15424"/>
    <cellStyle name="Обычный 7 15 65" xfId="15425"/>
    <cellStyle name="Обычный 7 15 7" xfId="15426"/>
    <cellStyle name="Обычный 7 15 7 2" xfId="15427"/>
    <cellStyle name="Обычный 7 15 7 3" xfId="15428"/>
    <cellStyle name="Обычный 7 15 8" xfId="15429"/>
    <cellStyle name="Обычный 7 15 8 2" xfId="15430"/>
    <cellStyle name="Обычный 7 15 8 3" xfId="15431"/>
    <cellStyle name="Обычный 7 15 9" xfId="15432"/>
    <cellStyle name="Обычный 7 15 9 2" xfId="15433"/>
    <cellStyle name="Обычный 7 15 9 3" xfId="15434"/>
    <cellStyle name="Обычный 7 16" xfId="15435"/>
    <cellStyle name="Обычный 7 16 2" xfId="15436"/>
    <cellStyle name="Обычный 7 16 3" xfId="15437"/>
    <cellStyle name="Обычный 7 17" xfId="15438"/>
    <cellStyle name="Обычный 7 17 2" xfId="15439"/>
    <cellStyle name="Обычный 7 17 3" xfId="15440"/>
    <cellStyle name="Обычный 7 18" xfId="15441"/>
    <cellStyle name="Обычный 7 18 2" xfId="15442"/>
    <cellStyle name="Обычный 7 18 3" xfId="15443"/>
    <cellStyle name="Обычный 7 19" xfId="15444"/>
    <cellStyle name="Обычный 7 19 2" xfId="15445"/>
    <cellStyle name="Обычный 7 19 3" xfId="15446"/>
    <cellStyle name="Обычный 7 2" xfId="117"/>
    <cellStyle name="Обычный 7 2 2" xfId="118"/>
    <cellStyle name="Обычный 7 2 2 10" xfId="15447"/>
    <cellStyle name="Обычный 7 2 2 10 2" xfId="15448"/>
    <cellStyle name="Обычный 7 2 2 10 3" xfId="15449"/>
    <cellStyle name="Обычный 7 2 2 11" xfId="15450"/>
    <cellStyle name="Обычный 7 2 2 11 2" xfId="15451"/>
    <cellStyle name="Обычный 7 2 2 11 3" xfId="15452"/>
    <cellStyle name="Обычный 7 2 2 12" xfId="15453"/>
    <cellStyle name="Обычный 7 2 2 12 2" xfId="15454"/>
    <cellStyle name="Обычный 7 2 2 12 3" xfId="15455"/>
    <cellStyle name="Обычный 7 2 2 13" xfId="15456"/>
    <cellStyle name="Обычный 7 2 2 13 2" xfId="15457"/>
    <cellStyle name="Обычный 7 2 2 13 3" xfId="15458"/>
    <cellStyle name="Обычный 7 2 2 14" xfId="15459"/>
    <cellStyle name="Обычный 7 2 2 14 2" xfId="15460"/>
    <cellStyle name="Обычный 7 2 2 14 3" xfId="15461"/>
    <cellStyle name="Обычный 7 2 2 15" xfId="15462"/>
    <cellStyle name="Обычный 7 2 2 15 2" xfId="15463"/>
    <cellStyle name="Обычный 7 2 2 15 3" xfId="15464"/>
    <cellStyle name="Обычный 7 2 2 16" xfId="15465"/>
    <cellStyle name="Обычный 7 2 2 16 2" xfId="15466"/>
    <cellStyle name="Обычный 7 2 2 16 3" xfId="15467"/>
    <cellStyle name="Обычный 7 2 2 17" xfId="15468"/>
    <cellStyle name="Обычный 7 2 2 17 2" xfId="15469"/>
    <cellStyle name="Обычный 7 2 2 17 3" xfId="15470"/>
    <cellStyle name="Обычный 7 2 2 18" xfId="15471"/>
    <cellStyle name="Обычный 7 2 2 18 2" xfId="15472"/>
    <cellStyle name="Обычный 7 2 2 18 3" xfId="15473"/>
    <cellStyle name="Обычный 7 2 2 19" xfId="15474"/>
    <cellStyle name="Обычный 7 2 2 19 2" xfId="15475"/>
    <cellStyle name="Обычный 7 2 2 19 3" xfId="15476"/>
    <cellStyle name="Обычный 7 2 2 2" xfId="15477"/>
    <cellStyle name="Обычный 7 2 2 2 10" xfId="15478"/>
    <cellStyle name="Обычный 7 2 2 2 10 2" xfId="15479"/>
    <cellStyle name="Обычный 7 2 2 2 10 3" xfId="15480"/>
    <cellStyle name="Обычный 7 2 2 2 11" xfId="15481"/>
    <cellStyle name="Обычный 7 2 2 2 11 2" xfId="15482"/>
    <cellStyle name="Обычный 7 2 2 2 11 3" xfId="15483"/>
    <cellStyle name="Обычный 7 2 2 2 12" xfId="15484"/>
    <cellStyle name="Обычный 7 2 2 2 12 2" xfId="15485"/>
    <cellStyle name="Обычный 7 2 2 2 12 3" xfId="15486"/>
    <cellStyle name="Обычный 7 2 2 2 13" xfId="15487"/>
    <cellStyle name="Обычный 7 2 2 2 13 2" xfId="15488"/>
    <cellStyle name="Обычный 7 2 2 2 13 3" xfId="15489"/>
    <cellStyle name="Обычный 7 2 2 2 14" xfId="15490"/>
    <cellStyle name="Обычный 7 2 2 2 14 2" xfId="15491"/>
    <cellStyle name="Обычный 7 2 2 2 14 3" xfId="15492"/>
    <cellStyle name="Обычный 7 2 2 2 15" xfId="15493"/>
    <cellStyle name="Обычный 7 2 2 2 15 2" xfId="15494"/>
    <cellStyle name="Обычный 7 2 2 2 15 3" xfId="15495"/>
    <cellStyle name="Обычный 7 2 2 2 16" xfId="15496"/>
    <cellStyle name="Обычный 7 2 2 2 16 2" xfId="15497"/>
    <cellStyle name="Обычный 7 2 2 2 16 3" xfId="15498"/>
    <cellStyle name="Обычный 7 2 2 2 17" xfId="15499"/>
    <cellStyle name="Обычный 7 2 2 2 17 2" xfId="15500"/>
    <cellStyle name="Обычный 7 2 2 2 17 3" xfId="15501"/>
    <cellStyle name="Обычный 7 2 2 2 18" xfId="15502"/>
    <cellStyle name="Обычный 7 2 2 2 18 2" xfId="15503"/>
    <cellStyle name="Обычный 7 2 2 2 18 3" xfId="15504"/>
    <cellStyle name="Обычный 7 2 2 2 19" xfId="15505"/>
    <cellStyle name="Обычный 7 2 2 2 19 2" xfId="15506"/>
    <cellStyle name="Обычный 7 2 2 2 19 3" xfId="15507"/>
    <cellStyle name="Обычный 7 2 2 2 2" xfId="15508"/>
    <cellStyle name="Обычный 7 2 2 2 2 2" xfId="15509"/>
    <cellStyle name="Обычный 7 2 2 2 2 3" xfId="15510"/>
    <cellStyle name="Обычный 7 2 2 2 20" xfId="15511"/>
    <cellStyle name="Обычный 7 2 2 2 20 2" xfId="15512"/>
    <cellStyle name="Обычный 7 2 2 2 20 3" xfId="15513"/>
    <cellStyle name="Обычный 7 2 2 2 21" xfId="15514"/>
    <cellStyle name="Обычный 7 2 2 2 21 2" xfId="15515"/>
    <cellStyle name="Обычный 7 2 2 2 21 3" xfId="15516"/>
    <cellStyle name="Обычный 7 2 2 2 22" xfId="15517"/>
    <cellStyle name="Обычный 7 2 2 2 22 2" xfId="15518"/>
    <cellStyle name="Обычный 7 2 2 2 22 3" xfId="15519"/>
    <cellStyle name="Обычный 7 2 2 2 23" xfId="15520"/>
    <cellStyle name="Обычный 7 2 2 2 23 2" xfId="15521"/>
    <cellStyle name="Обычный 7 2 2 2 23 3" xfId="15522"/>
    <cellStyle name="Обычный 7 2 2 2 24" xfId="15523"/>
    <cellStyle name="Обычный 7 2 2 2 24 2" xfId="15524"/>
    <cellStyle name="Обычный 7 2 2 2 24 3" xfId="15525"/>
    <cellStyle name="Обычный 7 2 2 2 25" xfId="15526"/>
    <cellStyle name="Обычный 7 2 2 2 25 2" xfId="15527"/>
    <cellStyle name="Обычный 7 2 2 2 25 3" xfId="15528"/>
    <cellStyle name="Обычный 7 2 2 2 26" xfId="15529"/>
    <cellStyle name="Обычный 7 2 2 2 26 2" xfId="15530"/>
    <cellStyle name="Обычный 7 2 2 2 26 3" xfId="15531"/>
    <cellStyle name="Обычный 7 2 2 2 27" xfId="15532"/>
    <cellStyle name="Обычный 7 2 2 2 27 2" xfId="15533"/>
    <cellStyle name="Обычный 7 2 2 2 27 3" xfId="15534"/>
    <cellStyle name="Обычный 7 2 2 2 28" xfId="15535"/>
    <cellStyle name="Обычный 7 2 2 2 28 2" xfId="15536"/>
    <cellStyle name="Обычный 7 2 2 2 28 3" xfId="15537"/>
    <cellStyle name="Обычный 7 2 2 2 29" xfId="15538"/>
    <cellStyle name="Обычный 7 2 2 2 29 2" xfId="15539"/>
    <cellStyle name="Обычный 7 2 2 2 29 3" xfId="15540"/>
    <cellStyle name="Обычный 7 2 2 2 3" xfId="15541"/>
    <cellStyle name="Обычный 7 2 2 2 3 2" xfId="15542"/>
    <cellStyle name="Обычный 7 2 2 2 3 3" xfId="15543"/>
    <cellStyle name="Обычный 7 2 2 2 30" xfId="15544"/>
    <cellStyle name="Обычный 7 2 2 2 30 2" xfId="15545"/>
    <cellStyle name="Обычный 7 2 2 2 30 3" xfId="15546"/>
    <cellStyle name="Обычный 7 2 2 2 31" xfId="15547"/>
    <cellStyle name="Обычный 7 2 2 2 31 2" xfId="15548"/>
    <cellStyle name="Обычный 7 2 2 2 31 3" xfId="15549"/>
    <cellStyle name="Обычный 7 2 2 2 32" xfId="15550"/>
    <cellStyle name="Обычный 7 2 2 2 32 2" xfId="15551"/>
    <cellStyle name="Обычный 7 2 2 2 32 3" xfId="15552"/>
    <cellStyle name="Обычный 7 2 2 2 33" xfId="15553"/>
    <cellStyle name="Обычный 7 2 2 2 33 2" xfId="15554"/>
    <cellStyle name="Обычный 7 2 2 2 33 3" xfId="15555"/>
    <cellStyle name="Обычный 7 2 2 2 34" xfId="15556"/>
    <cellStyle name="Обычный 7 2 2 2 34 2" xfId="15557"/>
    <cellStyle name="Обычный 7 2 2 2 34 3" xfId="15558"/>
    <cellStyle name="Обычный 7 2 2 2 35" xfId="15559"/>
    <cellStyle name="Обычный 7 2 2 2 35 2" xfId="15560"/>
    <cellStyle name="Обычный 7 2 2 2 35 3" xfId="15561"/>
    <cellStyle name="Обычный 7 2 2 2 36" xfId="15562"/>
    <cellStyle name="Обычный 7 2 2 2 36 2" xfId="15563"/>
    <cellStyle name="Обычный 7 2 2 2 36 3" xfId="15564"/>
    <cellStyle name="Обычный 7 2 2 2 37" xfId="15565"/>
    <cellStyle name="Обычный 7 2 2 2 37 2" xfId="15566"/>
    <cellStyle name="Обычный 7 2 2 2 37 3" xfId="15567"/>
    <cellStyle name="Обычный 7 2 2 2 38" xfId="15568"/>
    <cellStyle name="Обычный 7 2 2 2 38 2" xfId="15569"/>
    <cellStyle name="Обычный 7 2 2 2 38 3" xfId="15570"/>
    <cellStyle name="Обычный 7 2 2 2 39" xfId="15571"/>
    <cellStyle name="Обычный 7 2 2 2 39 2" xfId="15572"/>
    <cellStyle name="Обычный 7 2 2 2 39 3" xfId="15573"/>
    <cellStyle name="Обычный 7 2 2 2 4" xfId="15574"/>
    <cellStyle name="Обычный 7 2 2 2 4 2" xfId="15575"/>
    <cellStyle name="Обычный 7 2 2 2 4 3" xfId="15576"/>
    <cellStyle name="Обычный 7 2 2 2 40" xfId="15577"/>
    <cellStyle name="Обычный 7 2 2 2 40 2" xfId="15578"/>
    <cellStyle name="Обычный 7 2 2 2 40 3" xfId="15579"/>
    <cellStyle name="Обычный 7 2 2 2 41" xfId="15580"/>
    <cellStyle name="Обычный 7 2 2 2 41 2" xfId="15581"/>
    <cellStyle name="Обычный 7 2 2 2 41 3" xfId="15582"/>
    <cellStyle name="Обычный 7 2 2 2 42" xfId="15583"/>
    <cellStyle name="Обычный 7 2 2 2 42 2" xfId="15584"/>
    <cellStyle name="Обычный 7 2 2 2 42 3" xfId="15585"/>
    <cellStyle name="Обычный 7 2 2 2 43" xfId="15586"/>
    <cellStyle name="Обычный 7 2 2 2 43 2" xfId="15587"/>
    <cellStyle name="Обычный 7 2 2 2 43 3" xfId="15588"/>
    <cellStyle name="Обычный 7 2 2 2 44" xfId="15589"/>
    <cellStyle name="Обычный 7 2 2 2 44 2" xfId="15590"/>
    <cellStyle name="Обычный 7 2 2 2 44 3" xfId="15591"/>
    <cellStyle name="Обычный 7 2 2 2 45" xfId="15592"/>
    <cellStyle name="Обычный 7 2 2 2 45 2" xfId="15593"/>
    <cellStyle name="Обычный 7 2 2 2 45 3" xfId="15594"/>
    <cellStyle name="Обычный 7 2 2 2 46" xfId="15595"/>
    <cellStyle name="Обычный 7 2 2 2 46 2" xfId="15596"/>
    <cellStyle name="Обычный 7 2 2 2 46 3" xfId="15597"/>
    <cellStyle name="Обычный 7 2 2 2 47" xfId="15598"/>
    <cellStyle name="Обычный 7 2 2 2 47 2" xfId="15599"/>
    <cellStyle name="Обычный 7 2 2 2 47 3" xfId="15600"/>
    <cellStyle name="Обычный 7 2 2 2 48" xfId="15601"/>
    <cellStyle name="Обычный 7 2 2 2 48 2" xfId="15602"/>
    <cellStyle name="Обычный 7 2 2 2 48 3" xfId="15603"/>
    <cellStyle name="Обычный 7 2 2 2 49" xfId="15604"/>
    <cellStyle name="Обычный 7 2 2 2 49 2" xfId="15605"/>
    <cellStyle name="Обычный 7 2 2 2 49 3" xfId="15606"/>
    <cellStyle name="Обычный 7 2 2 2 5" xfId="15607"/>
    <cellStyle name="Обычный 7 2 2 2 5 2" xfId="15608"/>
    <cellStyle name="Обычный 7 2 2 2 5 3" xfId="15609"/>
    <cellStyle name="Обычный 7 2 2 2 50" xfId="15610"/>
    <cellStyle name="Обычный 7 2 2 2 50 2" xfId="15611"/>
    <cellStyle name="Обычный 7 2 2 2 50 3" xfId="15612"/>
    <cellStyle name="Обычный 7 2 2 2 51" xfId="15613"/>
    <cellStyle name="Обычный 7 2 2 2 51 2" xfId="15614"/>
    <cellStyle name="Обычный 7 2 2 2 51 3" xfId="15615"/>
    <cellStyle name="Обычный 7 2 2 2 52" xfId="15616"/>
    <cellStyle name="Обычный 7 2 2 2 52 2" xfId="15617"/>
    <cellStyle name="Обычный 7 2 2 2 52 3" xfId="15618"/>
    <cellStyle name="Обычный 7 2 2 2 53" xfId="15619"/>
    <cellStyle name="Обычный 7 2 2 2 53 2" xfId="15620"/>
    <cellStyle name="Обычный 7 2 2 2 53 3" xfId="15621"/>
    <cellStyle name="Обычный 7 2 2 2 54" xfId="15622"/>
    <cellStyle name="Обычный 7 2 2 2 54 2" xfId="15623"/>
    <cellStyle name="Обычный 7 2 2 2 54 3" xfId="15624"/>
    <cellStyle name="Обычный 7 2 2 2 55" xfId="15625"/>
    <cellStyle name="Обычный 7 2 2 2 55 2" xfId="15626"/>
    <cellStyle name="Обычный 7 2 2 2 55 3" xfId="15627"/>
    <cellStyle name="Обычный 7 2 2 2 56" xfId="15628"/>
    <cellStyle name="Обычный 7 2 2 2 56 2" xfId="15629"/>
    <cellStyle name="Обычный 7 2 2 2 56 3" xfId="15630"/>
    <cellStyle name="Обычный 7 2 2 2 57" xfId="15631"/>
    <cellStyle name="Обычный 7 2 2 2 57 2" xfId="15632"/>
    <cellStyle name="Обычный 7 2 2 2 57 3" xfId="15633"/>
    <cellStyle name="Обычный 7 2 2 2 58" xfId="15634"/>
    <cellStyle name="Обычный 7 2 2 2 58 2" xfId="15635"/>
    <cellStyle name="Обычный 7 2 2 2 58 3" xfId="15636"/>
    <cellStyle name="Обычный 7 2 2 2 59" xfId="15637"/>
    <cellStyle name="Обычный 7 2 2 2 59 2" xfId="15638"/>
    <cellStyle name="Обычный 7 2 2 2 59 3" xfId="15639"/>
    <cellStyle name="Обычный 7 2 2 2 6" xfId="15640"/>
    <cellStyle name="Обычный 7 2 2 2 6 2" xfId="15641"/>
    <cellStyle name="Обычный 7 2 2 2 6 3" xfId="15642"/>
    <cellStyle name="Обычный 7 2 2 2 60" xfId="15643"/>
    <cellStyle name="Обычный 7 2 2 2 60 2" xfId="15644"/>
    <cellStyle name="Обычный 7 2 2 2 60 3" xfId="15645"/>
    <cellStyle name="Обычный 7 2 2 2 61" xfId="15646"/>
    <cellStyle name="Обычный 7 2 2 2 61 2" xfId="15647"/>
    <cellStyle name="Обычный 7 2 2 2 61 3" xfId="15648"/>
    <cellStyle name="Обычный 7 2 2 2 62" xfId="15649"/>
    <cellStyle name="Обычный 7 2 2 2 62 2" xfId="15650"/>
    <cellStyle name="Обычный 7 2 2 2 62 3" xfId="15651"/>
    <cellStyle name="Обычный 7 2 2 2 63" xfId="15652"/>
    <cellStyle name="Обычный 7 2 2 2 63 2" xfId="15653"/>
    <cellStyle name="Обычный 7 2 2 2 63 3" xfId="15654"/>
    <cellStyle name="Обычный 7 2 2 2 64" xfId="15655"/>
    <cellStyle name="Обычный 7 2 2 2 65" xfId="15656"/>
    <cellStyle name="Обычный 7 2 2 2 7" xfId="15657"/>
    <cellStyle name="Обычный 7 2 2 2 7 2" xfId="15658"/>
    <cellStyle name="Обычный 7 2 2 2 7 3" xfId="15659"/>
    <cellStyle name="Обычный 7 2 2 2 8" xfId="15660"/>
    <cellStyle name="Обычный 7 2 2 2 8 2" xfId="15661"/>
    <cellStyle name="Обычный 7 2 2 2 8 3" xfId="15662"/>
    <cellStyle name="Обычный 7 2 2 2 9" xfId="15663"/>
    <cellStyle name="Обычный 7 2 2 2 9 2" xfId="15664"/>
    <cellStyle name="Обычный 7 2 2 2 9 3" xfId="15665"/>
    <cellStyle name="Обычный 7 2 2 20" xfId="15666"/>
    <cellStyle name="Обычный 7 2 2 20 2" xfId="15667"/>
    <cellStyle name="Обычный 7 2 2 20 3" xfId="15668"/>
    <cellStyle name="Обычный 7 2 2 21" xfId="15669"/>
    <cellStyle name="Обычный 7 2 2 21 2" xfId="15670"/>
    <cellStyle name="Обычный 7 2 2 21 3" xfId="15671"/>
    <cellStyle name="Обычный 7 2 2 22" xfId="15672"/>
    <cellStyle name="Обычный 7 2 2 22 2" xfId="15673"/>
    <cellStyle name="Обычный 7 2 2 22 3" xfId="15674"/>
    <cellStyle name="Обычный 7 2 2 23" xfId="15675"/>
    <cellStyle name="Обычный 7 2 2 23 2" xfId="15676"/>
    <cellStyle name="Обычный 7 2 2 23 3" xfId="15677"/>
    <cellStyle name="Обычный 7 2 2 24" xfId="15678"/>
    <cellStyle name="Обычный 7 2 2 24 2" xfId="15679"/>
    <cellStyle name="Обычный 7 2 2 24 3" xfId="15680"/>
    <cellStyle name="Обычный 7 2 2 25" xfId="15681"/>
    <cellStyle name="Обычный 7 2 2 25 2" xfId="15682"/>
    <cellStyle name="Обычный 7 2 2 25 3" xfId="15683"/>
    <cellStyle name="Обычный 7 2 2 26" xfId="15684"/>
    <cellStyle name="Обычный 7 2 2 26 2" xfId="15685"/>
    <cellStyle name="Обычный 7 2 2 26 3" xfId="15686"/>
    <cellStyle name="Обычный 7 2 2 27" xfId="15687"/>
    <cellStyle name="Обычный 7 2 2 27 2" xfId="15688"/>
    <cellStyle name="Обычный 7 2 2 27 3" xfId="15689"/>
    <cellStyle name="Обычный 7 2 2 28" xfId="15690"/>
    <cellStyle name="Обычный 7 2 2 28 2" xfId="15691"/>
    <cellStyle name="Обычный 7 2 2 28 3" xfId="15692"/>
    <cellStyle name="Обычный 7 2 2 29" xfId="15693"/>
    <cellStyle name="Обычный 7 2 2 29 2" xfId="15694"/>
    <cellStyle name="Обычный 7 2 2 29 3" xfId="15695"/>
    <cellStyle name="Обычный 7 2 2 3" xfId="15696"/>
    <cellStyle name="Обычный 7 2 2 3 10" xfId="15697"/>
    <cellStyle name="Обычный 7 2 2 3 10 2" xfId="15698"/>
    <cellStyle name="Обычный 7 2 2 3 10 3" xfId="15699"/>
    <cellStyle name="Обычный 7 2 2 3 11" xfId="15700"/>
    <cellStyle name="Обычный 7 2 2 3 11 2" xfId="15701"/>
    <cellStyle name="Обычный 7 2 2 3 11 3" xfId="15702"/>
    <cellStyle name="Обычный 7 2 2 3 12" xfId="15703"/>
    <cellStyle name="Обычный 7 2 2 3 12 2" xfId="15704"/>
    <cellStyle name="Обычный 7 2 2 3 12 3" xfId="15705"/>
    <cellStyle name="Обычный 7 2 2 3 13" xfId="15706"/>
    <cellStyle name="Обычный 7 2 2 3 13 2" xfId="15707"/>
    <cellStyle name="Обычный 7 2 2 3 13 3" xfId="15708"/>
    <cellStyle name="Обычный 7 2 2 3 14" xfId="15709"/>
    <cellStyle name="Обычный 7 2 2 3 14 2" xfId="15710"/>
    <cellStyle name="Обычный 7 2 2 3 14 3" xfId="15711"/>
    <cellStyle name="Обычный 7 2 2 3 15" xfId="15712"/>
    <cellStyle name="Обычный 7 2 2 3 15 2" xfId="15713"/>
    <cellStyle name="Обычный 7 2 2 3 15 3" xfId="15714"/>
    <cellStyle name="Обычный 7 2 2 3 16" xfId="15715"/>
    <cellStyle name="Обычный 7 2 2 3 16 2" xfId="15716"/>
    <cellStyle name="Обычный 7 2 2 3 16 3" xfId="15717"/>
    <cellStyle name="Обычный 7 2 2 3 17" xfId="15718"/>
    <cellStyle name="Обычный 7 2 2 3 17 2" xfId="15719"/>
    <cellStyle name="Обычный 7 2 2 3 17 3" xfId="15720"/>
    <cellStyle name="Обычный 7 2 2 3 18" xfId="15721"/>
    <cellStyle name="Обычный 7 2 2 3 18 2" xfId="15722"/>
    <cellStyle name="Обычный 7 2 2 3 18 3" xfId="15723"/>
    <cellStyle name="Обычный 7 2 2 3 19" xfId="15724"/>
    <cellStyle name="Обычный 7 2 2 3 19 2" xfId="15725"/>
    <cellStyle name="Обычный 7 2 2 3 19 3" xfId="15726"/>
    <cellStyle name="Обычный 7 2 2 3 2" xfId="15727"/>
    <cellStyle name="Обычный 7 2 2 3 2 2" xfId="15728"/>
    <cellStyle name="Обычный 7 2 2 3 2 3" xfId="15729"/>
    <cellStyle name="Обычный 7 2 2 3 20" xfId="15730"/>
    <cellStyle name="Обычный 7 2 2 3 20 2" xfId="15731"/>
    <cellStyle name="Обычный 7 2 2 3 20 3" xfId="15732"/>
    <cellStyle name="Обычный 7 2 2 3 21" xfId="15733"/>
    <cellStyle name="Обычный 7 2 2 3 21 2" xfId="15734"/>
    <cellStyle name="Обычный 7 2 2 3 21 3" xfId="15735"/>
    <cellStyle name="Обычный 7 2 2 3 22" xfId="15736"/>
    <cellStyle name="Обычный 7 2 2 3 22 2" xfId="15737"/>
    <cellStyle name="Обычный 7 2 2 3 22 3" xfId="15738"/>
    <cellStyle name="Обычный 7 2 2 3 23" xfId="15739"/>
    <cellStyle name="Обычный 7 2 2 3 23 2" xfId="15740"/>
    <cellStyle name="Обычный 7 2 2 3 23 3" xfId="15741"/>
    <cellStyle name="Обычный 7 2 2 3 24" xfId="15742"/>
    <cellStyle name="Обычный 7 2 2 3 24 2" xfId="15743"/>
    <cellStyle name="Обычный 7 2 2 3 24 3" xfId="15744"/>
    <cellStyle name="Обычный 7 2 2 3 25" xfId="15745"/>
    <cellStyle name="Обычный 7 2 2 3 25 2" xfId="15746"/>
    <cellStyle name="Обычный 7 2 2 3 25 3" xfId="15747"/>
    <cellStyle name="Обычный 7 2 2 3 26" xfId="15748"/>
    <cellStyle name="Обычный 7 2 2 3 26 2" xfId="15749"/>
    <cellStyle name="Обычный 7 2 2 3 26 3" xfId="15750"/>
    <cellStyle name="Обычный 7 2 2 3 27" xfId="15751"/>
    <cellStyle name="Обычный 7 2 2 3 27 2" xfId="15752"/>
    <cellStyle name="Обычный 7 2 2 3 27 3" xfId="15753"/>
    <cellStyle name="Обычный 7 2 2 3 28" xfId="15754"/>
    <cellStyle name="Обычный 7 2 2 3 28 2" xfId="15755"/>
    <cellStyle name="Обычный 7 2 2 3 28 3" xfId="15756"/>
    <cellStyle name="Обычный 7 2 2 3 29" xfId="15757"/>
    <cellStyle name="Обычный 7 2 2 3 29 2" xfId="15758"/>
    <cellStyle name="Обычный 7 2 2 3 29 3" xfId="15759"/>
    <cellStyle name="Обычный 7 2 2 3 3" xfId="15760"/>
    <cellStyle name="Обычный 7 2 2 3 3 2" xfId="15761"/>
    <cellStyle name="Обычный 7 2 2 3 3 3" xfId="15762"/>
    <cellStyle name="Обычный 7 2 2 3 30" xfId="15763"/>
    <cellStyle name="Обычный 7 2 2 3 30 2" xfId="15764"/>
    <cellStyle name="Обычный 7 2 2 3 30 3" xfId="15765"/>
    <cellStyle name="Обычный 7 2 2 3 31" xfId="15766"/>
    <cellStyle name="Обычный 7 2 2 3 31 2" xfId="15767"/>
    <cellStyle name="Обычный 7 2 2 3 31 3" xfId="15768"/>
    <cellStyle name="Обычный 7 2 2 3 32" xfId="15769"/>
    <cellStyle name="Обычный 7 2 2 3 32 2" xfId="15770"/>
    <cellStyle name="Обычный 7 2 2 3 32 3" xfId="15771"/>
    <cellStyle name="Обычный 7 2 2 3 33" xfId="15772"/>
    <cellStyle name="Обычный 7 2 2 3 33 2" xfId="15773"/>
    <cellStyle name="Обычный 7 2 2 3 33 3" xfId="15774"/>
    <cellStyle name="Обычный 7 2 2 3 34" xfId="15775"/>
    <cellStyle name="Обычный 7 2 2 3 34 2" xfId="15776"/>
    <cellStyle name="Обычный 7 2 2 3 34 3" xfId="15777"/>
    <cellStyle name="Обычный 7 2 2 3 35" xfId="15778"/>
    <cellStyle name="Обычный 7 2 2 3 35 2" xfId="15779"/>
    <cellStyle name="Обычный 7 2 2 3 35 3" xfId="15780"/>
    <cellStyle name="Обычный 7 2 2 3 36" xfId="15781"/>
    <cellStyle name="Обычный 7 2 2 3 36 2" xfId="15782"/>
    <cellStyle name="Обычный 7 2 2 3 36 3" xfId="15783"/>
    <cellStyle name="Обычный 7 2 2 3 37" xfId="15784"/>
    <cellStyle name="Обычный 7 2 2 3 37 2" xfId="15785"/>
    <cellStyle name="Обычный 7 2 2 3 37 3" xfId="15786"/>
    <cellStyle name="Обычный 7 2 2 3 38" xfId="15787"/>
    <cellStyle name="Обычный 7 2 2 3 38 2" xfId="15788"/>
    <cellStyle name="Обычный 7 2 2 3 38 3" xfId="15789"/>
    <cellStyle name="Обычный 7 2 2 3 39" xfId="15790"/>
    <cellStyle name="Обычный 7 2 2 3 39 2" xfId="15791"/>
    <cellStyle name="Обычный 7 2 2 3 39 3" xfId="15792"/>
    <cellStyle name="Обычный 7 2 2 3 4" xfId="15793"/>
    <cellStyle name="Обычный 7 2 2 3 4 2" xfId="15794"/>
    <cellStyle name="Обычный 7 2 2 3 4 3" xfId="15795"/>
    <cellStyle name="Обычный 7 2 2 3 40" xfId="15796"/>
    <cellStyle name="Обычный 7 2 2 3 40 2" xfId="15797"/>
    <cellStyle name="Обычный 7 2 2 3 40 3" xfId="15798"/>
    <cellStyle name="Обычный 7 2 2 3 41" xfId="15799"/>
    <cellStyle name="Обычный 7 2 2 3 41 2" xfId="15800"/>
    <cellStyle name="Обычный 7 2 2 3 41 3" xfId="15801"/>
    <cellStyle name="Обычный 7 2 2 3 42" xfId="15802"/>
    <cellStyle name="Обычный 7 2 2 3 42 2" xfId="15803"/>
    <cellStyle name="Обычный 7 2 2 3 42 3" xfId="15804"/>
    <cellStyle name="Обычный 7 2 2 3 43" xfId="15805"/>
    <cellStyle name="Обычный 7 2 2 3 43 2" xfId="15806"/>
    <cellStyle name="Обычный 7 2 2 3 43 3" xfId="15807"/>
    <cellStyle name="Обычный 7 2 2 3 44" xfId="15808"/>
    <cellStyle name="Обычный 7 2 2 3 44 2" xfId="15809"/>
    <cellStyle name="Обычный 7 2 2 3 44 3" xfId="15810"/>
    <cellStyle name="Обычный 7 2 2 3 45" xfId="15811"/>
    <cellStyle name="Обычный 7 2 2 3 45 2" xfId="15812"/>
    <cellStyle name="Обычный 7 2 2 3 45 3" xfId="15813"/>
    <cellStyle name="Обычный 7 2 2 3 46" xfId="15814"/>
    <cellStyle name="Обычный 7 2 2 3 46 2" xfId="15815"/>
    <cellStyle name="Обычный 7 2 2 3 46 3" xfId="15816"/>
    <cellStyle name="Обычный 7 2 2 3 47" xfId="15817"/>
    <cellStyle name="Обычный 7 2 2 3 47 2" xfId="15818"/>
    <cellStyle name="Обычный 7 2 2 3 47 3" xfId="15819"/>
    <cellStyle name="Обычный 7 2 2 3 48" xfId="15820"/>
    <cellStyle name="Обычный 7 2 2 3 48 2" xfId="15821"/>
    <cellStyle name="Обычный 7 2 2 3 48 3" xfId="15822"/>
    <cellStyle name="Обычный 7 2 2 3 49" xfId="15823"/>
    <cellStyle name="Обычный 7 2 2 3 49 2" xfId="15824"/>
    <cellStyle name="Обычный 7 2 2 3 49 3" xfId="15825"/>
    <cellStyle name="Обычный 7 2 2 3 5" xfId="15826"/>
    <cellStyle name="Обычный 7 2 2 3 5 2" xfId="15827"/>
    <cellStyle name="Обычный 7 2 2 3 5 3" xfId="15828"/>
    <cellStyle name="Обычный 7 2 2 3 50" xfId="15829"/>
    <cellStyle name="Обычный 7 2 2 3 50 2" xfId="15830"/>
    <cellStyle name="Обычный 7 2 2 3 50 3" xfId="15831"/>
    <cellStyle name="Обычный 7 2 2 3 51" xfId="15832"/>
    <cellStyle name="Обычный 7 2 2 3 51 2" xfId="15833"/>
    <cellStyle name="Обычный 7 2 2 3 51 3" xfId="15834"/>
    <cellStyle name="Обычный 7 2 2 3 52" xfId="15835"/>
    <cellStyle name="Обычный 7 2 2 3 52 2" xfId="15836"/>
    <cellStyle name="Обычный 7 2 2 3 52 3" xfId="15837"/>
    <cellStyle name="Обычный 7 2 2 3 53" xfId="15838"/>
    <cellStyle name="Обычный 7 2 2 3 53 2" xfId="15839"/>
    <cellStyle name="Обычный 7 2 2 3 53 3" xfId="15840"/>
    <cellStyle name="Обычный 7 2 2 3 54" xfId="15841"/>
    <cellStyle name="Обычный 7 2 2 3 54 2" xfId="15842"/>
    <cellStyle name="Обычный 7 2 2 3 54 3" xfId="15843"/>
    <cellStyle name="Обычный 7 2 2 3 55" xfId="15844"/>
    <cellStyle name="Обычный 7 2 2 3 55 2" xfId="15845"/>
    <cellStyle name="Обычный 7 2 2 3 55 3" xfId="15846"/>
    <cellStyle name="Обычный 7 2 2 3 56" xfId="15847"/>
    <cellStyle name="Обычный 7 2 2 3 56 2" xfId="15848"/>
    <cellStyle name="Обычный 7 2 2 3 56 3" xfId="15849"/>
    <cellStyle name="Обычный 7 2 2 3 57" xfId="15850"/>
    <cellStyle name="Обычный 7 2 2 3 57 2" xfId="15851"/>
    <cellStyle name="Обычный 7 2 2 3 57 3" xfId="15852"/>
    <cellStyle name="Обычный 7 2 2 3 58" xfId="15853"/>
    <cellStyle name="Обычный 7 2 2 3 58 2" xfId="15854"/>
    <cellStyle name="Обычный 7 2 2 3 58 3" xfId="15855"/>
    <cellStyle name="Обычный 7 2 2 3 59" xfId="15856"/>
    <cellStyle name="Обычный 7 2 2 3 59 2" xfId="15857"/>
    <cellStyle name="Обычный 7 2 2 3 59 3" xfId="15858"/>
    <cellStyle name="Обычный 7 2 2 3 6" xfId="15859"/>
    <cellStyle name="Обычный 7 2 2 3 6 2" xfId="15860"/>
    <cellStyle name="Обычный 7 2 2 3 6 3" xfId="15861"/>
    <cellStyle name="Обычный 7 2 2 3 60" xfId="15862"/>
    <cellStyle name="Обычный 7 2 2 3 60 2" xfId="15863"/>
    <cellStyle name="Обычный 7 2 2 3 60 3" xfId="15864"/>
    <cellStyle name="Обычный 7 2 2 3 61" xfId="15865"/>
    <cellStyle name="Обычный 7 2 2 3 61 2" xfId="15866"/>
    <cellStyle name="Обычный 7 2 2 3 61 3" xfId="15867"/>
    <cellStyle name="Обычный 7 2 2 3 62" xfId="15868"/>
    <cellStyle name="Обычный 7 2 2 3 62 2" xfId="15869"/>
    <cellStyle name="Обычный 7 2 2 3 62 3" xfId="15870"/>
    <cellStyle name="Обычный 7 2 2 3 63" xfId="15871"/>
    <cellStyle name="Обычный 7 2 2 3 63 2" xfId="15872"/>
    <cellStyle name="Обычный 7 2 2 3 63 3" xfId="15873"/>
    <cellStyle name="Обычный 7 2 2 3 64" xfId="15874"/>
    <cellStyle name="Обычный 7 2 2 3 65" xfId="15875"/>
    <cellStyle name="Обычный 7 2 2 3 7" xfId="15876"/>
    <cellStyle name="Обычный 7 2 2 3 7 2" xfId="15877"/>
    <cellStyle name="Обычный 7 2 2 3 7 3" xfId="15878"/>
    <cellStyle name="Обычный 7 2 2 3 8" xfId="15879"/>
    <cellStyle name="Обычный 7 2 2 3 8 2" xfId="15880"/>
    <cellStyle name="Обычный 7 2 2 3 8 3" xfId="15881"/>
    <cellStyle name="Обычный 7 2 2 3 9" xfId="15882"/>
    <cellStyle name="Обычный 7 2 2 3 9 2" xfId="15883"/>
    <cellStyle name="Обычный 7 2 2 3 9 3" xfId="15884"/>
    <cellStyle name="Обычный 7 2 2 30" xfId="15885"/>
    <cellStyle name="Обычный 7 2 2 30 2" xfId="15886"/>
    <cellStyle name="Обычный 7 2 2 30 3" xfId="15887"/>
    <cellStyle name="Обычный 7 2 2 31" xfId="15888"/>
    <cellStyle name="Обычный 7 2 2 31 2" xfId="15889"/>
    <cellStyle name="Обычный 7 2 2 31 3" xfId="15890"/>
    <cellStyle name="Обычный 7 2 2 32" xfId="15891"/>
    <cellStyle name="Обычный 7 2 2 32 2" xfId="15892"/>
    <cellStyle name="Обычный 7 2 2 32 3" xfId="15893"/>
    <cellStyle name="Обычный 7 2 2 33" xfId="15894"/>
    <cellStyle name="Обычный 7 2 2 33 2" xfId="15895"/>
    <cellStyle name="Обычный 7 2 2 33 3" xfId="15896"/>
    <cellStyle name="Обычный 7 2 2 34" xfId="15897"/>
    <cellStyle name="Обычный 7 2 2 34 2" xfId="15898"/>
    <cellStyle name="Обычный 7 2 2 34 3" xfId="15899"/>
    <cellStyle name="Обычный 7 2 2 35" xfId="15900"/>
    <cellStyle name="Обычный 7 2 2 35 2" xfId="15901"/>
    <cellStyle name="Обычный 7 2 2 35 3" xfId="15902"/>
    <cellStyle name="Обычный 7 2 2 36" xfId="15903"/>
    <cellStyle name="Обычный 7 2 2 36 2" xfId="15904"/>
    <cellStyle name="Обычный 7 2 2 36 3" xfId="15905"/>
    <cellStyle name="Обычный 7 2 2 37" xfId="15906"/>
    <cellStyle name="Обычный 7 2 2 37 2" xfId="15907"/>
    <cellStyle name="Обычный 7 2 2 37 3" xfId="15908"/>
    <cellStyle name="Обычный 7 2 2 38" xfId="15909"/>
    <cellStyle name="Обычный 7 2 2 38 2" xfId="15910"/>
    <cellStyle name="Обычный 7 2 2 38 3" xfId="15911"/>
    <cellStyle name="Обычный 7 2 2 39" xfId="15912"/>
    <cellStyle name="Обычный 7 2 2 39 2" xfId="15913"/>
    <cellStyle name="Обычный 7 2 2 39 3" xfId="15914"/>
    <cellStyle name="Обычный 7 2 2 4" xfId="15915"/>
    <cellStyle name="Обычный 7 2 2 4 10" xfId="15916"/>
    <cellStyle name="Обычный 7 2 2 4 10 2" xfId="15917"/>
    <cellStyle name="Обычный 7 2 2 4 10 3" xfId="15918"/>
    <cellStyle name="Обычный 7 2 2 4 11" xfId="15919"/>
    <cellStyle name="Обычный 7 2 2 4 11 2" xfId="15920"/>
    <cellStyle name="Обычный 7 2 2 4 11 3" xfId="15921"/>
    <cellStyle name="Обычный 7 2 2 4 12" xfId="15922"/>
    <cellStyle name="Обычный 7 2 2 4 12 2" xfId="15923"/>
    <cellStyle name="Обычный 7 2 2 4 12 3" xfId="15924"/>
    <cellStyle name="Обычный 7 2 2 4 13" xfId="15925"/>
    <cellStyle name="Обычный 7 2 2 4 13 2" xfId="15926"/>
    <cellStyle name="Обычный 7 2 2 4 13 3" xfId="15927"/>
    <cellStyle name="Обычный 7 2 2 4 14" xfId="15928"/>
    <cellStyle name="Обычный 7 2 2 4 14 2" xfId="15929"/>
    <cellStyle name="Обычный 7 2 2 4 14 3" xfId="15930"/>
    <cellStyle name="Обычный 7 2 2 4 15" xfId="15931"/>
    <cellStyle name="Обычный 7 2 2 4 15 2" xfId="15932"/>
    <cellStyle name="Обычный 7 2 2 4 15 3" xfId="15933"/>
    <cellStyle name="Обычный 7 2 2 4 16" xfId="15934"/>
    <cellStyle name="Обычный 7 2 2 4 16 2" xfId="15935"/>
    <cellStyle name="Обычный 7 2 2 4 16 3" xfId="15936"/>
    <cellStyle name="Обычный 7 2 2 4 17" xfId="15937"/>
    <cellStyle name="Обычный 7 2 2 4 17 2" xfId="15938"/>
    <cellStyle name="Обычный 7 2 2 4 17 3" xfId="15939"/>
    <cellStyle name="Обычный 7 2 2 4 18" xfId="15940"/>
    <cellStyle name="Обычный 7 2 2 4 18 2" xfId="15941"/>
    <cellStyle name="Обычный 7 2 2 4 18 3" xfId="15942"/>
    <cellStyle name="Обычный 7 2 2 4 19" xfId="15943"/>
    <cellStyle name="Обычный 7 2 2 4 19 2" xfId="15944"/>
    <cellStyle name="Обычный 7 2 2 4 19 3" xfId="15945"/>
    <cellStyle name="Обычный 7 2 2 4 2" xfId="15946"/>
    <cellStyle name="Обычный 7 2 2 4 2 2" xfId="15947"/>
    <cellStyle name="Обычный 7 2 2 4 2 3" xfId="15948"/>
    <cellStyle name="Обычный 7 2 2 4 20" xfId="15949"/>
    <cellStyle name="Обычный 7 2 2 4 20 2" xfId="15950"/>
    <cellStyle name="Обычный 7 2 2 4 20 3" xfId="15951"/>
    <cellStyle name="Обычный 7 2 2 4 21" xfId="15952"/>
    <cellStyle name="Обычный 7 2 2 4 21 2" xfId="15953"/>
    <cellStyle name="Обычный 7 2 2 4 21 3" xfId="15954"/>
    <cellStyle name="Обычный 7 2 2 4 22" xfId="15955"/>
    <cellStyle name="Обычный 7 2 2 4 22 2" xfId="15956"/>
    <cellStyle name="Обычный 7 2 2 4 22 3" xfId="15957"/>
    <cellStyle name="Обычный 7 2 2 4 23" xfId="15958"/>
    <cellStyle name="Обычный 7 2 2 4 23 2" xfId="15959"/>
    <cellStyle name="Обычный 7 2 2 4 23 3" xfId="15960"/>
    <cellStyle name="Обычный 7 2 2 4 24" xfId="15961"/>
    <cellStyle name="Обычный 7 2 2 4 24 2" xfId="15962"/>
    <cellStyle name="Обычный 7 2 2 4 24 3" xfId="15963"/>
    <cellStyle name="Обычный 7 2 2 4 25" xfId="15964"/>
    <cellStyle name="Обычный 7 2 2 4 25 2" xfId="15965"/>
    <cellStyle name="Обычный 7 2 2 4 25 3" xfId="15966"/>
    <cellStyle name="Обычный 7 2 2 4 26" xfId="15967"/>
    <cellStyle name="Обычный 7 2 2 4 26 2" xfId="15968"/>
    <cellStyle name="Обычный 7 2 2 4 26 3" xfId="15969"/>
    <cellStyle name="Обычный 7 2 2 4 27" xfId="15970"/>
    <cellStyle name="Обычный 7 2 2 4 27 2" xfId="15971"/>
    <cellStyle name="Обычный 7 2 2 4 27 3" xfId="15972"/>
    <cellStyle name="Обычный 7 2 2 4 28" xfId="15973"/>
    <cellStyle name="Обычный 7 2 2 4 28 2" xfId="15974"/>
    <cellStyle name="Обычный 7 2 2 4 28 3" xfId="15975"/>
    <cellStyle name="Обычный 7 2 2 4 29" xfId="15976"/>
    <cellStyle name="Обычный 7 2 2 4 29 2" xfId="15977"/>
    <cellStyle name="Обычный 7 2 2 4 29 3" xfId="15978"/>
    <cellStyle name="Обычный 7 2 2 4 3" xfId="15979"/>
    <cellStyle name="Обычный 7 2 2 4 3 2" xfId="15980"/>
    <cellStyle name="Обычный 7 2 2 4 3 3" xfId="15981"/>
    <cellStyle name="Обычный 7 2 2 4 30" xfId="15982"/>
    <cellStyle name="Обычный 7 2 2 4 30 2" xfId="15983"/>
    <cellStyle name="Обычный 7 2 2 4 30 3" xfId="15984"/>
    <cellStyle name="Обычный 7 2 2 4 31" xfId="15985"/>
    <cellStyle name="Обычный 7 2 2 4 31 2" xfId="15986"/>
    <cellStyle name="Обычный 7 2 2 4 31 3" xfId="15987"/>
    <cellStyle name="Обычный 7 2 2 4 32" xfId="15988"/>
    <cellStyle name="Обычный 7 2 2 4 32 2" xfId="15989"/>
    <cellStyle name="Обычный 7 2 2 4 32 3" xfId="15990"/>
    <cellStyle name="Обычный 7 2 2 4 33" xfId="15991"/>
    <cellStyle name="Обычный 7 2 2 4 33 2" xfId="15992"/>
    <cellStyle name="Обычный 7 2 2 4 33 3" xfId="15993"/>
    <cellStyle name="Обычный 7 2 2 4 34" xfId="15994"/>
    <cellStyle name="Обычный 7 2 2 4 34 2" xfId="15995"/>
    <cellStyle name="Обычный 7 2 2 4 34 3" xfId="15996"/>
    <cellStyle name="Обычный 7 2 2 4 35" xfId="15997"/>
    <cellStyle name="Обычный 7 2 2 4 35 2" xfId="15998"/>
    <cellStyle name="Обычный 7 2 2 4 35 3" xfId="15999"/>
    <cellStyle name="Обычный 7 2 2 4 36" xfId="16000"/>
    <cellStyle name="Обычный 7 2 2 4 36 2" xfId="16001"/>
    <cellStyle name="Обычный 7 2 2 4 36 3" xfId="16002"/>
    <cellStyle name="Обычный 7 2 2 4 37" xfId="16003"/>
    <cellStyle name="Обычный 7 2 2 4 37 2" xfId="16004"/>
    <cellStyle name="Обычный 7 2 2 4 37 3" xfId="16005"/>
    <cellStyle name="Обычный 7 2 2 4 38" xfId="16006"/>
    <cellStyle name="Обычный 7 2 2 4 38 2" xfId="16007"/>
    <cellStyle name="Обычный 7 2 2 4 38 3" xfId="16008"/>
    <cellStyle name="Обычный 7 2 2 4 39" xfId="16009"/>
    <cellStyle name="Обычный 7 2 2 4 39 2" xfId="16010"/>
    <cellStyle name="Обычный 7 2 2 4 39 3" xfId="16011"/>
    <cellStyle name="Обычный 7 2 2 4 4" xfId="16012"/>
    <cellStyle name="Обычный 7 2 2 4 4 2" xfId="16013"/>
    <cellStyle name="Обычный 7 2 2 4 4 3" xfId="16014"/>
    <cellStyle name="Обычный 7 2 2 4 40" xfId="16015"/>
    <cellStyle name="Обычный 7 2 2 4 40 2" xfId="16016"/>
    <cellStyle name="Обычный 7 2 2 4 40 3" xfId="16017"/>
    <cellStyle name="Обычный 7 2 2 4 41" xfId="16018"/>
    <cellStyle name="Обычный 7 2 2 4 41 2" xfId="16019"/>
    <cellStyle name="Обычный 7 2 2 4 41 3" xfId="16020"/>
    <cellStyle name="Обычный 7 2 2 4 42" xfId="16021"/>
    <cellStyle name="Обычный 7 2 2 4 42 2" xfId="16022"/>
    <cellStyle name="Обычный 7 2 2 4 42 3" xfId="16023"/>
    <cellStyle name="Обычный 7 2 2 4 43" xfId="16024"/>
    <cellStyle name="Обычный 7 2 2 4 43 2" xfId="16025"/>
    <cellStyle name="Обычный 7 2 2 4 43 3" xfId="16026"/>
    <cellStyle name="Обычный 7 2 2 4 44" xfId="16027"/>
    <cellStyle name="Обычный 7 2 2 4 44 2" xfId="16028"/>
    <cellStyle name="Обычный 7 2 2 4 44 3" xfId="16029"/>
    <cellStyle name="Обычный 7 2 2 4 45" xfId="16030"/>
    <cellStyle name="Обычный 7 2 2 4 45 2" xfId="16031"/>
    <cellStyle name="Обычный 7 2 2 4 45 3" xfId="16032"/>
    <cellStyle name="Обычный 7 2 2 4 46" xfId="16033"/>
    <cellStyle name="Обычный 7 2 2 4 46 2" xfId="16034"/>
    <cellStyle name="Обычный 7 2 2 4 46 3" xfId="16035"/>
    <cellStyle name="Обычный 7 2 2 4 47" xfId="16036"/>
    <cellStyle name="Обычный 7 2 2 4 47 2" xfId="16037"/>
    <cellStyle name="Обычный 7 2 2 4 47 3" xfId="16038"/>
    <cellStyle name="Обычный 7 2 2 4 48" xfId="16039"/>
    <cellStyle name="Обычный 7 2 2 4 48 2" xfId="16040"/>
    <cellStyle name="Обычный 7 2 2 4 48 3" xfId="16041"/>
    <cellStyle name="Обычный 7 2 2 4 49" xfId="16042"/>
    <cellStyle name="Обычный 7 2 2 4 49 2" xfId="16043"/>
    <cellStyle name="Обычный 7 2 2 4 49 3" xfId="16044"/>
    <cellStyle name="Обычный 7 2 2 4 5" xfId="16045"/>
    <cellStyle name="Обычный 7 2 2 4 5 2" xfId="16046"/>
    <cellStyle name="Обычный 7 2 2 4 5 3" xfId="16047"/>
    <cellStyle name="Обычный 7 2 2 4 50" xfId="16048"/>
    <cellStyle name="Обычный 7 2 2 4 50 2" xfId="16049"/>
    <cellStyle name="Обычный 7 2 2 4 50 3" xfId="16050"/>
    <cellStyle name="Обычный 7 2 2 4 51" xfId="16051"/>
    <cellStyle name="Обычный 7 2 2 4 51 2" xfId="16052"/>
    <cellStyle name="Обычный 7 2 2 4 51 3" xfId="16053"/>
    <cellStyle name="Обычный 7 2 2 4 52" xfId="16054"/>
    <cellStyle name="Обычный 7 2 2 4 52 2" xfId="16055"/>
    <cellStyle name="Обычный 7 2 2 4 52 3" xfId="16056"/>
    <cellStyle name="Обычный 7 2 2 4 53" xfId="16057"/>
    <cellStyle name="Обычный 7 2 2 4 53 2" xfId="16058"/>
    <cellStyle name="Обычный 7 2 2 4 53 3" xfId="16059"/>
    <cellStyle name="Обычный 7 2 2 4 54" xfId="16060"/>
    <cellStyle name="Обычный 7 2 2 4 54 2" xfId="16061"/>
    <cellStyle name="Обычный 7 2 2 4 54 3" xfId="16062"/>
    <cellStyle name="Обычный 7 2 2 4 55" xfId="16063"/>
    <cellStyle name="Обычный 7 2 2 4 55 2" xfId="16064"/>
    <cellStyle name="Обычный 7 2 2 4 55 3" xfId="16065"/>
    <cellStyle name="Обычный 7 2 2 4 56" xfId="16066"/>
    <cellStyle name="Обычный 7 2 2 4 56 2" xfId="16067"/>
    <cellStyle name="Обычный 7 2 2 4 56 3" xfId="16068"/>
    <cellStyle name="Обычный 7 2 2 4 57" xfId="16069"/>
    <cellStyle name="Обычный 7 2 2 4 57 2" xfId="16070"/>
    <cellStyle name="Обычный 7 2 2 4 57 3" xfId="16071"/>
    <cellStyle name="Обычный 7 2 2 4 58" xfId="16072"/>
    <cellStyle name="Обычный 7 2 2 4 58 2" xfId="16073"/>
    <cellStyle name="Обычный 7 2 2 4 58 3" xfId="16074"/>
    <cellStyle name="Обычный 7 2 2 4 59" xfId="16075"/>
    <cellStyle name="Обычный 7 2 2 4 59 2" xfId="16076"/>
    <cellStyle name="Обычный 7 2 2 4 59 3" xfId="16077"/>
    <cellStyle name="Обычный 7 2 2 4 6" xfId="16078"/>
    <cellStyle name="Обычный 7 2 2 4 6 2" xfId="16079"/>
    <cellStyle name="Обычный 7 2 2 4 6 3" xfId="16080"/>
    <cellStyle name="Обычный 7 2 2 4 60" xfId="16081"/>
    <cellStyle name="Обычный 7 2 2 4 60 2" xfId="16082"/>
    <cellStyle name="Обычный 7 2 2 4 60 3" xfId="16083"/>
    <cellStyle name="Обычный 7 2 2 4 61" xfId="16084"/>
    <cellStyle name="Обычный 7 2 2 4 61 2" xfId="16085"/>
    <cellStyle name="Обычный 7 2 2 4 61 3" xfId="16086"/>
    <cellStyle name="Обычный 7 2 2 4 62" xfId="16087"/>
    <cellStyle name="Обычный 7 2 2 4 62 2" xfId="16088"/>
    <cellStyle name="Обычный 7 2 2 4 62 3" xfId="16089"/>
    <cellStyle name="Обычный 7 2 2 4 63" xfId="16090"/>
    <cellStyle name="Обычный 7 2 2 4 63 2" xfId="16091"/>
    <cellStyle name="Обычный 7 2 2 4 63 3" xfId="16092"/>
    <cellStyle name="Обычный 7 2 2 4 64" xfId="16093"/>
    <cellStyle name="Обычный 7 2 2 4 65" xfId="16094"/>
    <cellStyle name="Обычный 7 2 2 4 7" xfId="16095"/>
    <cellStyle name="Обычный 7 2 2 4 7 2" xfId="16096"/>
    <cellStyle name="Обычный 7 2 2 4 7 3" xfId="16097"/>
    <cellStyle name="Обычный 7 2 2 4 8" xfId="16098"/>
    <cellStyle name="Обычный 7 2 2 4 8 2" xfId="16099"/>
    <cellStyle name="Обычный 7 2 2 4 8 3" xfId="16100"/>
    <cellStyle name="Обычный 7 2 2 4 9" xfId="16101"/>
    <cellStyle name="Обычный 7 2 2 4 9 2" xfId="16102"/>
    <cellStyle name="Обычный 7 2 2 4 9 3" xfId="16103"/>
    <cellStyle name="Обычный 7 2 2 40" xfId="16104"/>
    <cellStyle name="Обычный 7 2 2 40 2" xfId="16105"/>
    <cellStyle name="Обычный 7 2 2 40 3" xfId="16106"/>
    <cellStyle name="Обычный 7 2 2 41" xfId="16107"/>
    <cellStyle name="Обычный 7 2 2 41 2" xfId="16108"/>
    <cellStyle name="Обычный 7 2 2 41 3" xfId="16109"/>
    <cellStyle name="Обычный 7 2 2 42" xfId="16110"/>
    <cellStyle name="Обычный 7 2 2 42 2" xfId="16111"/>
    <cellStyle name="Обычный 7 2 2 42 3" xfId="16112"/>
    <cellStyle name="Обычный 7 2 2 43" xfId="16113"/>
    <cellStyle name="Обычный 7 2 2 43 2" xfId="16114"/>
    <cellStyle name="Обычный 7 2 2 43 3" xfId="16115"/>
    <cellStyle name="Обычный 7 2 2 44" xfId="16116"/>
    <cellStyle name="Обычный 7 2 2 44 2" xfId="16117"/>
    <cellStyle name="Обычный 7 2 2 44 3" xfId="16118"/>
    <cellStyle name="Обычный 7 2 2 45" xfId="16119"/>
    <cellStyle name="Обычный 7 2 2 45 2" xfId="16120"/>
    <cellStyle name="Обычный 7 2 2 45 3" xfId="16121"/>
    <cellStyle name="Обычный 7 2 2 46" xfId="16122"/>
    <cellStyle name="Обычный 7 2 2 46 2" xfId="16123"/>
    <cellStyle name="Обычный 7 2 2 46 3" xfId="16124"/>
    <cellStyle name="Обычный 7 2 2 47" xfId="16125"/>
    <cellStyle name="Обычный 7 2 2 47 2" xfId="16126"/>
    <cellStyle name="Обычный 7 2 2 47 3" xfId="16127"/>
    <cellStyle name="Обычный 7 2 2 48" xfId="16128"/>
    <cellStyle name="Обычный 7 2 2 48 2" xfId="16129"/>
    <cellStyle name="Обычный 7 2 2 48 3" xfId="16130"/>
    <cellStyle name="Обычный 7 2 2 49" xfId="16131"/>
    <cellStyle name="Обычный 7 2 2 49 2" xfId="16132"/>
    <cellStyle name="Обычный 7 2 2 49 3" xfId="16133"/>
    <cellStyle name="Обычный 7 2 2 5" xfId="16134"/>
    <cellStyle name="Обычный 7 2 2 5 10" xfId="16135"/>
    <cellStyle name="Обычный 7 2 2 5 10 2" xfId="16136"/>
    <cellStyle name="Обычный 7 2 2 5 10 3" xfId="16137"/>
    <cellStyle name="Обычный 7 2 2 5 11" xfId="16138"/>
    <cellStyle name="Обычный 7 2 2 5 11 2" xfId="16139"/>
    <cellStyle name="Обычный 7 2 2 5 11 3" xfId="16140"/>
    <cellStyle name="Обычный 7 2 2 5 12" xfId="16141"/>
    <cellStyle name="Обычный 7 2 2 5 12 2" xfId="16142"/>
    <cellStyle name="Обычный 7 2 2 5 12 3" xfId="16143"/>
    <cellStyle name="Обычный 7 2 2 5 13" xfId="16144"/>
    <cellStyle name="Обычный 7 2 2 5 13 2" xfId="16145"/>
    <cellStyle name="Обычный 7 2 2 5 13 3" xfId="16146"/>
    <cellStyle name="Обычный 7 2 2 5 14" xfId="16147"/>
    <cellStyle name="Обычный 7 2 2 5 14 2" xfId="16148"/>
    <cellStyle name="Обычный 7 2 2 5 14 3" xfId="16149"/>
    <cellStyle name="Обычный 7 2 2 5 15" xfId="16150"/>
    <cellStyle name="Обычный 7 2 2 5 15 2" xfId="16151"/>
    <cellStyle name="Обычный 7 2 2 5 15 3" xfId="16152"/>
    <cellStyle name="Обычный 7 2 2 5 16" xfId="16153"/>
    <cellStyle name="Обычный 7 2 2 5 16 2" xfId="16154"/>
    <cellStyle name="Обычный 7 2 2 5 16 3" xfId="16155"/>
    <cellStyle name="Обычный 7 2 2 5 17" xfId="16156"/>
    <cellStyle name="Обычный 7 2 2 5 17 2" xfId="16157"/>
    <cellStyle name="Обычный 7 2 2 5 17 3" xfId="16158"/>
    <cellStyle name="Обычный 7 2 2 5 18" xfId="16159"/>
    <cellStyle name="Обычный 7 2 2 5 18 2" xfId="16160"/>
    <cellStyle name="Обычный 7 2 2 5 18 3" xfId="16161"/>
    <cellStyle name="Обычный 7 2 2 5 19" xfId="16162"/>
    <cellStyle name="Обычный 7 2 2 5 19 2" xfId="16163"/>
    <cellStyle name="Обычный 7 2 2 5 19 3" xfId="16164"/>
    <cellStyle name="Обычный 7 2 2 5 2" xfId="16165"/>
    <cellStyle name="Обычный 7 2 2 5 2 2" xfId="16166"/>
    <cellStyle name="Обычный 7 2 2 5 2 3" xfId="16167"/>
    <cellStyle name="Обычный 7 2 2 5 20" xfId="16168"/>
    <cellStyle name="Обычный 7 2 2 5 20 2" xfId="16169"/>
    <cellStyle name="Обычный 7 2 2 5 20 3" xfId="16170"/>
    <cellStyle name="Обычный 7 2 2 5 21" xfId="16171"/>
    <cellStyle name="Обычный 7 2 2 5 21 2" xfId="16172"/>
    <cellStyle name="Обычный 7 2 2 5 21 3" xfId="16173"/>
    <cellStyle name="Обычный 7 2 2 5 22" xfId="16174"/>
    <cellStyle name="Обычный 7 2 2 5 22 2" xfId="16175"/>
    <cellStyle name="Обычный 7 2 2 5 22 3" xfId="16176"/>
    <cellStyle name="Обычный 7 2 2 5 23" xfId="16177"/>
    <cellStyle name="Обычный 7 2 2 5 23 2" xfId="16178"/>
    <cellStyle name="Обычный 7 2 2 5 23 3" xfId="16179"/>
    <cellStyle name="Обычный 7 2 2 5 24" xfId="16180"/>
    <cellStyle name="Обычный 7 2 2 5 24 2" xfId="16181"/>
    <cellStyle name="Обычный 7 2 2 5 24 3" xfId="16182"/>
    <cellStyle name="Обычный 7 2 2 5 25" xfId="16183"/>
    <cellStyle name="Обычный 7 2 2 5 25 2" xfId="16184"/>
    <cellStyle name="Обычный 7 2 2 5 25 3" xfId="16185"/>
    <cellStyle name="Обычный 7 2 2 5 26" xfId="16186"/>
    <cellStyle name="Обычный 7 2 2 5 26 2" xfId="16187"/>
    <cellStyle name="Обычный 7 2 2 5 26 3" xfId="16188"/>
    <cellStyle name="Обычный 7 2 2 5 27" xfId="16189"/>
    <cellStyle name="Обычный 7 2 2 5 27 2" xfId="16190"/>
    <cellStyle name="Обычный 7 2 2 5 27 3" xfId="16191"/>
    <cellStyle name="Обычный 7 2 2 5 28" xfId="16192"/>
    <cellStyle name="Обычный 7 2 2 5 28 2" xfId="16193"/>
    <cellStyle name="Обычный 7 2 2 5 28 3" xfId="16194"/>
    <cellStyle name="Обычный 7 2 2 5 29" xfId="16195"/>
    <cellStyle name="Обычный 7 2 2 5 29 2" xfId="16196"/>
    <cellStyle name="Обычный 7 2 2 5 29 3" xfId="16197"/>
    <cellStyle name="Обычный 7 2 2 5 3" xfId="16198"/>
    <cellStyle name="Обычный 7 2 2 5 3 2" xfId="16199"/>
    <cellStyle name="Обычный 7 2 2 5 3 3" xfId="16200"/>
    <cellStyle name="Обычный 7 2 2 5 30" xfId="16201"/>
    <cellStyle name="Обычный 7 2 2 5 30 2" xfId="16202"/>
    <cellStyle name="Обычный 7 2 2 5 30 3" xfId="16203"/>
    <cellStyle name="Обычный 7 2 2 5 31" xfId="16204"/>
    <cellStyle name="Обычный 7 2 2 5 31 2" xfId="16205"/>
    <cellStyle name="Обычный 7 2 2 5 31 3" xfId="16206"/>
    <cellStyle name="Обычный 7 2 2 5 32" xfId="16207"/>
    <cellStyle name="Обычный 7 2 2 5 32 2" xfId="16208"/>
    <cellStyle name="Обычный 7 2 2 5 32 3" xfId="16209"/>
    <cellStyle name="Обычный 7 2 2 5 33" xfId="16210"/>
    <cellStyle name="Обычный 7 2 2 5 33 2" xfId="16211"/>
    <cellStyle name="Обычный 7 2 2 5 33 3" xfId="16212"/>
    <cellStyle name="Обычный 7 2 2 5 34" xfId="16213"/>
    <cellStyle name="Обычный 7 2 2 5 34 2" xfId="16214"/>
    <cellStyle name="Обычный 7 2 2 5 34 3" xfId="16215"/>
    <cellStyle name="Обычный 7 2 2 5 35" xfId="16216"/>
    <cellStyle name="Обычный 7 2 2 5 35 2" xfId="16217"/>
    <cellStyle name="Обычный 7 2 2 5 35 3" xfId="16218"/>
    <cellStyle name="Обычный 7 2 2 5 36" xfId="16219"/>
    <cellStyle name="Обычный 7 2 2 5 36 2" xfId="16220"/>
    <cellStyle name="Обычный 7 2 2 5 36 3" xfId="16221"/>
    <cellStyle name="Обычный 7 2 2 5 37" xfId="16222"/>
    <cellStyle name="Обычный 7 2 2 5 37 2" xfId="16223"/>
    <cellStyle name="Обычный 7 2 2 5 37 3" xfId="16224"/>
    <cellStyle name="Обычный 7 2 2 5 38" xfId="16225"/>
    <cellStyle name="Обычный 7 2 2 5 38 2" xfId="16226"/>
    <cellStyle name="Обычный 7 2 2 5 38 3" xfId="16227"/>
    <cellStyle name="Обычный 7 2 2 5 39" xfId="16228"/>
    <cellStyle name="Обычный 7 2 2 5 39 2" xfId="16229"/>
    <cellStyle name="Обычный 7 2 2 5 39 3" xfId="16230"/>
    <cellStyle name="Обычный 7 2 2 5 4" xfId="16231"/>
    <cellStyle name="Обычный 7 2 2 5 4 2" xfId="16232"/>
    <cellStyle name="Обычный 7 2 2 5 4 3" xfId="16233"/>
    <cellStyle name="Обычный 7 2 2 5 40" xfId="16234"/>
    <cellStyle name="Обычный 7 2 2 5 40 2" xfId="16235"/>
    <cellStyle name="Обычный 7 2 2 5 40 3" xfId="16236"/>
    <cellStyle name="Обычный 7 2 2 5 41" xfId="16237"/>
    <cellStyle name="Обычный 7 2 2 5 41 2" xfId="16238"/>
    <cellStyle name="Обычный 7 2 2 5 41 3" xfId="16239"/>
    <cellStyle name="Обычный 7 2 2 5 42" xfId="16240"/>
    <cellStyle name="Обычный 7 2 2 5 42 2" xfId="16241"/>
    <cellStyle name="Обычный 7 2 2 5 42 3" xfId="16242"/>
    <cellStyle name="Обычный 7 2 2 5 43" xfId="16243"/>
    <cellStyle name="Обычный 7 2 2 5 43 2" xfId="16244"/>
    <cellStyle name="Обычный 7 2 2 5 43 3" xfId="16245"/>
    <cellStyle name="Обычный 7 2 2 5 44" xfId="16246"/>
    <cellStyle name="Обычный 7 2 2 5 44 2" xfId="16247"/>
    <cellStyle name="Обычный 7 2 2 5 44 3" xfId="16248"/>
    <cellStyle name="Обычный 7 2 2 5 45" xfId="16249"/>
    <cellStyle name="Обычный 7 2 2 5 45 2" xfId="16250"/>
    <cellStyle name="Обычный 7 2 2 5 45 3" xfId="16251"/>
    <cellStyle name="Обычный 7 2 2 5 46" xfId="16252"/>
    <cellStyle name="Обычный 7 2 2 5 46 2" xfId="16253"/>
    <cellStyle name="Обычный 7 2 2 5 46 3" xfId="16254"/>
    <cellStyle name="Обычный 7 2 2 5 47" xfId="16255"/>
    <cellStyle name="Обычный 7 2 2 5 47 2" xfId="16256"/>
    <cellStyle name="Обычный 7 2 2 5 47 3" xfId="16257"/>
    <cellStyle name="Обычный 7 2 2 5 48" xfId="16258"/>
    <cellStyle name="Обычный 7 2 2 5 48 2" xfId="16259"/>
    <cellStyle name="Обычный 7 2 2 5 48 3" xfId="16260"/>
    <cellStyle name="Обычный 7 2 2 5 49" xfId="16261"/>
    <cellStyle name="Обычный 7 2 2 5 49 2" xfId="16262"/>
    <cellStyle name="Обычный 7 2 2 5 49 3" xfId="16263"/>
    <cellStyle name="Обычный 7 2 2 5 5" xfId="16264"/>
    <cellStyle name="Обычный 7 2 2 5 5 2" xfId="16265"/>
    <cellStyle name="Обычный 7 2 2 5 5 3" xfId="16266"/>
    <cellStyle name="Обычный 7 2 2 5 50" xfId="16267"/>
    <cellStyle name="Обычный 7 2 2 5 50 2" xfId="16268"/>
    <cellStyle name="Обычный 7 2 2 5 50 3" xfId="16269"/>
    <cellStyle name="Обычный 7 2 2 5 51" xfId="16270"/>
    <cellStyle name="Обычный 7 2 2 5 51 2" xfId="16271"/>
    <cellStyle name="Обычный 7 2 2 5 51 3" xfId="16272"/>
    <cellStyle name="Обычный 7 2 2 5 52" xfId="16273"/>
    <cellStyle name="Обычный 7 2 2 5 52 2" xfId="16274"/>
    <cellStyle name="Обычный 7 2 2 5 52 3" xfId="16275"/>
    <cellStyle name="Обычный 7 2 2 5 53" xfId="16276"/>
    <cellStyle name="Обычный 7 2 2 5 53 2" xfId="16277"/>
    <cellStyle name="Обычный 7 2 2 5 53 3" xfId="16278"/>
    <cellStyle name="Обычный 7 2 2 5 54" xfId="16279"/>
    <cellStyle name="Обычный 7 2 2 5 54 2" xfId="16280"/>
    <cellStyle name="Обычный 7 2 2 5 54 3" xfId="16281"/>
    <cellStyle name="Обычный 7 2 2 5 55" xfId="16282"/>
    <cellStyle name="Обычный 7 2 2 5 55 2" xfId="16283"/>
    <cellStyle name="Обычный 7 2 2 5 55 3" xfId="16284"/>
    <cellStyle name="Обычный 7 2 2 5 56" xfId="16285"/>
    <cellStyle name="Обычный 7 2 2 5 56 2" xfId="16286"/>
    <cellStyle name="Обычный 7 2 2 5 56 3" xfId="16287"/>
    <cellStyle name="Обычный 7 2 2 5 57" xfId="16288"/>
    <cellStyle name="Обычный 7 2 2 5 57 2" xfId="16289"/>
    <cellStyle name="Обычный 7 2 2 5 57 3" xfId="16290"/>
    <cellStyle name="Обычный 7 2 2 5 58" xfId="16291"/>
    <cellStyle name="Обычный 7 2 2 5 58 2" xfId="16292"/>
    <cellStyle name="Обычный 7 2 2 5 58 3" xfId="16293"/>
    <cellStyle name="Обычный 7 2 2 5 59" xfId="16294"/>
    <cellStyle name="Обычный 7 2 2 5 59 2" xfId="16295"/>
    <cellStyle name="Обычный 7 2 2 5 59 3" xfId="16296"/>
    <cellStyle name="Обычный 7 2 2 5 6" xfId="16297"/>
    <cellStyle name="Обычный 7 2 2 5 6 2" xfId="16298"/>
    <cellStyle name="Обычный 7 2 2 5 6 3" xfId="16299"/>
    <cellStyle name="Обычный 7 2 2 5 60" xfId="16300"/>
    <cellStyle name="Обычный 7 2 2 5 60 2" xfId="16301"/>
    <cellStyle name="Обычный 7 2 2 5 60 3" xfId="16302"/>
    <cellStyle name="Обычный 7 2 2 5 61" xfId="16303"/>
    <cellStyle name="Обычный 7 2 2 5 61 2" xfId="16304"/>
    <cellStyle name="Обычный 7 2 2 5 61 3" xfId="16305"/>
    <cellStyle name="Обычный 7 2 2 5 62" xfId="16306"/>
    <cellStyle name="Обычный 7 2 2 5 62 2" xfId="16307"/>
    <cellStyle name="Обычный 7 2 2 5 62 3" xfId="16308"/>
    <cellStyle name="Обычный 7 2 2 5 63" xfId="16309"/>
    <cellStyle name="Обычный 7 2 2 5 63 2" xfId="16310"/>
    <cellStyle name="Обычный 7 2 2 5 63 3" xfId="16311"/>
    <cellStyle name="Обычный 7 2 2 5 64" xfId="16312"/>
    <cellStyle name="Обычный 7 2 2 5 65" xfId="16313"/>
    <cellStyle name="Обычный 7 2 2 5 7" xfId="16314"/>
    <cellStyle name="Обычный 7 2 2 5 7 2" xfId="16315"/>
    <cellStyle name="Обычный 7 2 2 5 7 3" xfId="16316"/>
    <cellStyle name="Обычный 7 2 2 5 8" xfId="16317"/>
    <cellStyle name="Обычный 7 2 2 5 8 2" xfId="16318"/>
    <cellStyle name="Обычный 7 2 2 5 8 3" xfId="16319"/>
    <cellStyle name="Обычный 7 2 2 5 9" xfId="16320"/>
    <cellStyle name="Обычный 7 2 2 5 9 2" xfId="16321"/>
    <cellStyle name="Обычный 7 2 2 5 9 3" xfId="16322"/>
    <cellStyle name="Обычный 7 2 2 50" xfId="16323"/>
    <cellStyle name="Обычный 7 2 2 50 2" xfId="16324"/>
    <cellStyle name="Обычный 7 2 2 50 3" xfId="16325"/>
    <cellStyle name="Обычный 7 2 2 51" xfId="16326"/>
    <cellStyle name="Обычный 7 2 2 51 2" xfId="16327"/>
    <cellStyle name="Обычный 7 2 2 51 3" xfId="16328"/>
    <cellStyle name="Обычный 7 2 2 52" xfId="16329"/>
    <cellStyle name="Обычный 7 2 2 52 2" xfId="16330"/>
    <cellStyle name="Обычный 7 2 2 52 3" xfId="16331"/>
    <cellStyle name="Обычный 7 2 2 53" xfId="16332"/>
    <cellStyle name="Обычный 7 2 2 53 2" xfId="16333"/>
    <cellStyle name="Обычный 7 2 2 53 3" xfId="16334"/>
    <cellStyle name="Обычный 7 2 2 54" xfId="16335"/>
    <cellStyle name="Обычный 7 2 2 54 2" xfId="16336"/>
    <cellStyle name="Обычный 7 2 2 54 3" xfId="16337"/>
    <cellStyle name="Обычный 7 2 2 55" xfId="16338"/>
    <cellStyle name="Обычный 7 2 2 55 2" xfId="16339"/>
    <cellStyle name="Обычный 7 2 2 55 3" xfId="16340"/>
    <cellStyle name="Обычный 7 2 2 56" xfId="16341"/>
    <cellStyle name="Обычный 7 2 2 56 2" xfId="16342"/>
    <cellStyle name="Обычный 7 2 2 56 3" xfId="16343"/>
    <cellStyle name="Обычный 7 2 2 57" xfId="16344"/>
    <cellStyle name="Обычный 7 2 2 57 2" xfId="16345"/>
    <cellStyle name="Обычный 7 2 2 57 3" xfId="16346"/>
    <cellStyle name="Обычный 7 2 2 58" xfId="16347"/>
    <cellStyle name="Обычный 7 2 2 58 2" xfId="16348"/>
    <cellStyle name="Обычный 7 2 2 58 3" xfId="16349"/>
    <cellStyle name="Обычный 7 2 2 59" xfId="16350"/>
    <cellStyle name="Обычный 7 2 2 59 2" xfId="16351"/>
    <cellStyle name="Обычный 7 2 2 59 3" xfId="16352"/>
    <cellStyle name="Обычный 7 2 2 6" xfId="16353"/>
    <cellStyle name="Обычный 7 2 2 6 10" xfId="16354"/>
    <cellStyle name="Обычный 7 2 2 6 10 2" xfId="16355"/>
    <cellStyle name="Обычный 7 2 2 6 10 3" xfId="16356"/>
    <cellStyle name="Обычный 7 2 2 6 11" xfId="16357"/>
    <cellStyle name="Обычный 7 2 2 6 11 2" xfId="16358"/>
    <cellStyle name="Обычный 7 2 2 6 11 3" xfId="16359"/>
    <cellStyle name="Обычный 7 2 2 6 12" xfId="16360"/>
    <cellStyle name="Обычный 7 2 2 6 12 2" xfId="16361"/>
    <cellStyle name="Обычный 7 2 2 6 12 3" xfId="16362"/>
    <cellStyle name="Обычный 7 2 2 6 13" xfId="16363"/>
    <cellStyle name="Обычный 7 2 2 6 13 2" xfId="16364"/>
    <cellStyle name="Обычный 7 2 2 6 13 3" xfId="16365"/>
    <cellStyle name="Обычный 7 2 2 6 14" xfId="16366"/>
    <cellStyle name="Обычный 7 2 2 6 14 2" xfId="16367"/>
    <cellStyle name="Обычный 7 2 2 6 14 3" xfId="16368"/>
    <cellStyle name="Обычный 7 2 2 6 15" xfId="16369"/>
    <cellStyle name="Обычный 7 2 2 6 15 2" xfId="16370"/>
    <cellStyle name="Обычный 7 2 2 6 15 3" xfId="16371"/>
    <cellStyle name="Обычный 7 2 2 6 16" xfId="16372"/>
    <cellStyle name="Обычный 7 2 2 6 16 2" xfId="16373"/>
    <cellStyle name="Обычный 7 2 2 6 16 3" xfId="16374"/>
    <cellStyle name="Обычный 7 2 2 6 17" xfId="16375"/>
    <cellStyle name="Обычный 7 2 2 6 17 2" xfId="16376"/>
    <cellStyle name="Обычный 7 2 2 6 17 3" xfId="16377"/>
    <cellStyle name="Обычный 7 2 2 6 18" xfId="16378"/>
    <cellStyle name="Обычный 7 2 2 6 18 2" xfId="16379"/>
    <cellStyle name="Обычный 7 2 2 6 18 3" xfId="16380"/>
    <cellStyle name="Обычный 7 2 2 6 19" xfId="16381"/>
    <cellStyle name="Обычный 7 2 2 6 19 2" xfId="16382"/>
    <cellStyle name="Обычный 7 2 2 6 19 3" xfId="16383"/>
    <cellStyle name="Обычный 7 2 2 6 2" xfId="16384"/>
    <cellStyle name="Обычный 7 2 2 6 2 2" xfId="16385"/>
    <cellStyle name="Обычный 7 2 2 6 2 3" xfId="16386"/>
    <cellStyle name="Обычный 7 2 2 6 20" xfId="16387"/>
    <cellStyle name="Обычный 7 2 2 6 20 2" xfId="16388"/>
    <cellStyle name="Обычный 7 2 2 6 20 3" xfId="16389"/>
    <cellStyle name="Обычный 7 2 2 6 21" xfId="16390"/>
    <cellStyle name="Обычный 7 2 2 6 21 2" xfId="16391"/>
    <cellStyle name="Обычный 7 2 2 6 21 3" xfId="16392"/>
    <cellStyle name="Обычный 7 2 2 6 22" xfId="16393"/>
    <cellStyle name="Обычный 7 2 2 6 22 2" xfId="16394"/>
    <cellStyle name="Обычный 7 2 2 6 22 3" xfId="16395"/>
    <cellStyle name="Обычный 7 2 2 6 23" xfId="16396"/>
    <cellStyle name="Обычный 7 2 2 6 23 2" xfId="16397"/>
    <cellStyle name="Обычный 7 2 2 6 23 3" xfId="16398"/>
    <cellStyle name="Обычный 7 2 2 6 24" xfId="16399"/>
    <cellStyle name="Обычный 7 2 2 6 24 2" xfId="16400"/>
    <cellStyle name="Обычный 7 2 2 6 24 3" xfId="16401"/>
    <cellStyle name="Обычный 7 2 2 6 25" xfId="16402"/>
    <cellStyle name="Обычный 7 2 2 6 25 2" xfId="16403"/>
    <cellStyle name="Обычный 7 2 2 6 25 3" xfId="16404"/>
    <cellStyle name="Обычный 7 2 2 6 26" xfId="16405"/>
    <cellStyle name="Обычный 7 2 2 6 26 2" xfId="16406"/>
    <cellStyle name="Обычный 7 2 2 6 26 3" xfId="16407"/>
    <cellStyle name="Обычный 7 2 2 6 27" xfId="16408"/>
    <cellStyle name="Обычный 7 2 2 6 27 2" xfId="16409"/>
    <cellStyle name="Обычный 7 2 2 6 27 3" xfId="16410"/>
    <cellStyle name="Обычный 7 2 2 6 28" xfId="16411"/>
    <cellStyle name="Обычный 7 2 2 6 28 2" xfId="16412"/>
    <cellStyle name="Обычный 7 2 2 6 28 3" xfId="16413"/>
    <cellStyle name="Обычный 7 2 2 6 29" xfId="16414"/>
    <cellStyle name="Обычный 7 2 2 6 29 2" xfId="16415"/>
    <cellStyle name="Обычный 7 2 2 6 29 3" xfId="16416"/>
    <cellStyle name="Обычный 7 2 2 6 3" xfId="16417"/>
    <cellStyle name="Обычный 7 2 2 6 3 2" xfId="16418"/>
    <cellStyle name="Обычный 7 2 2 6 3 3" xfId="16419"/>
    <cellStyle name="Обычный 7 2 2 6 30" xfId="16420"/>
    <cellStyle name="Обычный 7 2 2 6 30 2" xfId="16421"/>
    <cellStyle name="Обычный 7 2 2 6 30 3" xfId="16422"/>
    <cellStyle name="Обычный 7 2 2 6 31" xfId="16423"/>
    <cellStyle name="Обычный 7 2 2 6 31 2" xfId="16424"/>
    <cellStyle name="Обычный 7 2 2 6 31 3" xfId="16425"/>
    <cellStyle name="Обычный 7 2 2 6 32" xfId="16426"/>
    <cellStyle name="Обычный 7 2 2 6 32 2" xfId="16427"/>
    <cellStyle name="Обычный 7 2 2 6 32 3" xfId="16428"/>
    <cellStyle name="Обычный 7 2 2 6 33" xfId="16429"/>
    <cellStyle name="Обычный 7 2 2 6 33 2" xfId="16430"/>
    <cellStyle name="Обычный 7 2 2 6 33 3" xfId="16431"/>
    <cellStyle name="Обычный 7 2 2 6 34" xfId="16432"/>
    <cellStyle name="Обычный 7 2 2 6 34 2" xfId="16433"/>
    <cellStyle name="Обычный 7 2 2 6 34 3" xfId="16434"/>
    <cellStyle name="Обычный 7 2 2 6 35" xfId="16435"/>
    <cellStyle name="Обычный 7 2 2 6 35 2" xfId="16436"/>
    <cellStyle name="Обычный 7 2 2 6 35 3" xfId="16437"/>
    <cellStyle name="Обычный 7 2 2 6 36" xfId="16438"/>
    <cellStyle name="Обычный 7 2 2 6 36 2" xfId="16439"/>
    <cellStyle name="Обычный 7 2 2 6 36 3" xfId="16440"/>
    <cellStyle name="Обычный 7 2 2 6 37" xfId="16441"/>
    <cellStyle name="Обычный 7 2 2 6 37 2" xfId="16442"/>
    <cellStyle name="Обычный 7 2 2 6 37 3" xfId="16443"/>
    <cellStyle name="Обычный 7 2 2 6 38" xfId="16444"/>
    <cellStyle name="Обычный 7 2 2 6 38 2" xfId="16445"/>
    <cellStyle name="Обычный 7 2 2 6 38 3" xfId="16446"/>
    <cellStyle name="Обычный 7 2 2 6 39" xfId="16447"/>
    <cellStyle name="Обычный 7 2 2 6 39 2" xfId="16448"/>
    <cellStyle name="Обычный 7 2 2 6 39 3" xfId="16449"/>
    <cellStyle name="Обычный 7 2 2 6 4" xfId="16450"/>
    <cellStyle name="Обычный 7 2 2 6 4 2" xfId="16451"/>
    <cellStyle name="Обычный 7 2 2 6 4 3" xfId="16452"/>
    <cellStyle name="Обычный 7 2 2 6 40" xfId="16453"/>
    <cellStyle name="Обычный 7 2 2 6 40 2" xfId="16454"/>
    <cellStyle name="Обычный 7 2 2 6 40 3" xfId="16455"/>
    <cellStyle name="Обычный 7 2 2 6 41" xfId="16456"/>
    <cellStyle name="Обычный 7 2 2 6 41 2" xfId="16457"/>
    <cellStyle name="Обычный 7 2 2 6 41 3" xfId="16458"/>
    <cellStyle name="Обычный 7 2 2 6 42" xfId="16459"/>
    <cellStyle name="Обычный 7 2 2 6 42 2" xfId="16460"/>
    <cellStyle name="Обычный 7 2 2 6 42 3" xfId="16461"/>
    <cellStyle name="Обычный 7 2 2 6 43" xfId="16462"/>
    <cellStyle name="Обычный 7 2 2 6 43 2" xfId="16463"/>
    <cellStyle name="Обычный 7 2 2 6 43 3" xfId="16464"/>
    <cellStyle name="Обычный 7 2 2 6 44" xfId="16465"/>
    <cellStyle name="Обычный 7 2 2 6 44 2" xfId="16466"/>
    <cellStyle name="Обычный 7 2 2 6 44 3" xfId="16467"/>
    <cellStyle name="Обычный 7 2 2 6 45" xfId="16468"/>
    <cellStyle name="Обычный 7 2 2 6 45 2" xfId="16469"/>
    <cellStyle name="Обычный 7 2 2 6 45 3" xfId="16470"/>
    <cellStyle name="Обычный 7 2 2 6 46" xfId="16471"/>
    <cellStyle name="Обычный 7 2 2 6 46 2" xfId="16472"/>
    <cellStyle name="Обычный 7 2 2 6 46 3" xfId="16473"/>
    <cellStyle name="Обычный 7 2 2 6 47" xfId="16474"/>
    <cellStyle name="Обычный 7 2 2 6 47 2" xfId="16475"/>
    <cellStyle name="Обычный 7 2 2 6 47 3" xfId="16476"/>
    <cellStyle name="Обычный 7 2 2 6 48" xfId="16477"/>
    <cellStyle name="Обычный 7 2 2 6 48 2" xfId="16478"/>
    <cellStyle name="Обычный 7 2 2 6 48 3" xfId="16479"/>
    <cellStyle name="Обычный 7 2 2 6 49" xfId="16480"/>
    <cellStyle name="Обычный 7 2 2 6 49 2" xfId="16481"/>
    <cellStyle name="Обычный 7 2 2 6 49 3" xfId="16482"/>
    <cellStyle name="Обычный 7 2 2 6 5" xfId="16483"/>
    <cellStyle name="Обычный 7 2 2 6 5 2" xfId="16484"/>
    <cellStyle name="Обычный 7 2 2 6 5 3" xfId="16485"/>
    <cellStyle name="Обычный 7 2 2 6 50" xfId="16486"/>
    <cellStyle name="Обычный 7 2 2 6 50 2" xfId="16487"/>
    <cellStyle name="Обычный 7 2 2 6 50 3" xfId="16488"/>
    <cellStyle name="Обычный 7 2 2 6 51" xfId="16489"/>
    <cellStyle name="Обычный 7 2 2 6 51 2" xfId="16490"/>
    <cellStyle name="Обычный 7 2 2 6 51 3" xfId="16491"/>
    <cellStyle name="Обычный 7 2 2 6 52" xfId="16492"/>
    <cellStyle name="Обычный 7 2 2 6 52 2" xfId="16493"/>
    <cellStyle name="Обычный 7 2 2 6 52 3" xfId="16494"/>
    <cellStyle name="Обычный 7 2 2 6 53" xfId="16495"/>
    <cellStyle name="Обычный 7 2 2 6 53 2" xfId="16496"/>
    <cellStyle name="Обычный 7 2 2 6 53 3" xfId="16497"/>
    <cellStyle name="Обычный 7 2 2 6 54" xfId="16498"/>
    <cellStyle name="Обычный 7 2 2 6 54 2" xfId="16499"/>
    <cellStyle name="Обычный 7 2 2 6 54 3" xfId="16500"/>
    <cellStyle name="Обычный 7 2 2 6 55" xfId="16501"/>
    <cellStyle name="Обычный 7 2 2 6 55 2" xfId="16502"/>
    <cellStyle name="Обычный 7 2 2 6 55 3" xfId="16503"/>
    <cellStyle name="Обычный 7 2 2 6 56" xfId="16504"/>
    <cellStyle name="Обычный 7 2 2 6 56 2" xfId="16505"/>
    <cellStyle name="Обычный 7 2 2 6 56 3" xfId="16506"/>
    <cellStyle name="Обычный 7 2 2 6 57" xfId="16507"/>
    <cellStyle name="Обычный 7 2 2 6 57 2" xfId="16508"/>
    <cellStyle name="Обычный 7 2 2 6 57 3" xfId="16509"/>
    <cellStyle name="Обычный 7 2 2 6 58" xfId="16510"/>
    <cellStyle name="Обычный 7 2 2 6 58 2" xfId="16511"/>
    <cellStyle name="Обычный 7 2 2 6 58 3" xfId="16512"/>
    <cellStyle name="Обычный 7 2 2 6 59" xfId="16513"/>
    <cellStyle name="Обычный 7 2 2 6 59 2" xfId="16514"/>
    <cellStyle name="Обычный 7 2 2 6 59 3" xfId="16515"/>
    <cellStyle name="Обычный 7 2 2 6 6" xfId="16516"/>
    <cellStyle name="Обычный 7 2 2 6 6 2" xfId="16517"/>
    <cellStyle name="Обычный 7 2 2 6 6 3" xfId="16518"/>
    <cellStyle name="Обычный 7 2 2 6 60" xfId="16519"/>
    <cellStyle name="Обычный 7 2 2 6 60 2" xfId="16520"/>
    <cellStyle name="Обычный 7 2 2 6 60 3" xfId="16521"/>
    <cellStyle name="Обычный 7 2 2 6 61" xfId="16522"/>
    <cellStyle name="Обычный 7 2 2 6 61 2" xfId="16523"/>
    <cellStyle name="Обычный 7 2 2 6 61 3" xfId="16524"/>
    <cellStyle name="Обычный 7 2 2 6 62" xfId="16525"/>
    <cellStyle name="Обычный 7 2 2 6 62 2" xfId="16526"/>
    <cellStyle name="Обычный 7 2 2 6 62 3" xfId="16527"/>
    <cellStyle name="Обычный 7 2 2 6 63" xfId="16528"/>
    <cellStyle name="Обычный 7 2 2 6 63 2" xfId="16529"/>
    <cellStyle name="Обычный 7 2 2 6 63 3" xfId="16530"/>
    <cellStyle name="Обычный 7 2 2 6 64" xfId="16531"/>
    <cellStyle name="Обычный 7 2 2 6 65" xfId="16532"/>
    <cellStyle name="Обычный 7 2 2 6 7" xfId="16533"/>
    <cellStyle name="Обычный 7 2 2 6 7 2" xfId="16534"/>
    <cellStyle name="Обычный 7 2 2 6 7 3" xfId="16535"/>
    <cellStyle name="Обычный 7 2 2 6 8" xfId="16536"/>
    <cellStyle name="Обычный 7 2 2 6 8 2" xfId="16537"/>
    <cellStyle name="Обычный 7 2 2 6 8 3" xfId="16538"/>
    <cellStyle name="Обычный 7 2 2 6 9" xfId="16539"/>
    <cellStyle name="Обычный 7 2 2 6 9 2" xfId="16540"/>
    <cellStyle name="Обычный 7 2 2 6 9 3" xfId="16541"/>
    <cellStyle name="Обычный 7 2 2 60" xfId="16542"/>
    <cellStyle name="Обычный 7 2 2 60 2" xfId="16543"/>
    <cellStyle name="Обычный 7 2 2 60 3" xfId="16544"/>
    <cellStyle name="Обычный 7 2 2 61" xfId="16545"/>
    <cellStyle name="Обычный 7 2 2 61 2" xfId="16546"/>
    <cellStyle name="Обычный 7 2 2 61 3" xfId="16547"/>
    <cellStyle name="Обычный 7 2 2 62" xfId="16548"/>
    <cellStyle name="Обычный 7 2 2 62 2" xfId="16549"/>
    <cellStyle name="Обычный 7 2 2 62 3" xfId="16550"/>
    <cellStyle name="Обычный 7 2 2 63" xfId="16551"/>
    <cellStyle name="Обычный 7 2 2 63 2" xfId="16552"/>
    <cellStyle name="Обычный 7 2 2 63 3" xfId="16553"/>
    <cellStyle name="Обычный 7 2 2 64" xfId="16554"/>
    <cellStyle name="Обычный 7 2 2 64 2" xfId="16555"/>
    <cellStyle name="Обычный 7 2 2 64 3" xfId="16556"/>
    <cellStyle name="Обычный 7 2 2 65" xfId="16557"/>
    <cellStyle name="Обычный 7 2 2 65 2" xfId="16558"/>
    <cellStyle name="Обычный 7 2 2 65 3" xfId="16559"/>
    <cellStyle name="Обычный 7 2 2 66" xfId="16560"/>
    <cellStyle name="Обычный 7 2 2 66 2" xfId="16561"/>
    <cellStyle name="Обычный 7 2 2 66 3" xfId="16562"/>
    <cellStyle name="Обычный 7 2 2 67" xfId="16563"/>
    <cellStyle name="Обычный 7 2 2 67 2" xfId="16564"/>
    <cellStyle name="Обычный 7 2 2 67 3" xfId="16565"/>
    <cellStyle name="Обычный 7 2 2 68" xfId="16566"/>
    <cellStyle name="Обычный 7 2 2 68 2" xfId="16567"/>
    <cellStyle name="Обычный 7 2 2 68 3" xfId="16568"/>
    <cellStyle name="Обычный 7 2 2 69" xfId="16569"/>
    <cellStyle name="Обычный 7 2 2 69 2" xfId="16570"/>
    <cellStyle name="Обычный 7 2 2 69 3" xfId="16571"/>
    <cellStyle name="Обычный 7 2 2 7" xfId="16572"/>
    <cellStyle name="Обычный 7 2 2 7 10" xfId="16573"/>
    <cellStyle name="Обычный 7 2 2 7 10 2" xfId="16574"/>
    <cellStyle name="Обычный 7 2 2 7 10 3" xfId="16575"/>
    <cellStyle name="Обычный 7 2 2 7 11" xfId="16576"/>
    <cellStyle name="Обычный 7 2 2 7 11 2" xfId="16577"/>
    <cellStyle name="Обычный 7 2 2 7 11 3" xfId="16578"/>
    <cellStyle name="Обычный 7 2 2 7 12" xfId="16579"/>
    <cellStyle name="Обычный 7 2 2 7 12 2" xfId="16580"/>
    <cellStyle name="Обычный 7 2 2 7 12 3" xfId="16581"/>
    <cellStyle name="Обычный 7 2 2 7 13" xfId="16582"/>
    <cellStyle name="Обычный 7 2 2 7 13 2" xfId="16583"/>
    <cellStyle name="Обычный 7 2 2 7 13 3" xfId="16584"/>
    <cellStyle name="Обычный 7 2 2 7 14" xfId="16585"/>
    <cellStyle name="Обычный 7 2 2 7 14 2" xfId="16586"/>
    <cellStyle name="Обычный 7 2 2 7 14 3" xfId="16587"/>
    <cellStyle name="Обычный 7 2 2 7 15" xfId="16588"/>
    <cellStyle name="Обычный 7 2 2 7 15 2" xfId="16589"/>
    <cellStyle name="Обычный 7 2 2 7 15 3" xfId="16590"/>
    <cellStyle name="Обычный 7 2 2 7 16" xfId="16591"/>
    <cellStyle name="Обычный 7 2 2 7 16 2" xfId="16592"/>
    <cellStyle name="Обычный 7 2 2 7 16 3" xfId="16593"/>
    <cellStyle name="Обычный 7 2 2 7 17" xfId="16594"/>
    <cellStyle name="Обычный 7 2 2 7 17 2" xfId="16595"/>
    <cellStyle name="Обычный 7 2 2 7 17 3" xfId="16596"/>
    <cellStyle name="Обычный 7 2 2 7 18" xfId="16597"/>
    <cellStyle name="Обычный 7 2 2 7 18 2" xfId="16598"/>
    <cellStyle name="Обычный 7 2 2 7 18 3" xfId="16599"/>
    <cellStyle name="Обычный 7 2 2 7 19" xfId="16600"/>
    <cellStyle name="Обычный 7 2 2 7 19 2" xfId="16601"/>
    <cellStyle name="Обычный 7 2 2 7 19 3" xfId="16602"/>
    <cellStyle name="Обычный 7 2 2 7 2" xfId="16603"/>
    <cellStyle name="Обычный 7 2 2 7 2 2" xfId="16604"/>
    <cellStyle name="Обычный 7 2 2 7 2 3" xfId="16605"/>
    <cellStyle name="Обычный 7 2 2 7 20" xfId="16606"/>
    <cellStyle name="Обычный 7 2 2 7 20 2" xfId="16607"/>
    <cellStyle name="Обычный 7 2 2 7 20 3" xfId="16608"/>
    <cellStyle name="Обычный 7 2 2 7 21" xfId="16609"/>
    <cellStyle name="Обычный 7 2 2 7 21 2" xfId="16610"/>
    <cellStyle name="Обычный 7 2 2 7 21 3" xfId="16611"/>
    <cellStyle name="Обычный 7 2 2 7 22" xfId="16612"/>
    <cellStyle name="Обычный 7 2 2 7 22 2" xfId="16613"/>
    <cellStyle name="Обычный 7 2 2 7 22 3" xfId="16614"/>
    <cellStyle name="Обычный 7 2 2 7 23" xfId="16615"/>
    <cellStyle name="Обычный 7 2 2 7 23 2" xfId="16616"/>
    <cellStyle name="Обычный 7 2 2 7 23 3" xfId="16617"/>
    <cellStyle name="Обычный 7 2 2 7 24" xfId="16618"/>
    <cellStyle name="Обычный 7 2 2 7 24 2" xfId="16619"/>
    <cellStyle name="Обычный 7 2 2 7 24 3" xfId="16620"/>
    <cellStyle name="Обычный 7 2 2 7 25" xfId="16621"/>
    <cellStyle name="Обычный 7 2 2 7 25 2" xfId="16622"/>
    <cellStyle name="Обычный 7 2 2 7 25 3" xfId="16623"/>
    <cellStyle name="Обычный 7 2 2 7 26" xfId="16624"/>
    <cellStyle name="Обычный 7 2 2 7 26 2" xfId="16625"/>
    <cellStyle name="Обычный 7 2 2 7 26 3" xfId="16626"/>
    <cellStyle name="Обычный 7 2 2 7 27" xfId="16627"/>
    <cellStyle name="Обычный 7 2 2 7 27 2" xfId="16628"/>
    <cellStyle name="Обычный 7 2 2 7 27 3" xfId="16629"/>
    <cellStyle name="Обычный 7 2 2 7 28" xfId="16630"/>
    <cellStyle name="Обычный 7 2 2 7 28 2" xfId="16631"/>
    <cellStyle name="Обычный 7 2 2 7 28 3" xfId="16632"/>
    <cellStyle name="Обычный 7 2 2 7 29" xfId="16633"/>
    <cellStyle name="Обычный 7 2 2 7 29 2" xfId="16634"/>
    <cellStyle name="Обычный 7 2 2 7 29 3" xfId="16635"/>
    <cellStyle name="Обычный 7 2 2 7 3" xfId="16636"/>
    <cellStyle name="Обычный 7 2 2 7 3 2" xfId="16637"/>
    <cellStyle name="Обычный 7 2 2 7 3 3" xfId="16638"/>
    <cellStyle name="Обычный 7 2 2 7 30" xfId="16639"/>
    <cellStyle name="Обычный 7 2 2 7 30 2" xfId="16640"/>
    <cellStyle name="Обычный 7 2 2 7 30 3" xfId="16641"/>
    <cellStyle name="Обычный 7 2 2 7 31" xfId="16642"/>
    <cellStyle name="Обычный 7 2 2 7 31 2" xfId="16643"/>
    <cellStyle name="Обычный 7 2 2 7 31 3" xfId="16644"/>
    <cellStyle name="Обычный 7 2 2 7 32" xfId="16645"/>
    <cellStyle name="Обычный 7 2 2 7 32 2" xfId="16646"/>
    <cellStyle name="Обычный 7 2 2 7 32 3" xfId="16647"/>
    <cellStyle name="Обычный 7 2 2 7 33" xfId="16648"/>
    <cellStyle name="Обычный 7 2 2 7 33 2" xfId="16649"/>
    <cellStyle name="Обычный 7 2 2 7 33 3" xfId="16650"/>
    <cellStyle name="Обычный 7 2 2 7 34" xfId="16651"/>
    <cellStyle name="Обычный 7 2 2 7 34 2" xfId="16652"/>
    <cellStyle name="Обычный 7 2 2 7 34 3" xfId="16653"/>
    <cellStyle name="Обычный 7 2 2 7 35" xfId="16654"/>
    <cellStyle name="Обычный 7 2 2 7 35 2" xfId="16655"/>
    <cellStyle name="Обычный 7 2 2 7 35 3" xfId="16656"/>
    <cellStyle name="Обычный 7 2 2 7 36" xfId="16657"/>
    <cellStyle name="Обычный 7 2 2 7 36 2" xfId="16658"/>
    <cellStyle name="Обычный 7 2 2 7 36 3" xfId="16659"/>
    <cellStyle name="Обычный 7 2 2 7 37" xfId="16660"/>
    <cellStyle name="Обычный 7 2 2 7 37 2" xfId="16661"/>
    <cellStyle name="Обычный 7 2 2 7 37 3" xfId="16662"/>
    <cellStyle name="Обычный 7 2 2 7 38" xfId="16663"/>
    <cellStyle name="Обычный 7 2 2 7 38 2" xfId="16664"/>
    <cellStyle name="Обычный 7 2 2 7 38 3" xfId="16665"/>
    <cellStyle name="Обычный 7 2 2 7 39" xfId="16666"/>
    <cellStyle name="Обычный 7 2 2 7 39 2" xfId="16667"/>
    <cellStyle name="Обычный 7 2 2 7 39 3" xfId="16668"/>
    <cellStyle name="Обычный 7 2 2 7 4" xfId="16669"/>
    <cellStyle name="Обычный 7 2 2 7 4 2" xfId="16670"/>
    <cellStyle name="Обычный 7 2 2 7 4 3" xfId="16671"/>
    <cellStyle name="Обычный 7 2 2 7 40" xfId="16672"/>
    <cellStyle name="Обычный 7 2 2 7 40 2" xfId="16673"/>
    <cellStyle name="Обычный 7 2 2 7 40 3" xfId="16674"/>
    <cellStyle name="Обычный 7 2 2 7 41" xfId="16675"/>
    <cellStyle name="Обычный 7 2 2 7 41 2" xfId="16676"/>
    <cellStyle name="Обычный 7 2 2 7 41 3" xfId="16677"/>
    <cellStyle name="Обычный 7 2 2 7 42" xfId="16678"/>
    <cellStyle name="Обычный 7 2 2 7 42 2" xfId="16679"/>
    <cellStyle name="Обычный 7 2 2 7 42 3" xfId="16680"/>
    <cellStyle name="Обычный 7 2 2 7 43" xfId="16681"/>
    <cellStyle name="Обычный 7 2 2 7 43 2" xfId="16682"/>
    <cellStyle name="Обычный 7 2 2 7 43 3" xfId="16683"/>
    <cellStyle name="Обычный 7 2 2 7 44" xfId="16684"/>
    <cellStyle name="Обычный 7 2 2 7 44 2" xfId="16685"/>
    <cellStyle name="Обычный 7 2 2 7 44 3" xfId="16686"/>
    <cellStyle name="Обычный 7 2 2 7 45" xfId="16687"/>
    <cellStyle name="Обычный 7 2 2 7 45 2" xfId="16688"/>
    <cellStyle name="Обычный 7 2 2 7 45 3" xfId="16689"/>
    <cellStyle name="Обычный 7 2 2 7 46" xfId="16690"/>
    <cellStyle name="Обычный 7 2 2 7 46 2" xfId="16691"/>
    <cellStyle name="Обычный 7 2 2 7 46 3" xfId="16692"/>
    <cellStyle name="Обычный 7 2 2 7 47" xfId="16693"/>
    <cellStyle name="Обычный 7 2 2 7 47 2" xfId="16694"/>
    <cellStyle name="Обычный 7 2 2 7 47 3" xfId="16695"/>
    <cellStyle name="Обычный 7 2 2 7 48" xfId="16696"/>
    <cellStyle name="Обычный 7 2 2 7 48 2" xfId="16697"/>
    <cellStyle name="Обычный 7 2 2 7 48 3" xfId="16698"/>
    <cellStyle name="Обычный 7 2 2 7 49" xfId="16699"/>
    <cellStyle name="Обычный 7 2 2 7 49 2" xfId="16700"/>
    <cellStyle name="Обычный 7 2 2 7 49 3" xfId="16701"/>
    <cellStyle name="Обычный 7 2 2 7 5" xfId="16702"/>
    <cellStyle name="Обычный 7 2 2 7 5 2" xfId="16703"/>
    <cellStyle name="Обычный 7 2 2 7 5 3" xfId="16704"/>
    <cellStyle name="Обычный 7 2 2 7 50" xfId="16705"/>
    <cellStyle name="Обычный 7 2 2 7 50 2" xfId="16706"/>
    <cellStyle name="Обычный 7 2 2 7 50 3" xfId="16707"/>
    <cellStyle name="Обычный 7 2 2 7 51" xfId="16708"/>
    <cellStyle name="Обычный 7 2 2 7 51 2" xfId="16709"/>
    <cellStyle name="Обычный 7 2 2 7 51 3" xfId="16710"/>
    <cellStyle name="Обычный 7 2 2 7 52" xfId="16711"/>
    <cellStyle name="Обычный 7 2 2 7 52 2" xfId="16712"/>
    <cellStyle name="Обычный 7 2 2 7 52 3" xfId="16713"/>
    <cellStyle name="Обычный 7 2 2 7 53" xfId="16714"/>
    <cellStyle name="Обычный 7 2 2 7 53 2" xfId="16715"/>
    <cellStyle name="Обычный 7 2 2 7 53 3" xfId="16716"/>
    <cellStyle name="Обычный 7 2 2 7 54" xfId="16717"/>
    <cellStyle name="Обычный 7 2 2 7 54 2" xfId="16718"/>
    <cellStyle name="Обычный 7 2 2 7 54 3" xfId="16719"/>
    <cellStyle name="Обычный 7 2 2 7 55" xfId="16720"/>
    <cellStyle name="Обычный 7 2 2 7 55 2" xfId="16721"/>
    <cellStyle name="Обычный 7 2 2 7 55 3" xfId="16722"/>
    <cellStyle name="Обычный 7 2 2 7 56" xfId="16723"/>
    <cellStyle name="Обычный 7 2 2 7 56 2" xfId="16724"/>
    <cellStyle name="Обычный 7 2 2 7 56 3" xfId="16725"/>
    <cellStyle name="Обычный 7 2 2 7 57" xfId="16726"/>
    <cellStyle name="Обычный 7 2 2 7 57 2" xfId="16727"/>
    <cellStyle name="Обычный 7 2 2 7 57 3" xfId="16728"/>
    <cellStyle name="Обычный 7 2 2 7 58" xfId="16729"/>
    <cellStyle name="Обычный 7 2 2 7 58 2" xfId="16730"/>
    <cellStyle name="Обычный 7 2 2 7 58 3" xfId="16731"/>
    <cellStyle name="Обычный 7 2 2 7 59" xfId="16732"/>
    <cellStyle name="Обычный 7 2 2 7 59 2" xfId="16733"/>
    <cellStyle name="Обычный 7 2 2 7 59 3" xfId="16734"/>
    <cellStyle name="Обычный 7 2 2 7 6" xfId="16735"/>
    <cellStyle name="Обычный 7 2 2 7 6 2" xfId="16736"/>
    <cellStyle name="Обычный 7 2 2 7 6 3" xfId="16737"/>
    <cellStyle name="Обычный 7 2 2 7 60" xfId="16738"/>
    <cellStyle name="Обычный 7 2 2 7 60 2" xfId="16739"/>
    <cellStyle name="Обычный 7 2 2 7 60 3" xfId="16740"/>
    <cellStyle name="Обычный 7 2 2 7 61" xfId="16741"/>
    <cellStyle name="Обычный 7 2 2 7 61 2" xfId="16742"/>
    <cellStyle name="Обычный 7 2 2 7 61 3" xfId="16743"/>
    <cellStyle name="Обычный 7 2 2 7 62" xfId="16744"/>
    <cellStyle name="Обычный 7 2 2 7 62 2" xfId="16745"/>
    <cellStyle name="Обычный 7 2 2 7 62 3" xfId="16746"/>
    <cellStyle name="Обычный 7 2 2 7 63" xfId="16747"/>
    <cellStyle name="Обычный 7 2 2 7 63 2" xfId="16748"/>
    <cellStyle name="Обычный 7 2 2 7 63 3" xfId="16749"/>
    <cellStyle name="Обычный 7 2 2 7 64" xfId="16750"/>
    <cellStyle name="Обычный 7 2 2 7 65" xfId="16751"/>
    <cellStyle name="Обычный 7 2 2 7 7" xfId="16752"/>
    <cellStyle name="Обычный 7 2 2 7 7 2" xfId="16753"/>
    <cellStyle name="Обычный 7 2 2 7 7 3" xfId="16754"/>
    <cellStyle name="Обычный 7 2 2 7 8" xfId="16755"/>
    <cellStyle name="Обычный 7 2 2 7 8 2" xfId="16756"/>
    <cellStyle name="Обычный 7 2 2 7 8 3" xfId="16757"/>
    <cellStyle name="Обычный 7 2 2 7 9" xfId="16758"/>
    <cellStyle name="Обычный 7 2 2 7 9 2" xfId="16759"/>
    <cellStyle name="Обычный 7 2 2 7 9 3" xfId="16760"/>
    <cellStyle name="Обычный 7 2 2 70" xfId="16761"/>
    <cellStyle name="Обычный 7 2 2 70 2" xfId="16762"/>
    <cellStyle name="Обычный 7 2 2 70 3" xfId="16763"/>
    <cellStyle name="Обычный 7 2 2 71" xfId="16764"/>
    <cellStyle name="Обычный 7 2 2 72" xfId="16765"/>
    <cellStyle name="Обычный 7 2 2 8" xfId="16766"/>
    <cellStyle name="Обычный 7 2 2 8 10" xfId="16767"/>
    <cellStyle name="Обычный 7 2 2 8 10 2" xfId="16768"/>
    <cellStyle name="Обычный 7 2 2 8 10 3" xfId="16769"/>
    <cellStyle name="Обычный 7 2 2 8 11" xfId="16770"/>
    <cellStyle name="Обычный 7 2 2 8 11 2" xfId="16771"/>
    <cellStyle name="Обычный 7 2 2 8 11 3" xfId="16772"/>
    <cellStyle name="Обычный 7 2 2 8 12" xfId="16773"/>
    <cellStyle name="Обычный 7 2 2 8 12 2" xfId="16774"/>
    <cellStyle name="Обычный 7 2 2 8 12 3" xfId="16775"/>
    <cellStyle name="Обычный 7 2 2 8 13" xfId="16776"/>
    <cellStyle name="Обычный 7 2 2 8 13 2" xfId="16777"/>
    <cellStyle name="Обычный 7 2 2 8 13 3" xfId="16778"/>
    <cellStyle name="Обычный 7 2 2 8 14" xfId="16779"/>
    <cellStyle name="Обычный 7 2 2 8 14 2" xfId="16780"/>
    <cellStyle name="Обычный 7 2 2 8 14 3" xfId="16781"/>
    <cellStyle name="Обычный 7 2 2 8 15" xfId="16782"/>
    <cellStyle name="Обычный 7 2 2 8 15 2" xfId="16783"/>
    <cellStyle name="Обычный 7 2 2 8 15 3" xfId="16784"/>
    <cellStyle name="Обычный 7 2 2 8 16" xfId="16785"/>
    <cellStyle name="Обычный 7 2 2 8 16 2" xfId="16786"/>
    <cellStyle name="Обычный 7 2 2 8 16 3" xfId="16787"/>
    <cellStyle name="Обычный 7 2 2 8 17" xfId="16788"/>
    <cellStyle name="Обычный 7 2 2 8 17 2" xfId="16789"/>
    <cellStyle name="Обычный 7 2 2 8 17 3" xfId="16790"/>
    <cellStyle name="Обычный 7 2 2 8 18" xfId="16791"/>
    <cellStyle name="Обычный 7 2 2 8 18 2" xfId="16792"/>
    <cellStyle name="Обычный 7 2 2 8 18 3" xfId="16793"/>
    <cellStyle name="Обычный 7 2 2 8 19" xfId="16794"/>
    <cellStyle name="Обычный 7 2 2 8 19 2" xfId="16795"/>
    <cellStyle name="Обычный 7 2 2 8 19 3" xfId="16796"/>
    <cellStyle name="Обычный 7 2 2 8 2" xfId="16797"/>
    <cellStyle name="Обычный 7 2 2 8 2 2" xfId="16798"/>
    <cellStyle name="Обычный 7 2 2 8 2 3" xfId="16799"/>
    <cellStyle name="Обычный 7 2 2 8 20" xfId="16800"/>
    <cellStyle name="Обычный 7 2 2 8 20 2" xfId="16801"/>
    <cellStyle name="Обычный 7 2 2 8 20 3" xfId="16802"/>
    <cellStyle name="Обычный 7 2 2 8 21" xfId="16803"/>
    <cellStyle name="Обычный 7 2 2 8 21 2" xfId="16804"/>
    <cellStyle name="Обычный 7 2 2 8 21 3" xfId="16805"/>
    <cellStyle name="Обычный 7 2 2 8 22" xfId="16806"/>
    <cellStyle name="Обычный 7 2 2 8 22 2" xfId="16807"/>
    <cellStyle name="Обычный 7 2 2 8 22 3" xfId="16808"/>
    <cellStyle name="Обычный 7 2 2 8 23" xfId="16809"/>
    <cellStyle name="Обычный 7 2 2 8 23 2" xfId="16810"/>
    <cellStyle name="Обычный 7 2 2 8 23 3" xfId="16811"/>
    <cellStyle name="Обычный 7 2 2 8 24" xfId="16812"/>
    <cellStyle name="Обычный 7 2 2 8 24 2" xfId="16813"/>
    <cellStyle name="Обычный 7 2 2 8 24 3" xfId="16814"/>
    <cellStyle name="Обычный 7 2 2 8 25" xfId="16815"/>
    <cellStyle name="Обычный 7 2 2 8 25 2" xfId="16816"/>
    <cellStyle name="Обычный 7 2 2 8 25 3" xfId="16817"/>
    <cellStyle name="Обычный 7 2 2 8 26" xfId="16818"/>
    <cellStyle name="Обычный 7 2 2 8 26 2" xfId="16819"/>
    <cellStyle name="Обычный 7 2 2 8 26 3" xfId="16820"/>
    <cellStyle name="Обычный 7 2 2 8 27" xfId="16821"/>
    <cellStyle name="Обычный 7 2 2 8 27 2" xfId="16822"/>
    <cellStyle name="Обычный 7 2 2 8 27 3" xfId="16823"/>
    <cellStyle name="Обычный 7 2 2 8 28" xfId="16824"/>
    <cellStyle name="Обычный 7 2 2 8 28 2" xfId="16825"/>
    <cellStyle name="Обычный 7 2 2 8 28 3" xfId="16826"/>
    <cellStyle name="Обычный 7 2 2 8 29" xfId="16827"/>
    <cellStyle name="Обычный 7 2 2 8 29 2" xfId="16828"/>
    <cellStyle name="Обычный 7 2 2 8 29 3" xfId="16829"/>
    <cellStyle name="Обычный 7 2 2 8 3" xfId="16830"/>
    <cellStyle name="Обычный 7 2 2 8 3 2" xfId="16831"/>
    <cellStyle name="Обычный 7 2 2 8 3 3" xfId="16832"/>
    <cellStyle name="Обычный 7 2 2 8 30" xfId="16833"/>
    <cellStyle name="Обычный 7 2 2 8 30 2" xfId="16834"/>
    <cellStyle name="Обычный 7 2 2 8 30 3" xfId="16835"/>
    <cellStyle name="Обычный 7 2 2 8 31" xfId="16836"/>
    <cellStyle name="Обычный 7 2 2 8 31 2" xfId="16837"/>
    <cellStyle name="Обычный 7 2 2 8 31 3" xfId="16838"/>
    <cellStyle name="Обычный 7 2 2 8 32" xfId="16839"/>
    <cellStyle name="Обычный 7 2 2 8 32 2" xfId="16840"/>
    <cellStyle name="Обычный 7 2 2 8 32 3" xfId="16841"/>
    <cellStyle name="Обычный 7 2 2 8 33" xfId="16842"/>
    <cellStyle name="Обычный 7 2 2 8 33 2" xfId="16843"/>
    <cellStyle name="Обычный 7 2 2 8 33 3" xfId="16844"/>
    <cellStyle name="Обычный 7 2 2 8 34" xfId="16845"/>
    <cellStyle name="Обычный 7 2 2 8 34 2" xfId="16846"/>
    <cellStyle name="Обычный 7 2 2 8 34 3" xfId="16847"/>
    <cellStyle name="Обычный 7 2 2 8 35" xfId="16848"/>
    <cellStyle name="Обычный 7 2 2 8 35 2" xfId="16849"/>
    <cellStyle name="Обычный 7 2 2 8 35 3" xfId="16850"/>
    <cellStyle name="Обычный 7 2 2 8 36" xfId="16851"/>
    <cellStyle name="Обычный 7 2 2 8 36 2" xfId="16852"/>
    <cellStyle name="Обычный 7 2 2 8 36 3" xfId="16853"/>
    <cellStyle name="Обычный 7 2 2 8 37" xfId="16854"/>
    <cellStyle name="Обычный 7 2 2 8 37 2" xfId="16855"/>
    <cellStyle name="Обычный 7 2 2 8 37 3" xfId="16856"/>
    <cellStyle name="Обычный 7 2 2 8 38" xfId="16857"/>
    <cellStyle name="Обычный 7 2 2 8 38 2" xfId="16858"/>
    <cellStyle name="Обычный 7 2 2 8 38 3" xfId="16859"/>
    <cellStyle name="Обычный 7 2 2 8 39" xfId="16860"/>
    <cellStyle name="Обычный 7 2 2 8 39 2" xfId="16861"/>
    <cellStyle name="Обычный 7 2 2 8 39 3" xfId="16862"/>
    <cellStyle name="Обычный 7 2 2 8 4" xfId="16863"/>
    <cellStyle name="Обычный 7 2 2 8 4 2" xfId="16864"/>
    <cellStyle name="Обычный 7 2 2 8 4 3" xfId="16865"/>
    <cellStyle name="Обычный 7 2 2 8 40" xfId="16866"/>
    <cellStyle name="Обычный 7 2 2 8 40 2" xfId="16867"/>
    <cellStyle name="Обычный 7 2 2 8 40 3" xfId="16868"/>
    <cellStyle name="Обычный 7 2 2 8 41" xfId="16869"/>
    <cellStyle name="Обычный 7 2 2 8 41 2" xfId="16870"/>
    <cellStyle name="Обычный 7 2 2 8 41 3" xfId="16871"/>
    <cellStyle name="Обычный 7 2 2 8 42" xfId="16872"/>
    <cellStyle name="Обычный 7 2 2 8 42 2" xfId="16873"/>
    <cellStyle name="Обычный 7 2 2 8 42 3" xfId="16874"/>
    <cellStyle name="Обычный 7 2 2 8 43" xfId="16875"/>
    <cellStyle name="Обычный 7 2 2 8 43 2" xfId="16876"/>
    <cellStyle name="Обычный 7 2 2 8 43 3" xfId="16877"/>
    <cellStyle name="Обычный 7 2 2 8 44" xfId="16878"/>
    <cellStyle name="Обычный 7 2 2 8 44 2" xfId="16879"/>
    <cellStyle name="Обычный 7 2 2 8 44 3" xfId="16880"/>
    <cellStyle name="Обычный 7 2 2 8 45" xfId="16881"/>
    <cellStyle name="Обычный 7 2 2 8 45 2" xfId="16882"/>
    <cellStyle name="Обычный 7 2 2 8 45 3" xfId="16883"/>
    <cellStyle name="Обычный 7 2 2 8 46" xfId="16884"/>
    <cellStyle name="Обычный 7 2 2 8 46 2" xfId="16885"/>
    <cellStyle name="Обычный 7 2 2 8 46 3" xfId="16886"/>
    <cellStyle name="Обычный 7 2 2 8 47" xfId="16887"/>
    <cellStyle name="Обычный 7 2 2 8 47 2" xfId="16888"/>
    <cellStyle name="Обычный 7 2 2 8 47 3" xfId="16889"/>
    <cellStyle name="Обычный 7 2 2 8 48" xfId="16890"/>
    <cellStyle name="Обычный 7 2 2 8 48 2" xfId="16891"/>
    <cellStyle name="Обычный 7 2 2 8 48 3" xfId="16892"/>
    <cellStyle name="Обычный 7 2 2 8 49" xfId="16893"/>
    <cellStyle name="Обычный 7 2 2 8 49 2" xfId="16894"/>
    <cellStyle name="Обычный 7 2 2 8 49 3" xfId="16895"/>
    <cellStyle name="Обычный 7 2 2 8 5" xfId="16896"/>
    <cellStyle name="Обычный 7 2 2 8 5 2" xfId="16897"/>
    <cellStyle name="Обычный 7 2 2 8 5 3" xfId="16898"/>
    <cellStyle name="Обычный 7 2 2 8 50" xfId="16899"/>
    <cellStyle name="Обычный 7 2 2 8 50 2" xfId="16900"/>
    <cellStyle name="Обычный 7 2 2 8 50 3" xfId="16901"/>
    <cellStyle name="Обычный 7 2 2 8 51" xfId="16902"/>
    <cellStyle name="Обычный 7 2 2 8 51 2" xfId="16903"/>
    <cellStyle name="Обычный 7 2 2 8 51 3" xfId="16904"/>
    <cellStyle name="Обычный 7 2 2 8 52" xfId="16905"/>
    <cellStyle name="Обычный 7 2 2 8 52 2" xfId="16906"/>
    <cellStyle name="Обычный 7 2 2 8 52 3" xfId="16907"/>
    <cellStyle name="Обычный 7 2 2 8 53" xfId="16908"/>
    <cellStyle name="Обычный 7 2 2 8 53 2" xfId="16909"/>
    <cellStyle name="Обычный 7 2 2 8 53 3" xfId="16910"/>
    <cellStyle name="Обычный 7 2 2 8 54" xfId="16911"/>
    <cellStyle name="Обычный 7 2 2 8 54 2" xfId="16912"/>
    <cellStyle name="Обычный 7 2 2 8 54 3" xfId="16913"/>
    <cellStyle name="Обычный 7 2 2 8 55" xfId="16914"/>
    <cellStyle name="Обычный 7 2 2 8 55 2" xfId="16915"/>
    <cellStyle name="Обычный 7 2 2 8 55 3" xfId="16916"/>
    <cellStyle name="Обычный 7 2 2 8 56" xfId="16917"/>
    <cellStyle name="Обычный 7 2 2 8 56 2" xfId="16918"/>
    <cellStyle name="Обычный 7 2 2 8 56 3" xfId="16919"/>
    <cellStyle name="Обычный 7 2 2 8 57" xfId="16920"/>
    <cellStyle name="Обычный 7 2 2 8 57 2" xfId="16921"/>
    <cellStyle name="Обычный 7 2 2 8 57 3" xfId="16922"/>
    <cellStyle name="Обычный 7 2 2 8 58" xfId="16923"/>
    <cellStyle name="Обычный 7 2 2 8 58 2" xfId="16924"/>
    <cellStyle name="Обычный 7 2 2 8 58 3" xfId="16925"/>
    <cellStyle name="Обычный 7 2 2 8 59" xfId="16926"/>
    <cellStyle name="Обычный 7 2 2 8 59 2" xfId="16927"/>
    <cellStyle name="Обычный 7 2 2 8 59 3" xfId="16928"/>
    <cellStyle name="Обычный 7 2 2 8 6" xfId="16929"/>
    <cellStyle name="Обычный 7 2 2 8 6 2" xfId="16930"/>
    <cellStyle name="Обычный 7 2 2 8 6 3" xfId="16931"/>
    <cellStyle name="Обычный 7 2 2 8 60" xfId="16932"/>
    <cellStyle name="Обычный 7 2 2 8 60 2" xfId="16933"/>
    <cellStyle name="Обычный 7 2 2 8 60 3" xfId="16934"/>
    <cellStyle name="Обычный 7 2 2 8 61" xfId="16935"/>
    <cellStyle name="Обычный 7 2 2 8 61 2" xfId="16936"/>
    <cellStyle name="Обычный 7 2 2 8 61 3" xfId="16937"/>
    <cellStyle name="Обычный 7 2 2 8 62" xfId="16938"/>
    <cellStyle name="Обычный 7 2 2 8 62 2" xfId="16939"/>
    <cellStyle name="Обычный 7 2 2 8 62 3" xfId="16940"/>
    <cellStyle name="Обычный 7 2 2 8 63" xfId="16941"/>
    <cellStyle name="Обычный 7 2 2 8 63 2" xfId="16942"/>
    <cellStyle name="Обычный 7 2 2 8 63 3" xfId="16943"/>
    <cellStyle name="Обычный 7 2 2 8 64" xfId="16944"/>
    <cellStyle name="Обычный 7 2 2 8 65" xfId="16945"/>
    <cellStyle name="Обычный 7 2 2 8 7" xfId="16946"/>
    <cellStyle name="Обычный 7 2 2 8 7 2" xfId="16947"/>
    <cellStyle name="Обычный 7 2 2 8 7 3" xfId="16948"/>
    <cellStyle name="Обычный 7 2 2 8 8" xfId="16949"/>
    <cellStyle name="Обычный 7 2 2 8 8 2" xfId="16950"/>
    <cellStyle name="Обычный 7 2 2 8 8 3" xfId="16951"/>
    <cellStyle name="Обычный 7 2 2 8 9" xfId="16952"/>
    <cellStyle name="Обычный 7 2 2 8 9 2" xfId="16953"/>
    <cellStyle name="Обычный 7 2 2 8 9 3" xfId="16954"/>
    <cellStyle name="Обычный 7 2 2 9" xfId="16955"/>
    <cellStyle name="Обычный 7 2 2 9 2" xfId="16956"/>
    <cellStyle name="Обычный 7 2 2 9 3" xfId="16957"/>
    <cellStyle name="Обычный 7 2 3" xfId="16958"/>
    <cellStyle name="Обычный 7 2 3 10" xfId="16959"/>
    <cellStyle name="Обычный 7 2 3 10 2" xfId="16960"/>
    <cellStyle name="Обычный 7 2 3 10 3" xfId="16961"/>
    <cellStyle name="Обычный 7 2 3 11" xfId="16962"/>
    <cellStyle name="Обычный 7 2 3 11 2" xfId="16963"/>
    <cellStyle name="Обычный 7 2 3 11 3" xfId="16964"/>
    <cellStyle name="Обычный 7 2 3 12" xfId="16965"/>
    <cellStyle name="Обычный 7 2 3 12 2" xfId="16966"/>
    <cellStyle name="Обычный 7 2 3 12 3" xfId="16967"/>
    <cellStyle name="Обычный 7 2 3 13" xfId="16968"/>
    <cellStyle name="Обычный 7 2 3 13 2" xfId="16969"/>
    <cellStyle name="Обычный 7 2 3 13 3" xfId="16970"/>
    <cellStyle name="Обычный 7 2 3 14" xfId="16971"/>
    <cellStyle name="Обычный 7 2 3 14 2" xfId="16972"/>
    <cellStyle name="Обычный 7 2 3 14 3" xfId="16973"/>
    <cellStyle name="Обычный 7 2 3 15" xfId="16974"/>
    <cellStyle name="Обычный 7 2 3 15 2" xfId="16975"/>
    <cellStyle name="Обычный 7 2 3 15 3" xfId="16976"/>
    <cellStyle name="Обычный 7 2 3 16" xfId="16977"/>
    <cellStyle name="Обычный 7 2 3 16 2" xfId="16978"/>
    <cellStyle name="Обычный 7 2 3 16 3" xfId="16979"/>
    <cellStyle name="Обычный 7 2 3 17" xfId="16980"/>
    <cellStyle name="Обычный 7 2 3 17 2" xfId="16981"/>
    <cellStyle name="Обычный 7 2 3 17 3" xfId="16982"/>
    <cellStyle name="Обычный 7 2 3 18" xfId="16983"/>
    <cellStyle name="Обычный 7 2 3 18 2" xfId="16984"/>
    <cellStyle name="Обычный 7 2 3 18 3" xfId="16985"/>
    <cellStyle name="Обычный 7 2 3 19" xfId="16986"/>
    <cellStyle name="Обычный 7 2 3 19 2" xfId="16987"/>
    <cellStyle name="Обычный 7 2 3 19 3" xfId="16988"/>
    <cellStyle name="Обычный 7 2 3 2" xfId="16989"/>
    <cellStyle name="Обычный 7 2 3 2 10" xfId="16990"/>
    <cellStyle name="Обычный 7 2 3 2 10 2" xfId="16991"/>
    <cellStyle name="Обычный 7 2 3 2 10 3" xfId="16992"/>
    <cellStyle name="Обычный 7 2 3 2 11" xfId="16993"/>
    <cellStyle name="Обычный 7 2 3 2 11 2" xfId="16994"/>
    <cellStyle name="Обычный 7 2 3 2 11 3" xfId="16995"/>
    <cellStyle name="Обычный 7 2 3 2 12" xfId="16996"/>
    <cellStyle name="Обычный 7 2 3 2 12 2" xfId="16997"/>
    <cellStyle name="Обычный 7 2 3 2 12 3" xfId="16998"/>
    <cellStyle name="Обычный 7 2 3 2 13" xfId="16999"/>
    <cellStyle name="Обычный 7 2 3 2 13 2" xfId="17000"/>
    <cellStyle name="Обычный 7 2 3 2 13 3" xfId="17001"/>
    <cellStyle name="Обычный 7 2 3 2 14" xfId="17002"/>
    <cellStyle name="Обычный 7 2 3 2 14 2" xfId="17003"/>
    <cellStyle name="Обычный 7 2 3 2 14 3" xfId="17004"/>
    <cellStyle name="Обычный 7 2 3 2 15" xfId="17005"/>
    <cellStyle name="Обычный 7 2 3 2 15 2" xfId="17006"/>
    <cellStyle name="Обычный 7 2 3 2 15 3" xfId="17007"/>
    <cellStyle name="Обычный 7 2 3 2 16" xfId="17008"/>
    <cellStyle name="Обычный 7 2 3 2 16 2" xfId="17009"/>
    <cellStyle name="Обычный 7 2 3 2 16 3" xfId="17010"/>
    <cellStyle name="Обычный 7 2 3 2 17" xfId="17011"/>
    <cellStyle name="Обычный 7 2 3 2 17 2" xfId="17012"/>
    <cellStyle name="Обычный 7 2 3 2 17 3" xfId="17013"/>
    <cellStyle name="Обычный 7 2 3 2 18" xfId="17014"/>
    <cellStyle name="Обычный 7 2 3 2 18 2" xfId="17015"/>
    <cellStyle name="Обычный 7 2 3 2 18 3" xfId="17016"/>
    <cellStyle name="Обычный 7 2 3 2 19" xfId="17017"/>
    <cellStyle name="Обычный 7 2 3 2 19 2" xfId="17018"/>
    <cellStyle name="Обычный 7 2 3 2 19 3" xfId="17019"/>
    <cellStyle name="Обычный 7 2 3 2 2" xfId="17020"/>
    <cellStyle name="Обычный 7 2 3 2 2 2" xfId="17021"/>
    <cellStyle name="Обычный 7 2 3 2 2 3" xfId="17022"/>
    <cellStyle name="Обычный 7 2 3 2 20" xfId="17023"/>
    <cellStyle name="Обычный 7 2 3 2 20 2" xfId="17024"/>
    <cellStyle name="Обычный 7 2 3 2 20 3" xfId="17025"/>
    <cellStyle name="Обычный 7 2 3 2 21" xfId="17026"/>
    <cellStyle name="Обычный 7 2 3 2 21 2" xfId="17027"/>
    <cellStyle name="Обычный 7 2 3 2 21 3" xfId="17028"/>
    <cellStyle name="Обычный 7 2 3 2 22" xfId="17029"/>
    <cellStyle name="Обычный 7 2 3 2 22 2" xfId="17030"/>
    <cellStyle name="Обычный 7 2 3 2 22 3" xfId="17031"/>
    <cellStyle name="Обычный 7 2 3 2 23" xfId="17032"/>
    <cellStyle name="Обычный 7 2 3 2 23 2" xfId="17033"/>
    <cellStyle name="Обычный 7 2 3 2 23 3" xfId="17034"/>
    <cellStyle name="Обычный 7 2 3 2 24" xfId="17035"/>
    <cellStyle name="Обычный 7 2 3 2 24 2" xfId="17036"/>
    <cellStyle name="Обычный 7 2 3 2 24 3" xfId="17037"/>
    <cellStyle name="Обычный 7 2 3 2 25" xfId="17038"/>
    <cellStyle name="Обычный 7 2 3 2 25 2" xfId="17039"/>
    <cellStyle name="Обычный 7 2 3 2 25 3" xfId="17040"/>
    <cellStyle name="Обычный 7 2 3 2 26" xfId="17041"/>
    <cellStyle name="Обычный 7 2 3 2 26 2" xfId="17042"/>
    <cellStyle name="Обычный 7 2 3 2 26 3" xfId="17043"/>
    <cellStyle name="Обычный 7 2 3 2 27" xfId="17044"/>
    <cellStyle name="Обычный 7 2 3 2 27 2" xfId="17045"/>
    <cellStyle name="Обычный 7 2 3 2 27 3" xfId="17046"/>
    <cellStyle name="Обычный 7 2 3 2 28" xfId="17047"/>
    <cellStyle name="Обычный 7 2 3 2 28 2" xfId="17048"/>
    <cellStyle name="Обычный 7 2 3 2 28 3" xfId="17049"/>
    <cellStyle name="Обычный 7 2 3 2 29" xfId="17050"/>
    <cellStyle name="Обычный 7 2 3 2 29 2" xfId="17051"/>
    <cellStyle name="Обычный 7 2 3 2 29 3" xfId="17052"/>
    <cellStyle name="Обычный 7 2 3 2 3" xfId="17053"/>
    <cellStyle name="Обычный 7 2 3 2 3 2" xfId="17054"/>
    <cellStyle name="Обычный 7 2 3 2 3 3" xfId="17055"/>
    <cellStyle name="Обычный 7 2 3 2 30" xfId="17056"/>
    <cellStyle name="Обычный 7 2 3 2 30 2" xfId="17057"/>
    <cellStyle name="Обычный 7 2 3 2 30 3" xfId="17058"/>
    <cellStyle name="Обычный 7 2 3 2 31" xfId="17059"/>
    <cellStyle name="Обычный 7 2 3 2 31 2" xfId="17060"/>
    <cellStyle name="Обычный 7 2 3 2 31 3" xfId="17061"/>
    <cellStyle name="Обычный 7 2 3 2 32" xfId="17062"/>
    <cellStyle name="Обычный 7 2 3 2 32 2" xfId="17063"/>
    <cellStyle name="Обычный 7 2 3 2 32 3" xfId="17064"/>
    <cellStyle name="Обычный 7 2 3 2 33" xfId="17065"/>
    <cellStyle name="Обычный 7 2 3 2 33 2" xfId="17066"/>
    <cellStyle name="Обычный 7 2 3 2 33 3" xfId="17067"/>
    <cellStyle name="Обычный 7 2 3 2 34" xfId="17068"/>
    <cellStyle name="Обычный 7 2 3 2 34 2" xfId="17069"/>
    <cellStyle name="Обычный 7 2 3 2 34 3" xfId="17070"/>
    <cellStyle name="Обычный 7 2 3 2 35" xfId="17071"/>
    <cellStyle name="Обычный 7 2 3 2 35 2" xfId="17072"/>
    <cellStyle name="Обычный 7 2 3 2 35 3" xfId="17073"/>
    <cellStyle name="Обычный 7 2 3 2 36" xfId="17074"/>
    <cellStyle name="Обычный 7 2 3 2 36 2" xfId="17075"/>
    <cellStyle name="Обычный 7 2 3 2 36 3" xfId="17076"/>
    <cellStyle name="Обычный 7 2 3 2 37" xfId="17077"/>
    <cellStyle name="Обычный 7 2 3 2 37 2" xfId="17078"/>
    <cellStyle name="Обычный 7 2 3 2 37 3" xfId="17079"/>
    <cellStyle name="Обычный 7 2 3 2 38" xfId="17080"/>
    <cellStyle name="Обычный 7 2 3 2 38 2" xfId="17081"/>
    <cellStyle name="Обычный 7 2 3 2 38 3" xfId="17082"/>
    <cellStyle name="Обычный 7 2 3 2 39" xfId="17083"/>
    <cellStyle name="Обычный 7 2 3 2 39 2" xfId="17084"/>
    <cellStyle name="Обычный 7 2 3 2 39 3" xfId="17085"/>
    <cellStyle name="Обычный 7 2 3 2 4" xfId="17086"/>
    <cellStyle name="Обычный 7 2 3 2 4 2" xfId="17087"/>
    <cellStyle name="Обычный 7 2 3 2 4 3" xfId="17088"/>
    <cellStyle name="Обычный 7 2 3 2 40" xfId="17089"/>
    <cellStyle name="Обычный 7 2 3 2 40 2" xfId="17090"/>
    <cellStyle name="Обычный 7 2 3 2 40 3" xfId="17091"/>
    <cellStyle name="Обычный 7 2 3 2 41" xfId="17092"/>
    <cellStyle name="Обычный 7 2 3 2 41 2" xfId="17093"/>
    <cellStyle name="Обычный 7 2 3 2 41 3" xfId="17094"/>
    <cellStyle name="Обычный 7 2 3 2 42" xfId="17095"/>
    <cellStyle name="Обычный 7 2 3 2 42 2" xfId="17096"/>
    <cellStyle name="Обычный 7 2 3 2 42 3" xfId="17097"/>
    <cellStyle name="Обычный 7 2 3 2 43" xfId="17098"/>
    <cellStyle name="Обычный 7 2 3 2 43 2" xfId="17099"/>
    <cellStyle name="Обычный 7 2 3 2 43 3" xfId="17100"/>
    <cellStyle name="Обычный 7 2 3 2 44" xfId="17101"/>
    <cellStyle name="Обычный 7 2 3 2 44 2" xfId="17102"/>
    <cellStyle name="Обычный 7 2 3 2 44 3" xfId="17103"/>
    <cellStyle name="Обычный 7 2 3 2 45" xfId="17104"/>
    <cellStyle name="Обычный 7 2 3 2 45 2" xfId="17105"/>
    <cellStyle name="Обычный 7 2 3 2 45 3" xfId="17106"/>
    <cellStyle name="Обычный 7 2 3 2 46" xfId="17107"/>
    <cellStyle name="Обычный 7 2 3 2 46 2" xfId="17108"/>
    <cellStyle name="Обычный 7 2 3 2 46 3" xfId="17109"/>
    <cellStyle name="Обычный 7 2 3 2 47" xfId="17110"/>
    <cellStyle name="Обычный 7 2 3 2 47 2" xfId="17111"/>
    <cellStyle name="Обычный 7 2 3 2 47 3" xfId="17112"/>
    <cellStyle name="Обычный 7 2 3 2 48" xfId="17113"/>
    <cellStyle name="Обычный 7 2 3 2 48 2" xfId="17114"/>
    <cellStyle name="Обычный 7 2 3 2 48 3" xfId="17115"/>
    <cellStyle name="Обычный 7 2 3 2 49" xfId="17116"/>
    <cellStyle name="Обычный 7 2 3 2 49 2" xfId="17117"/>
    <cellStyle name="Обычный 7 2 3 2 49 3" xfId="17118"/>
    <cellStyle name="Обычный 7 2 3 2 5" xfId="17119"/>
    <cellStyle name="Обычный 7 2 3 2 5 2" xfId="17120"/>
    <cellStyle name="Обычный 7 2 3 2 5 3" xfId="17121"/>
    <cellStyle name="Обычный 7 2 3 2 50" xfId="17122"/>
    <cellStyle name="Обычный 7 2 3 2 50 2" xfId="17123"/>
    <cellStyle name="Обычный 7 2 3 2 50 3" xfId="17124"/>
    <cellStyle name="Обычный 7 2 3 2 51" xfId="17125"/>
    <cellStyle name="Обычный 7 2 3 2 51 2" xfId="17126"/>
    <cellStyle name="Обычный 7 2 3 2 51 3" xfId="17127"/>
    <cellStyle name="Обычный 7 2 3 2 52" xfId="17128"/>
    <cellStyle name="Обычный 7 2 3 2 52 2" xfId="17129"/>
    <cellStyle name="Обычный 7 2 3 2 52 3" xfId="17130"/>
    <cellStyle name="Обычный 7 2 3 2 53" xfId="17131"/>
    <cellStyle name="Обычный 7 2 3 2 53 2" xfId="17132"/>
    <cellStyle name="Обычный 7 2 3 2 53 3" xfId="17133"/>
    <cellStyle name="Обычный 7 2 3 2 54" xfId="17134"/>
    <cellStyle name="Обычный 7 2 3 2 54 2" xfId="17135"/>
    <cellStyle name="Обычный 7 2 3 2 54 3" xfId="17136"/>
    <cellStyle name="Обычный 7 2 3 2 55" xfId="17137"/>
    <cellStyle name="Обычный 7 2 3 2 55 2" xfId="17138"/>
    <cellStyle name="Обычный 7 2 3 2 55 3" xfId="17139"/>
    <cellStyle name="Обычный 7 2 3 2 56" xfId="17140"/>
    <cellStyle name="Обычный 7 2 3 2 56 2" xfId="17141"/>
    <cellStyle name="Обычный 7 2 3 2 56 3" xfId="17142"/>
    <cellStyle name="Обычный 7 2 3 2 57" xfId="17143"/>
    <cellStyle name="Обычный 7 2 3 2 57 2" xfId="17144"/>
    <cellStyle name="Обычный 7 2 3 2 57 3" xfId="17145"/>
    <cellStyle name="Обычный 7 2 3 2 58" xfId="17146"/>
    <cellStyle name="Обычный 7 2 3 2 58 2" xfId="17147"/>
    <cellStyle name="Обычный 7 2 3 2 58 3" xfId="17148"/>
    <cellStyle name="Обычный 7 2 3 2 59" xfId="17149"/>
    <cellStyle name="Обычный 7 2 3 2 59 2" xfId="17150"/>
    <cellStyle name="Обычный 7 2 3 2 59 3" xfId="17151"/>
    <cellStyle name="Обычный 7 2 3 2 6" xfId="17152"/>
    <cellStyle name="Обычный 7 2 3 2 6 2" xfId="17153"/>
    <cellStyle name="Обычный 7 2 3 2 6 3" xfId="17154"/>
    <cellStyle name="Обычный 7 2 3 2 60" xfId="17155"/>
    <cellStyle name="Обычный 7 2 3 2 60 2" xfId="17156"/>
    <cellStyle name="Обычный 7 2 3 2 60 3" xfId="17157"/>
    <cellStyle name="Обычный 7 2 3 2 61" xfId="17158"/>
    <cellStyle name="Обычный 7 2 3 2 61 2" xfId="17159"/>
    <cellStyle name="Обычный 7 2 3 2 61 3" xfId="17160"/>
    <cellStyle name="Обычный 7 2 3 2 62" xfId="17161"/>
    <cellStyle name="Обычный 7 2 3 2 62 2" xfId="17162"/>
    <cellStyle name="Обычный 7 2 3 2 62 3" xfId="17163"/>
    <cellStyle name="Обычный 7 2 3 2 63" xfId="17164"/>
    <cellStyle name="Обычный 7 2 3 2 63 2" xfId="17165"/>
    <cellStyle name="Обычный 7 2 3 2 63 3" xfId="17166"/>
    <cellStyle name="Обычный 7 2 3 2 64" xfId="17167"/>
    <cellStyle name="Обычный 7 2 3 2 65" xfId="17168"/>
    <cellStyle name="Обычный 7 2 3 2 7" xfId="17169"/>
    <cellStyle name="Обычный 7 2 3 2 7 2" xfId="17170"/>
    <cellStyle name="Обычный 7 2 3 2 7 3" xfId="17171"/>
    <cellStyle name="Обычный 7 2 3 2 8" xfId="17172"/>
    <cellStyle name="Обычный 7 2 3 2 8 2" xfId="17173"/>
    <cellStyle name="Обычный 7 2 3 2 8 3" xfId="17174"/>
    <cellStyle name="Обычный 7 2 3 2 9" xfId="17175"/>
    <cellStyle name="Обычный 7 2 3 2 9 2" xfId="17176"/>
    <cellStyle name="Обычный 7 2 3 2 9 3" xfId="17177"/>
    <cellStyle name="Обычный 7 2 3 20" xfId="17178"/>
    <cellStyle name="Обычный 7 2 3 20 2" xfId="17179"/>
    <cellStyle name="Обычный 7 2 3 20 3" xfId="17180"/>
    <cellStyle name="Обычный 7 2 3 21" xfId="17181"/>
    <cellStyle name="Обычный 7 2 3 21 2" xfId="17182"/>
    <cellStyle name="Обычный 7 2 3 21 3" xfId="17183"/>
    <cellStyle name="Обычный 7 2 3 22" xfId="17184"/>
    <cellStyle name="Обычный 7 2 3 22 2" xfId="17185"/>
    <cellStyle name="Обычный 7 2 3 22 3" xfId="17186"/>
    <cellStyle name="Обычный 7 2 3 23" xfId="17187"/>
    <cellStyle name="Обычный 7 2 3 23 2" xfId="17188"/>
    <cellStyle name="Обычный 7 2 3 23 3" xfId="17189"/>
    <cellStyle name="Обычный 7 2 3 24" xfId="17190"/>
    <cellStyle name="Обычный 7 2 3 24 2" xfId="17191"/>
    <cellStyle name="Обычный 7 2 3 24 3" xfId="17192"/>
    <cellStyle name="Обычный 7 2 3 25" xfId="17193"/>
    <cellStyle name="Обычный 7 2 3 25 2" xfId="17194"/>
    <cellStyle name="Обычный 7 2 3 25 3" xfId="17195"/>
    <cellStyle name="Обычный 7 2 3 26" xfId="17196"/>
    <cellStyle name="Обычный 7 2 3 26 2" xfId="17197"/>
    <cellStyle name="Обычный 7 2 3 26 3" xfId="17198"/>
    <cellStyle name="Обычный 7 2 3 27" xfId="17199"/>
    <cellStyle name="Обычный 7 2 3 27 2" xfId="17200"/>
    <cellStyle name="Обычный 7 2 3 27 3" xfId="17201"/>
    <cellStyle name="Обычный 7 2 3 28" xfId="17202"/>
    <cellStyle name="Обычный 7 2 3 28 2" xfId="17203"/>
    <cellStyle name="Обычный 7 2 3 28 3" xfId="17204"/>
    <cellStyle name="Обычный 7 2 3 29" xfId="17205"/>
    <cellStyle name="Обычный 7 2 3 29 2" xfId="17206"/>
    <cellStyle name="Обычный 7 2 3 29 3" xfId="17207"/>
    <cellStyle name="Обычный 7 2 3 3" xfId="17208"/>
    <cellStyle name="Обычный 7 2 3 3 10" xfId="17209"/>
    <cellStyle name="Обычный 7 2 3 3 10 2" xfId="17210"/>
    <cellStyle name="Обычный 7 2 3 3 10 3" xfId="17211"/>
    <cellStyle name="Обычный 7 2 3 3 11" xfId="17212"/>
    <cellStyle name="Обычный 7 2 3 3 11 2" xfId="17213"/>
    <cellStyle name="Обычный 7 2 3 3 11 3" xfId="17214"/>
    <cellStyle name="Обычный 7 2 3 3 12" xfId="17215"/>
    <cellStyle name="Обычный 7 2 3 3 12 2" xfId="17216"/>
    <cellStyle name="Обычный 7 2 3 3 12 3" xfId="17217"/>
    <cellStyle name="Обычный 7 2 3 3 13" xfId="17218"/>
    <cellStyle name="Обычный 7 2 3 3 13 2" xfId="17219"/>
    <cellStyle name="Обычный 7 2 3 3 13 3" xfId="17220"/>
    <cellStyle name="Обычный 7 2 3 3 14" xfId="17221"/>
    <cellStyle name="Обычный 7 2 3 3 14 2" xfId="17222"/>
    <cellStyle name="Обычный 7 2 3 3 14 3" xfId="17223"/>
    <cellStyle name="Обычный 7 2 3 3 15" xfId="17224"/>
    <cellStyle name="Обычный 7 2 3 3 15 2" xfId="17225"/>
    <cellStyle name="Обычный 7 2 3 3 15 3" xfId="17226"/>
    <cellStyle name="Обычный 7 2 3 3 16" xfId="17227"/>
    <cellStyle name="Обычный 7 2 3 3 16 2" xfId="17228"/>
    <cellStyle name="Обычный 7 2 3 3 16 3" xfId="17229"/>
    <cellStyle name="Обычный 7 2 3 3 17" xfId="17230"/>
    <cellStyle name="Обычный 7 2 3 3 17 2" xfId="17231"/>
    <cellStyle name="Обычный 7 2 3 3 17 3" xfId="17232"/>
    <cellStyle name="Обычный 7 2 3 3 18" xfId="17233"/>
    <cellStyle name="Обычный 7 2 3 3 18 2" xfId="17234"/>
    <cellStyle name="Обычный 7 2 3 3 18 3" xfId="17235"/>
    <cellStyle name="Обычный 7 2 3 3 19" xfId="17236"/>
    <cellStyle name="Обычный 7 2 3 3 19 2" xfId="17237"/>
    <cellStyle name="Обычный 7 2 3 3 19 3" xfId="17238"/>
    <cellStyle name="Обычный 7 2 3 3 2" xfId="17239"/>
    <cellStyle name="Обычный 7 2 3 3 2 2" xfId="17240"/>
    <cellStyle name="Обычный 7 2 3 3 2 3" xfId="17241"/>
    <cellStyle name="Обычный 7 2 3 3 20" xfId="17242"/>
    <cellStyle name="Обычный 7 2 3 3 20 2" xfId="17243"/>
    <cellStyle name="Обычный 7 2 3 3 20 3" xfId="17244"/>
    <cellStyle name="Обычный 7 2 3 3 21" xfId="17245"/>
    <cellStyle name="Обычный 7 2 3 3 21 2" xfId="17246"/>
    <cellStyle name="Обычный 7 2 3 3 21 3" xfId="17247"/>
    <cellStyle name="Обычный 7 2 3 3 22" xfId="17248"/>
    <cellStyle name="Обычный 7 2 3 3 22 2" xfId="17249"/>
    <cellStyle name="Обычный 7 2 3 3 22 3" xfId="17250"/>
    <cellStyle name="Обычный 7 2 3 3 23" xfId="17251"/>
    <cellStyle name="Обычный 7 2 3 3 23 2" xfId="17252"/>
    <cellStyle name="Обычный 7 2 3 3 23 3" xfId="17253"/>
    <cellStyle name="Обычный 7 2 3 3 24" xfId="17254"/>
    <cellStyle name="Обычный 7 2 3 3 24 2" xfId="17255"/>
    <cellStyle name="Обычный 7 2 3 3 24 3" xfId="17256"/>
    <cellStyle name="Обычный 7 2 3 3 25" xfId="17257"/>
    <cellStyle name="Обычный 7 2 3 3 25 2" xfId="17258"/>
    <cellStyle name="Обычный 7 2 3 3 25 3" xfId="17259"/>
    <cellStyle name="Обычный 7 2 3 3 26" xfId="17260"/>
    <cellStyle name="Обычный 7 2 3 3 26 2" xfId="17261"/>
    <cellStyle name="Обычный 7 2 3 3 26 3" xfId="17262"/>
    <cellStyle name="Обычный 7 2 3 3 27" xfId="17263"/>
    <cellStyle name="Обычный 7 2 3 3 27 2" xfId="17264"/>
    <cellStyle name="Обычный 7 2 3 3 27 3" xfId="17265"/>
    <cellStyle name="Обычный 7 2 3 3 28" xfId="17266"/>
    <cellStyle name="Обычный 7 2 3 3 28 2" xfId="17267"/>
    <cellStyle name="Обычный 7 2 3 3 28 3" xfId="17268"/>
    <cellStyle name="Обычный 7 2 3 3 29" xfId="17269"/>
    <cellStyle name="Обычный 7 2 3 3 29 2" xfId="17270"/>
    <cellStyle name="Обычный 7 2 3 3 29 3" xfId="17271"/>
    <cellStyle name="Обычный 7 2 3 3 3" xfId="17272"/>
    <cellStyle name="Обычный 7 2 3 3 3 2" xfId="17273"/>
    <cellStyle name="Обычный 7 2 3 3 3 3" xfId="17274"/>
    <cellStyle name="Обычный 7 2 3 3 30" xfId="17275"/>
    <cellStyle name="Обычный 7 2 3 3 30 2" xfId="17276"/>
    <cellStyle name="Обычный 7 2 3 3 30 3" xfId="17277"/>
    <cellStyle name="Обычный 7 2 3 3 31" xfId="17278"/>
    <cellStyle name="Обычный 7 2 3 3 31 2" xfId="17279"/>
    <cellStyle name="Обычный 7 2 3 3 31 3" xfId="17280"/>
    <cellStyle name="Обычный 7 2 3 3 32" xfId="17281"/>
    <cellStyle name="Обычный 7 2 3 3 32 2" xfId="17282"/>
    <cellStyle name="Обычный 7 2 3 3 32 3" xfId="17283"/>
    <cellStyle name="Обычный 7 2 3 3 33" xfId="17284"/>
    <cellStyle name="Обычный 7 2 3 3 33 2" xfId="17285"/>
    <cellStyle name="Обычный 7 2 3 3 33 3" xfId="17286"/>
    <cellStyle name="Обычный 7 2 3 3 34" xfId="17287"/>
    <cellStyle name="Обычный 7 2 3 3 34 2" xfId="17288"/>
    <cellStyle name="Обычный 7 2 3 3 34 3" xfId="17289"/>
    <cellStyle name="Обычный 7 2 3 3 35" xfId="17290"/>
    <cellStyle name="Обычный 7 2 3 3 35 2" xfId="17291"/>
    <cellStyle name="Обычный 7 2 3 3 35 3" xfId="17292"/>
    <cellStyle name="Обычный 7 2 3 3 36" xfId="17293"/>
    <cellStyle name="Обычный 7 2 3 3 36 2" xfId="17294"/>
    <cellStyle name="Обычный 7 2 3 3 36 3" xfId="17295"/>
    <cellStyle name="Обычный 7 2 3 3 37" xfId="17296"/>
    <cellStyle name="Обычный 7 2 3 3 37 2" xfId="17297"/>
    <cellStyle name="Обычный 7 2 3 3 37 3" xfId="17298"/>
    <cellStyle name="Обычный 7 2 3 3 38" xfId="17299"/>
    <cellStyle name="Обычный 7 2 3 3 38 2" xfId="17300"/>
    <cellStyle name="Обычный 7 2 3 3 38 3" xfId="17301"/>
    <cellStyle name="Обычный 7 2 3 3 39" xfId="17302"/>
    <cellStyle name="Обычный 7 2 3 3 39 2" xfId="17303"/>
    <cellStyle name="Обычный 7 2 3 3 39 3" xfId="17304"/>
    <cellStyle name="Обычный 7 2 3 3 4" xfId="17305"/>
    <cellStyle name="Обычный 7 2 3 3 4 2" xfId="17306"/>
    <cellStyle name="Обычный 7 2 3 3 4 3" xfId="17307"/>
    <cellStyle name="Обычный 7 2 3 3 40" xfId="17308"/>
    <cellStyle name="Обычный 7 2 3 3 40 2" xfId="17309"/>
    <cellStyle name="Обычный 7 2 3 3 40 3" xfId="17310"/>
    <cellStyle name="Обычный 7 2 3 3 41" xfId="17311"/>
    <cellStyle name="Обычный 7 2 3 3 41 2" xfId="17312"/>
    <cellStyle name="Обычный 7 2 3 3 41 3" xfId="17313"/>
    <cellStyle name="Обычный 7 2 3 3 42" xfId="17314"/>
    <cellStyle name="Обычный 7 2 3 3 42 2" xfId="17315"/>
    <cellStyle name="Обычный 7 2 3 3 42 3" xfId="17316"/>
    <cellStyle name="Обычный 7 2 3 3 43" xfId="17317"/>
    <cellStyle name="Обычный 7 2 3 3 43 2" xfId="17318"/>
    <cellStyle name="Обычный 7 2 3 3 43 3" xfId="17319"/>
    <cellStyle name="Обычный 7 2 3 3 44" xfId="17320"/>
    <cellStyle name="Обычный 7 2 3 3 44 2" xfId="17321"/>
    <cellStyle name="Обычный 7 2 3 3 44 3" xfId="17322"/>
    <cellStyle name="Обычный 7 2 3 3 45" xfId="17323"/>
    <cellStyle name="Обычный 7 2 3 3 45 2" xfId="17324"/>
    <cellStyle name="Обычный 7 2 3 3 45 3" xfId="17325"/>
    <cellStyle name="Обычный 7 2 3 3 46" xfId="17326"/>
    <cellStyle name="Обычный 7 2 3 3 46 2" xfId="17327"/>
    <cellStyle name="Обычный 7 2 3 3 46 3" xfId="17328"/>
    <cellStyle name="Обычный 7 2 3 3 47" xfId="17329"/>
    <cellStyle name="Обычный 7 2 3 3 47 2" xfId="17330"/>
    <cellStyle name="Обычный 7 2 3 3 47 3" xfId="17331"/>
    <cellStyle name="Обычный 7 2 3 3 48" xfId="17332"/>
    <cellStyle name="Обычный 7 2 3 3 48 2" xfId="17333"/>
    <cellStyle name="Обычный 7 2 3 3 48 3" xfId="17334"/>
    <cellStyle name="Обычный 7 2 3 3 49" xfId="17335"/>
    <cellStyle name="Обычный 7 2 3 3 49 2" xfId="17336"/>
    <cellStyle name="Обычный 7 2 3 3 49 3" xfId="17337"/>
    <cellStyle name="Обычный 7 2 3 3 5" xfId="17338"/>
    <cellStyle name="Обычный 7 2 3 3 5 2" xfId="17339"/>
    <cellStyle name="Обычный 7 2 3 3 5 3" xfId="17340"/>
    <cellStyle name="Обычный 7 2 3 3 50" xfId="17341"/>
    <cellStyle name="Обычный 7 2 3 3 50 2" xfId="17342"/>
    <cellStyle name="Обычный 7 2 3 3 50 3" xfId="17343"/>
    <cellStyle name="Обычный 7 2 3 3 51" xfId="17344"/>
    <cellStyle name="Обычный 7 2 3 3 51 2" xfId="17345"/>
    <cellStyle name="Обычный 7 2 3 3 51 3" xfId="17346"/>
    <cellStyle name="Обычный 7 2 3 3 52" xfId="17347"/>
    <cellStyle name="Обычный 7 2 3 3 52 2" xfId="17348"/>
    <cellStyle name="Обычный 7 2 3 3 52 3" xfId="17349"/>
    <cellStyle name="Обычный 7 2 3 3 53" xfId="17350"/>
    <cellStyle name="Обычный 7 2 3 3 53 2" xfId="17351"/>
    <cellStyle name="Обычный 7 2 3 3 53 3" xfId="17352"/>
    <cellStyle name="Обычный 7 2 3 3 54" xfId="17353"/>
    <cellStyle name="Обычный 7 2 3 3 54 2" xfId="17354"/>
    <cellStyle name="Обычный 7 2 3 3 54 3" xfId="17355"/>
    <cellStyle name="Обычный 7 2 3 3 55" xfId="17356"/>
    <cellStyle name="Обычный 7 2 3 3 55 2" xfId="17357"/>
    <cellStyle name="Обычный 7 2 3 3 55 3" xfId="17358"/>
    <cellStyle name="Обычный 7 2 3 3 56" xfId="17359"/>
    <cellStyle name="Обычный 7 2 3 3 56 2" xfId="17360"/>
    <cellStyle name="Обычный 7 2 3 3 56 3" xfId="17361"/>
    <cellStyle name="Обычный 7 2 3 3 57" xfId="17362"/>
    <cellStyle name="Обычный 7 2 3 3 57 2" xfId="17363"/>
    <cellStyle name="Обычный 7 2 3 3 57 3" xfId="17364"/>
    <cellStyle name="Обычный 7 2 3 3 58" xfId="17365"/>
    <cellStyle name="Обычный 7 2 3 3 58 2" xfId="17366"/>
    <cellStyle name="Обычный 7 2 3 3 58 3" xfId="17367"/>
    <cellStyle name="Обычный 7 2 3 3 59" xfId="17368"/>
    <cellStyle name="Обычный 7 2 3 3 59 2" xfId="17369"/>
    <cellStyle name="Обычный 7 2 3 3 59 3" xfId="17370"/>
    <cellStyle name="Обычный 7 2 3 3 6" xfId="17371"/>
    <cellStyle name="Обычный 7 2 3 3 6 2" xfId="17372"/>
    <cellStyle name="Обычный 7 2 3 3 6 3" xfId="17373"/>
    <cellStyle name="Обычный 7 2 3 3 60" xfId="17374"/>
    <cellStyle name="Обычный 7 2 3 3 60 2" xfId="17375"/>
    <cellStyle name="Обычный 7 2 3 3 60 3" xfId="17376"/>
    <cellStyle name="Обычный 7 2 3 3 61" xfId="17377"/>
    <cellStyle name="Обычный 7 2 3 3 61 2" xfId="17378"/>
    <cellStyle name="Обычный 7 2 3 3 61 3" xfId="17379"/>
    <cellStyle name="Обычный 7 2 3 3 62" xfId="17380"/>
    <cellStyle name="Обычный 7 2 3 3 62 2" xfId="17381"/>
    <cellStyle name="Обычный 7 2 3 3 62 3" xfId="17382"/>
    <cellStyle name="Обычный 7 2 3 3 63" xfId="17383"/>
    <cellStyle name="Обычный 7 2 3 3 63 2" xfId="17384"/>
    <cellStyle name="Обычный 7 2 3 3 63 3" xfId="17385"/>
    <cellStyle name="Обычный 7 2 3 3 64" xfId="17386"/>
    <cellStyle name="Обычный 7 2 3 3 65" xfId="17387"/>
    <cellStyle name="Обычный 7 2 3 3 7" xfId="17388"/>
    <cellStyle name="Обычный 7 2 3 3 7 2" xfId="17389"/>
    <cellStyle name="Обычный 7 2 3 3 7 3" xfId="17390"/>
    <cellStyle name="Обычный 7 2 3 3 8" xfId="17391"/>
    <cellStyle name="Обычный 7 2 3 3 8 2" xfId="17392"/>
    <cellStyle name="Обычный 7 2 3 3 8 3" xfId="17393"/>
    <cellStyle name="Обычный 7 2 3 3 9" xfId="17394"/>
    <cellStyle name="Обычный 7 2 3 3 9 2" xfId="17395"/>
    <cellStyle name="Обычный 7 2 3 3 9 3" xfId="17396"/>
    <cellStyle name="Обычный 7 2 3 30" xfId="17397"/>
    <cellStyle name="Обычный 7 2 3 30 2" xfId="17398"/>
    <cellStyle name="Обычный 7 2 3 30 3" xfId="17399"/>
    <cellStyle name="Обычный 7 2 3 31" xfId="17400"/>
    <cellStyle name="Обычный 7 2 3 31 2" xfId="17401"/>
    <cellStyle name="Обычный 7 2 3 31 3" xfId="17402"/>
    <cellStyle name="Обычный 7 2 3 32" xfId="17403"/>
    <cellStyle name="Обычный 7 2 3 32 2" xfId="17404"/>
    <cellStyle name="Обычный 7 2 3 32 3" xfId="17405"/>
    <cellStyle name="Обычный 7 2 3 33" xfId="17406"/>
    <cellStyle name="Обычный 7 2 3 33 2" xfId="17407"/>
    <cellStyle name="Обычный 7 2 3 33 3" xfId="17408"/>
    <cellStyle name="Обычный 7 2 3 34" xfId="17409"/>
    <cellStyle name="Обычный 7 2 3 34 2" xfId="17410"/>
    <cellStyle name="Обычный 7 2 3 34 3" xfId="17411"/>
    <cellStyle name="Обычный 7 2 3 35" xfId="17412"/>
    <cellStyle name="Обычный 7 2 3 35 2" xfId="17413"/>
    <cellStyle name="Обычный 7 2 3 35 3" xfId="17414"/>
    <cellStyle name="Обычный 7 2 3 36" xfId="17415"/>
    <cellStyle name="Обычный 7 2 3 36 2" xfId="17416"/>
    <cellStyle name="Обычный 7 2 3 36 3" xfId="17417"/>
    <cellStyle name="Обычный 7 2 3 37" xfId="17418"/>
    <cellStyle name="Обычный 7 2 3 37 2" xfId="17419"/>
    <cellStyle name="Обычный 7 2 3 37 3" xfId="17420"/>
    <cellStyle name="Обычный 7 2 3 38" xfId="17421"/>
    <cellStyle name="Обычный 7 2 3 38 2" xfId="17422"/>
    <cellStyle name="Обычный 7 2 3 38 3" xfId="17423"/>
    <cellStyle name="Обычный 7 2 3 39" xfId="17424"/>
    <cellStyle name="Обычный 7 2 3 39 2" xfId="17425"/>
    <cellStyle name="Обычный 7 2 3 39 3" xfId="17426"/>
    <cellStyle name="Обычный 7 2 3 4" xfId="17427"/>
    <cellStyle name="Обычный 7 2 3 4 10" xfId="17428"/>
    <cellStyle name="Обычный 7 2 3 4 10 2" xfId="17429"/>
    <cellStyle name="Обычный 7 2 3 4 10 3" xfId="17430"/>
    <cellStyle name="Обычный 7 2 3 4 11" xfId="17431"/>
    <cellStyle name="Обычный 7 2 3 4 11 2" xfId="17432"/>
    <cellStyle name="Обычный 7 2 3 4 11 3" xfId="17433"/>
    <cellStyle name="Обычный 7 2 3 4 12" xfId="17434"/>
    <cellStyle name="Обычный 7 2 3 4 12 2" xfId="17435"/>
    <cellStyle name="Обычный 7 2 3 4 12 3" xfId="17436"/>
    <cellStyle name="Обычный 7 2 3 4 13" xfId="17437"/>
    <cellStyle name="Обычный 7 2 3 4 13 2" xfId="17438"/>
    <cellStyle name="Обычный 7 2 3 4 13 3" xfId="17439"/>
    <cellStyle name="Обычный 7 2 3 4 14" xfId="17440"/>
    <cellStyle name="Обычный 7 2 3 4 14 2" xfId="17441"/>
    <cellStyle name="Обычный 7 2 3 4 14 3" xfId="17442"/>
    <cellStyle name="Обычный 7 2 3 4 15" xfId="17443"/>
    <cellStyle name="Обычный 7 2 3 4 15 2" xfId="17444"/>
    <cellStyle name="Обычный 7 2 3 4 15 3" xfId="17445"/>
    <cellStyle name="Обычный 7 2 3 4 16" xfId="17446"/>
    <cellStyle name="Обычный 7 2 3 4 16 2" xfId="17447"/>
    <cellStyle name="Обычный 7 2 3 4 16 3" xfId="17448"/>
    <cellStyle name="Обычный 7 2 3 4 17" xfId="17449"/>
    <cellStyle name="Обычный 7 2 3 4 17 2" xfId="17450"/>
    <cellStyle name="Обычный 7 2 3 4 17 3" xfId="17451"/>
    <cellStyle name="Обычный 7 2 3 4 18" xfId="17452"/>
    <cellStyle name="Обычный 7 2 3 4 18 2" xfId="17453"/>
    <cellStyle name="Обычный 7 2 3 4 18 3" xfId="17454"/>
    <cellStyle name="Обычный 7 2 3 4 19" xfId="17455"/>
    <cellStyle name="Обычный 7 2 3 4 19 2" xfId="17456"/>
    <cellStyle name="Обычный 7 2 3 4 19 3" xfId="17457"/>
    <cellStyle name="Обычный 7 2 3 4 2" xfId="17458"/>
    <cellStyle name="Обычный 7 2 3 4 2 2" xfId="17459"/>
    <cellStyle name="Обычный 7 2 3 4 2 3" xfId="17460"/>
    <cellStyle name="Обычный 7 2 3 4 20" xfId="17461"/>
    <cellStyle name="Обычный 7 2 3 4 20 2" xfId="17462"/>
    <cellStyle name="Обычный 7 2 3 4 20 3" xfId="17463"/>
    <cellStyle name="Обычный 7 2 3 4 21" xfId="17464"/>
    <cellStyle name="Обычный 7 2 3 4 21 2" xfId="17465"/>
    <cellStyle name="Обычный 7 2 3 4 21 3" xfId="17466"/>
    <cellStyle name="Обычный 7 2 3 4 22" xfId="17467"/>
    <cellStyle name="Обычный 7 2 3 4 22 2" xfId="17468"/>
    <cellStyle name="Обычный 7 2 3 4 22 3" xfId="17469"/>
    <cellStyle name="Обычный 7 2 3 4 23" xfId="17470"/>
    <cellStyle name="Обычный 7 2 3 4 23 2" xfId="17471"/>
    <cellStyle name="Обычный 7 2 3 4 23 3" xfId="17472"/>
    <cellStyle name="Обычный 7 2 3 4 24" xfId="17473"/>
    <cellStyle name="Обычный 7 2 3 4 24 2" xfId="17474"/>
    <cellStyle name="Обычный 7 2 3 4 24 3" xfId="17475"/>
    <cellStyle name="Обычный 7 2 3 4 25" xfId="17476"/>
    <cellStyle name="Обычный 7 2 3 4 25 2" xfId="17477"/>
    <cellStyle name="Обычный 7 2 3 4 25 3" xfId="17478"/>
    <cellStyle name="Обычный 7 2 3 4 26" xfId="17479"/>
    <cellStyle name="Обычный 7 2 3 4 26 2" xfId="17480"/>
    <cellStyle name="Обычный 7 2 3 4 26 3" xfId="17481"/>
    <cellStyle name="Обычный 7 2 3 4 27" xfId="17482"/>
    <cellStyle name="Обычный 7 2 3 4 27 2" xfId="17483"/>
    <cellStyle name="Обычный 7 2 3 4 27 3" xfId="17484"/>
    <cellStyle name="Обычный 7 2 3 4 28" xfId="17485"/>
    <cellStyle name="Обычный 7 2 3 4 28 2" xfId="17486"/>
    <cellStyle name="Обычный 7 2 3 4 28 3" xfId="17487"/>
    <cellStyle name="Обычный 7 2 3 4 29" xfId="17488"/>
    <cellStyle name="Обычный 7 2 3 4 29 2" xfId="17489"/>
    <cellStyle name="Обычный 7 2 3 4 29 3" xfId="17490"/>
    <cellStyle name="Обычный 7 2 3 4 3" xfId="17491"/>
    <cellStyle name="Обычный 7 2 3 4 3 2" xfId="17492"/>
    <cellStyle name="Обычный 7 2 3 4 3 3" xfId="17493"/>
    <cellStyle name="Обычный 7 2 3 4 30" xfId="17494"/>
    <cellStyle name="Обычный 7 2 3 4 30 2" xfId="17495"/>
    <cellStyle name="Обычный 7 2 3 4 30 3" xfId="17496"/>
    <cellStyle name="Обычный 7 2 3 4 31" xfId="17497"/>
    <cellStyle name="Обычный 7 2 3 4 31 2" xfId="17498"/>
    <cellStyle name="Обычный 7 2 3 4 31 3" xfId="17499"/>
    <cellStyle name="Обычный 7 2 3 4 32" xfId="17500"/>
    <cellStyle name="Обычный 7 2 3 4 32 2" xfId="17501"/>
    <cellStyle name="Обычный 7 2 3 4 32 3" xfId="17502"/>
    <cellStyle name="Обычный 7 2 3 4 33" xfId="17503"/>
    <cellStyle name="Обычный 7 2 3 4 33 2" xfId="17504"/>
    <cellStyle name="Обычный 7 2 3 4 33 3" xfId="17505"/>
    <cellStyle name="Обычный 7 2 3 4 34" xfId="17506"/>
    <cellStyle name="Обычный 7 2 3 4 34 2" xfId="17507"/>
    <cellStyle name="Обычный 7 2 3 4 34 3" xfId="17508"/>
    <cellStyle name="Обычный 7 2 3 4 35" xfId="17509"/>
    <cellStyle name="Обычный 7 2 3 4 35 2" xfId="17510"/>
    <cellStyle name="Обычный 7 2 3 4 35 3" xfId="17511"/>
    <cellStyle name="Обычный 7 2 3 4 36" xfId="17512"/>
    <cellStyle name="Обычный 7 2 3 4 36 2" xfId="17513"/>
    <cellStyle name="Обычный 7 2 3 4 36 3" xfId="17514"/>
    <cellStyle name="Обычный 7 2 3 4 37" xfId="17515"/>
    <cellStyle name="Обычный 7 2 3 4 37 2" xfId="17516"/>
    <cellStyle name="Обычный 7 2 3 4 37 3" xfId="17517"/>
    <cellStyle name="Обычный 7 2 3 4 38" xfId="17518"/>
    <cellStyle name="Обычный 7 2 3 4 38 2" xfId="17519"/>
    <cellStyle name="Обычный 7 2 3 4 38 3" xfId="17520"/>
    <cellStyle name="Обычный 7 2 3 4 39" xfId="17521"/>
    <cellStyle name="Обычный 7 2 3 4 39 2" xfId="17522"/>
    <cellStyle name="Обычный 7 2 3 4 39 3" xfId="17523"/>
    <cellStyle name="Обычный 7 2 3 4 4" xfId="17524"/>
    <cellStyle name="Обычный 7 2 3 4 4 2" xfId="17525"/>
    <cellStyle name="Обычный 7 2 3 4 4 3" xfId="17526"/>
    <cellStyle name="Обычный 7 2 3 4 40" xfId="17527"/>
    <cellStyle name="Обычный 7 2 3 4 40 2" xfId="17528"/>
    <cellStyle name="Обычный 7 2 3 4 40 3" xfId="17529"/>
    <cellStyle name="Обычный 7 2 3 4 41" xfId="17530"/>
    <cellStyle name="Обычный 7 2 3 4 41 2" xfId="17531"/>
    <cellStyle name="Обычный 7 2 3 4 41 3" xfId="17532"/>
    <cellStyle name="Обычный 7 2 3 4 42" xfId="17533"/>
    <cellStyle name="Обычный 7 2 3 4 42 2" xfId="17534"/>
    <cellStyle name="Обычный 7 2 3 4 42 3" xfId="17535"/>
    <cellStyle name="Обычный 7 2 3 4 43" xfId="17536"/>
    <cellStyle name="Обычный 7 2 3 4 43 2" xfId="17537"/>
    <cellStyle name="Обычный 7 2 3 4 43 3" xfId="17538"/>
    <cellStyle name="Обычный 7 2 3 4 44" xfId="17539"/>
    <cellStyle name="Обычный 7 2 3 4 44 2" xfId="17540"/>
    <cellStyle name="Обычный 7 2 3 4 44 3" xfId="17541"/>
    <cellStyle name="Обычный 7 2 3 4 45" xfId="17542"/>
    <cellStyle name="Обычный 7 2 3 4 45 2" xfId="17543"/>
    <cellStyle name="Обычный 7 2 3 4 45 3" xfId="17544"/>
    <cellStyle name="Обычный 7 2 3 4 46" xfId="17545"/>
    <cellStyle name="Обычный 7 2 3 4 46 2" xfId="17546"/>
    <cellStyle name="Обычный 7 2 3 4 46 3" xfId="17547"/>
    <cellStyle name="Обычный 7 2 3 4 47" xfId="17548"/>
    <cellStyle name="Обычный 7 2 3 4 47 2" xfId="17549"/>
    <cellStyle name="Обычный 7 2 3 4 47 3" xfId="17550"/>
    <cellStyle name="Обычный 7 2 3 4 48" xfId="17551"/>
    <cellStyle name="Обычный 7 2 3 4 48 2" xfId="17552"/>
    <cellStyle name="Обычный 7 2 3 4 48 3" xfId="17553"/>
    <cellStyle name="Обычный 7 2 3 4 49" xfId="17554"/>
    <cellStyle name="Обычный 7 2 3 4 49 2" xfId="17555"/>
    <cellStyle name="Обычный 7 2 3 4 49 3" xfId="17556"/>
    <cellStyle name="Обычный 7 2 3 4 5" xfId="17557"/>
    <cellStyle name="Обычный 7 2 3 4 5 2" xfId="17558"/>
    <cellStyle name="Обычный 7 2 3 4 5 3" xfId="17559"/>
    <cellStyle name="Обычный 7 2 3 4 50" xfId="17560"/>
    <cellStyle name="Обычный 7 2 3 4 50 2" xfId="17561"/>
    <cellStyle name="Обычный 7 2 3 4 50 3" xfId="17562"/>
    <cellStyle name="Обычный 7 2 3 4 51" xfId="17563"/>
    <cellStyle name="Обычный 7 2 3 4 51 2" xfId="17564"/>
    <cellStyle name="Обычный 7 2 3 4 51 3" xfId="17565"/>
    <cellStyle name="Обычный 7 2 3 4 52" xfId="17566"/>
    <cellStyle name="Обычный 7 2 3 4 52 2" xfId="17567"/>
    <cellStyle name="Обычный 7 2 3 4 52 3" xfId="17568"/>
    <cellStyle name="Обычный 7 2 3 4 53" xfId="17569"/>
    <cellStyle name="Обычный 7 2 3 4 53 2" xfId="17570"/>
    <cellStyle name="Обычный 7 2 3 4 53 3" xfId="17571"/>
    <cellStyle name="Обычный 7 2 3 4 54" xfId="17572"/>
    <cellStyle name="Обычный 7 2 3 4 54 2" xfId="17573"/>
    <cellStyle name="Обычный 7 2 3 4 54 3" xfId="17574"/>
    <cellStyle name="Обычный 7 2 3 4 55" xfId="17575"/>
    <cellStyle name="Обычный 7 2 3 4 55 2" xfId="17576"/>
    <cellStyle name="Обычный 7 2 3 4 55 3" xfId="17577"/>
    <cellStyle name="Обычный 7 2 3 4 56" xfId="17578"/>
    <cellStyle name="Обычный 7 2 3 4 56 2" xfId="17579"/>
    <cellStyle name="Обычный 7 2 3 4 56 3" xfId="17580"/>
    <cellStyle name="Обычный 7 2 3 4 57" xfId="17581"/>
    <cellStyle name="Обычный 7 2 3 4 57 2" xfId="17582"/>
    <cellStyle name="Обычный 7 2 3 4 57 3" xfId="17583"/>
    <cellStyle name="Обычный 7 2 3 4 58" xfId="17584"/>
    <cellStyle name="Обычный 7 2 3 4 58 2" xfId="17585"/>
    <cellStyle name="Обычный 7 2 3 4 58 3" xfId="17586"/>
    <cellStyle name="Обычный 7 2 3 4 59" xfId="17587"/>
    <cellStyle name="Обычный 7 2 3 4 59 2" xfId="17588"/>
    <cellStyle name="Обычный 7 2 3 4 59 3" xfId="17589"/>
    <cellStyle name="Обычный 7 2 3 4 6" xfId="17590"/>
    <cellStyle name="Обычный 7 2 3 4 6 2" xfId="17591"/>
    <cellStyle name="Обычный 7 2 3 4 6 3" xfId="17592"/>
    <cellStyle name="Обычный 7 2 3 4 60" xfId="17593"/>
    <cellStyle name="Обычный 7 2 3 4 60 2" xfId="17594"/>
    <cellStyle name="Обычный 7 2 3 4 60 3" xfId="17595"/>
    <cellStyle name="Обычный 7 2 3 4 61" xfId="17596"/>
    <cellStyle name="Обычный 7 2 3 4 61 2" xfId="17597"/>
    <cellStyle name="Обычный 7 2 3 4 61 3" xfId="17598"/>
    <cellStyle name="Обычный 7 2 3 4 62" xfId="17599"/>
    <cellStyle name="Обычный 7 2 3 4 62 2" xfId="17600"/>
    <cellStyle name="Обычный 7 2 3 4 62 3" xfId="17601"/>
    <cellStyle name="Обычный 7 2 3 4 63" xfId="17602"/>
    <cellStyle name="Обычный 7 2 3 4 63 2" xfId="17603"/>
    <cellStyle name="Обычный 7 2 3 4 63 3" xfId="17604"/>
    <cellStyle name="Обычный 7 2 3 4 64" xfId="17605"/>
    <cellStyle name="Обычный 7 2 3 4 65" xfId="17606"/>
    <cellStyle name="Обычный 7 2 3 4 7" xfId="17607"/>
    <cellStyle name="Обычный 7 2 3 4 7 2" xfId="17608"/>
    <cellStyle name="Обычный 7 2 3 4 7 3" xfId="17609"/>
    <cellStyle name="Обычный 7 2 3 4 8" xfId="17610"/>
    <cellStyle name="Обычный 7 2 3 4 8 2" xfId="17611"/>
    <cellStyle name="Обычный 7 2 3 4 8 3" xfId="17612"/>
    <cellStyle name="Обычный 7 2 3 4 9" xfId="17613"/>
    <cellStyle name="Обычный 7 2 3 4 9 2" xfId="17614"/>
    <cellStyle name="Обычный 7 2 3 4 9 3" xfId="17615"/>
    <cellStyle name="Обычный 7 2 3 40" xfId="17616"/>
    <cellStyle name="Обычный 7 2 3 40 2" xfId="17617"/>
    <cellStyle name="Обычный 7 2 3 40 3" xfId="17618"/>
    <cellStyle name="Обычный 7 2 3 41" xfId="17619"/>
    <cellStyle name="Обычный 7 2 3 41 2" xfId="17620"/>
    <cellStyle name="Обычный 7 2 3 41 3" xfId="17621"/>
    <cellStyle name="Обычный 7 2 3 42" xfId="17622"/>
    <cellStyle name="Обычный 7 2 3 42 2" xfId="17623"/>
    <cellStyle name="Обычный 7 2 3 42 3" xfId="17624"/>
    <cellStyle name="Обычный 7 2 3 43" xfId="17625"/>
    <cellStyle name="Обычный 7 2 3 43 2" xfId="17626"/>
    <cellStyle name="Обычный 7 2 3 43 3" xfId="17627"/>
    <cellStyle name="Обычный 7 2 3 44" xfId="17628"/>
    <cellStyle name="Обычный 7 2 3 44 2" xfId="17629"/>
    <cellStyle name="Обычный 7 2 3 44 3" xfId="17630"/>
    <cellStyle name="Обычный 7 2 3 45" xfId="17631"/>
    <cellStyle name="Обычный 7 2 3 45 2" xfId="17632"/>
    <cellStyle name="Обычный 7 2 3 45 3" xfId="17633"/>
    <cellStyle name="Обычный 7 2 3 46" xfId="17634"/>
    <cellStyle name="Обычный 7 2 3 46 2" xfId="17635"/>
    <cellStyle name="Обычный 7 2 3 46 3" xfId="17636"/>
    <cellStyle name="Обычный 7 2 3 47" xfId="17637"/>
    <cellStyle name="Обычный 7 2 3 47 2" xfId="17638"/>
    <cellStyle name="Обычный 7 2 3 47 3" xfId="17639"/>
    <cellStyle name="Обычный 7 2 3 48" xfId="17640"/>
    <cellStyle name="Обычный 7 2 3 48 2" xfId="17641"/>
    <cellStyle name="Обычный 7 2 3 48 3" xfId="17642"/>
    <cellStyle name="Обычный 7 2 3 49" xfId="17643"/>
    <cellStyle name="Обычный 7 2 3 49 2" xfId="17644"/>
    <cellStyle name="Обычный 7 2 3 49 3" xfId="17645"/>
    <cellStyle name="Обычный 7 2 3 5" xfId="17646"/>
    <cellStyle name="Обычный 7 2 3 5 10" xfId="17647"/>
    <cellStyle name="Обычный 7 2 3 5 10 2" xfId="17648"/>
    <cellStyle name="Обычный 7 2 3 5 10 3" xfId="17649"/>
    <cellStyle name="Обычный 7 2 3 5 11" xfId="17650"/>
    <cellStyle name="Обычный 7 2 3 5 11 2" xfId="17651"/>
    <cellStyle name="Обычный 7 2 3 5 11 3" xfId="17652"/>
    <cellStyle name="Обычный 7 2 3 5 12" xfId="17653"/>
    <cellStyle name="Обычный 7 2 3 5 12 2" xfId="17654"/>
    <cellStyle name="Обычный 7 2 3 5 12 3" xfId="17655"/>
    <cellStyle name="Обычный 7 2 3 5 13" xfId="17656"/>
    <cellStyle name="Обычный 7 2 3 5 13 2" xfId="17657"/>
    <cellStyle name="Обычный 7 2 3 5 13 3" xfId="17658"/>
    <cellStyle name="Обычный 7 2 3 5 14" xfId="17659"/>
    <cellStyle name="Обычный 7 2 3 5 14 2" xfId="17660"/>
    <cellStyle name="Обычный 7 2 3 5 14 3" xfId="17661"/>
    <cellStyle name="Обычный 7 2 3 5 15" xfId="17662"/>
    <cellStyle name="Обычный 7 2 3 5 15 2" xfId="17663"/>
    <cellStyle name="Обычный 7 2 3 5 15 3" xfId="17664"/>
    <cellStyle name="Обычный 7 2 3 5 16" xfId="17665"/>
    <cellStyle name="Обычный 7 2 3 5 16 2" xfId="17666"/>
    <cellStyle name="Обычный 7 2 3 5 16 3" xfId="17667"/>
    <cellStyle name="Обычный 7 2 3 5 17" xfId="17668"/>
    <cellStyle name="Обычный 7 2 3 5 17 2" xfId="17669"/>
    <cellStyle name="Обычный 7 2 3 5 17 3" xfId="17670"/>
    <cellStyle name="Обычный 7 2 3 5 18" xfId="17671"/>
    <cellStyle name="Обычный 7 2 3 5 18 2" xfId="17672"/>
    <cellStyle name="Обычный 7 2 3 5 18 3" xfId="17673"/>
    <cellStyle name="Обычный 7 2 3 5 19" xfId="17674"/>
    <cellStyle name="Обычный 7 2 3 5 19 2" xfId="17675"/>
    <cellStyle name="Обычный 7 2 3 5 19 3" xfId="17676"/>
    <cellStyle name="Обычный 7 2 3 5 2" xfId="17677"/>
    <cellStyle name="Обычный 7 2 3 5 2 2" xfId="17678"/>
    <cellStyle name="Обычный 7 2 3 5 2 3" xfId="17679"/>
    <cellStyle name="Обычный 7 2 3 5 20" xfId="17680"/>
    <cellStyle name="Обычный 7 2 3 5 20 2" xfId="17681"/>
    <cellStyle name="Обычный 7 2 3 5 20 3" xfId="17682"/>
    <cellStyle name="Обычный 7 2 3 5 21" xfId="17683"/>
    <cellStyle name="Обычный 7 2 3 5 21 2" xfId="17684"/>
    <cellStyle name="Обычный 7 2 3 5 21 3" xfId="17685"/>
    <cellStyle name="Обычный 7 2 3 5 22" xfId="17686"/>
    <cellStyle name="Обычный 7 2 3 5 22 2" xfId="17687"/>
    <cellStyle name="Обычный 7 2 3 5 22 3" xfId="17688"/>
    <cellStyle name="Обычный 7 2 3 5 23" xfId="17689"/>
    <cellStyle name="Обычный 7 2 3 5 23 2" xfId="17690"/>
    <cellStyle name="Обычный 7 2 3 5 23 3" xfId="17691"/>
    <cellStyle name="Обычный 7 2 3 5 24" xfId="17692"/>
    <cellStyle name="Обычный 7 2 3 5 24 2" xfId="17693"/>
    <cellStyle name="Обычный 7 2 3 5 24 3" xfId="17694"/>
    <cellStyle name="Обычный 7 2 3 5 25" xfId="17695"/>
    <cellStyle name="Обычный 7 2 3 5 25 2" xfId="17696"/>
    <cellStyle name="Обычный 7 2 3 5 25 3" xfId="17697"/>
    <cellStyle name="Обычный 7 2 3 5 26" xfId="17698"/>
    <cellStyle name="Обычный 7 2 3 5 26 2" xfId="17699"/>
    <cellStyle name="Обычный 7 2 3 5 26 3" xfId="17700"/>
    <cellStyle name="Обычный 7 2 3 5 27" xfId="17701"/>
    <cellStyle name="Обычный 7 2 3 5 27 2" xfId="17702"/>
    <cellStyle name="Обычный 7 2 3 5 27 3" xfId="17703"/>
    <cellStyle name="Обычный 7 2 3 5 28" xfId="17704"/>
    <cellStyle name="Обычный 7 2 3 5 28 2" xfId="17705"/>
    <cellStyle name="Обычный 7 2 3 5 28 3" xfId="17706"/>
    <cellStyle name="Обычный 7 2 3 5 29" xfId="17707"/>
    <cellStyle name="Обычный 7 2 3 5 29 2" xfId="17708"/>
    <cellStyle name="Обычный 7 2 3 5 29 3" xfId="17709"/>
    <cellStyle name="Обычный 7 2 3 5 3" xfId="17710"/>
    <cellStyle name="Обычный 7 2 3 5 3 2" xfId="17711"/>
    <cellStyle name="Обычный 7 2 3 5 3 3" xfId="17712"/>
    <cellStyle name="Обычный 7 2 3 5 30" xfId="17713"/>
    <cellStyle name="Обычный 7 2 3 5 30 2" xfId="17714"/>
    <cellStyle name="Обычный 7 2 3 5 30 3" xfId="17715"/>
    <cellStyle name="Обычный 7 2 3 5 31" xfId="17716"/>
    <cellStyle name="Обычный 7 2 3 5 31 2" xfId="17717"/>
    <cellStyle name="Обычный 7 2 3 5 31 3" xfId="17718"/>
    <cellStyle name="Обычный 7 2 3 5 32" xfId="17719"/>
    <cellStyle name="Обычный 7 2 3 5 32 2" xfId="17720"/>
    <cellStyle name="Обычный 7 2 3 5 32 3" xfId="17721"/>
    <cellStyle name="Обычный 7 2 3 5 33" xfId="17722"/>
    <cellStyle name="Обычный 7 2 3 5 33 2" xfId="17723"/>
    <cellStyle name="Обычный 7 2 3 5 33 3" xfId="17724"/>
    <cellStyle name="Обычный 7 2 3 5 34" xfId="17725"/>
    <cellStyle name="Обычный 7 2 3 5 34 2" xfId="17726"/>
    <cellStyle name="Обычный 7 2 3 5 34 3" xfId="17727"/>
    <cellStyle name="Обычный 7 2 3 5 35" xfId="17728"/>
    <cellStyle name="Обычный 7 2 3 5 35 2" xfId="17729"/>
    <cellStyle name="Обычный 7 2 3 5 35 3" xfId="17730"/>
    <cellStyle name="Обычный 7 2 3 5 36" xfId="17731"/>
    <cellStyle name="Обычный 7 2 3 5 36 2" xfId="17732"/>
    <cellStyle name="Обычный 7 2 3 5 36 3" xfId="17733"/>
    <cellStyle name="Обычный 7 2 3 5 37" xfId="17734"/>
    <cellStyle name="Обычный 7 2 3 5 37 2" xfId="17735"/>
    <cellStyle name="Обычный 7 2 3 5 37 3" xfId="17736"/>
    <cellStyle name="Обычный 7 2 3 5 38" xfId="17737"/>
    <cellStyle name="Обычный 7 2 3 5 38 2" xfId="17738"/>
    <cellStyle name="Обычный 7 2 3 5 38 3" xfId="17739"/>
    <cellStyle name="Обычный 7 2 3 5 39" xfId="17740"/>
    <cellStyle name="Обычный 7 2 3 5 39 2" xfId="17741"/>
    <cellStyle name="Обычный 7 2 3 5 39 3" xfId="17742"/>
    <cellStyle name="Обычный 7 2 3 5 4" xfId="17743"/>
    <cellStyle name="Обычный 7 2 3 5 4 2" xfId="17744"/>
    <cellStyle name="Обычный 7 2 3 5 4 3" xfId="17745"/>
    <cellStyle name="Обычный 7 2 3 5 40" xfId="17746"/>
    <cellStyle name="Обычный 7 2 3 5 40 2" xfId="17747"/>
    <cellStyle name="Обычный 7 2 3 5 40 3" xfId="17748"/>
    <cellStyle name="Обычный 7 2 3 5 41" xfId="17749"/>
    <cellStyle name="Обычный 7 2 3 5 41 2" xfId="17750"/>
    <cellStyle name="Обычный 7 2 3 5 41 3" xfId="17751"/>
    <cellStyle name="Обычный 7 2 3 5 42" xfId="17752"/>
    <cellStyle name="Обычный 7 2 3 5 42 2" xfId="17753"/>
    <cellStyle name="Обычный 7 2 3 5 42 3" xfId="17754"/>
    <cellStyle name="Обычный 7 2 3 5 43" xfId="17755"/>
    <cellStyle name="Обычный 7 2 3 5 43 2" xfId="17756"/>
    <cellStyle name="Обычный 7 2 3 5 43 3" xfId="17757"/>
    <cellStyle name="Обычный 7 2 3 5 44" xfId="17758"/>
    <cellStyle name="Обычный 7 2 3 5 44 2" xfId="17759"/>
    <cellStyle name="Обычный 7 2 3 5 44 3" xfId="17760"/>
    <cellStyle name="Обычный 7 2 3 5 45" xfId="17761"/>
    <cellStyle name="Обычный 7 2 3 5 45 2" xfId="17762"/>
    <cellStyle name="Обычный 7 2 3 5 45 3" xfId="17763"/>
    <cellStyle name="Обычный 7 2 3 5 46" xfId="17764"/>
    <cellStyle name="Обычный 7 2 3 5 46 2" xfId="17765"/>
    <cellStyle name="Обычный 7 2 3 5 46 3" xfId="17766"/>
    <cellStyle name="Обычный 7 2 3 5 47" xfId="17767"/>
    <cellStyle name="Обычный 7 2 3 5 47 2" xfId="17768"/>
    <cellStyle name="Обычный 7 2 3 5 47 3" xfId="17769"/>
    <cellStyle name="Обычный 7 2 3 5 48" xfId="17770"/>
    <cellStyle name="Обычный 7 2 3 5 48 2" xfId="17771"/>
    <cellStyle name="Обычный 7 2 3 5 48 3" xfId="17772"/>
    <cellStyle name="Обычный 7 2 3 5 49" xfId="17773"/>
    <cellStyle name="Обычный 7 2 3 5 49 2" xfId="17774"/>
    <cellStyle name="Обычный 7 2 3 5 49 3" xfId="17775"/>
    <cellStyle name="Обычный 7 2 3 5 5" xfId="17776"/>
    <cellStyle name="Обычный 7 2 3 5 5 2" xfId="17777"/>
    <cellStyle name="Обычный 7 2 3 5 5 3" xfId="17778"/>
    <cellStyle name="Обычный 7 2 3 5 50" xfId="17779"/>
    <cellStyle name="Обычный 7 2 3 5 50 2" xfId="17780"/>
    <cellStyle name="Обычный 7 2 3 5 50 3" xfId="17781"/>
    <cellStyle name="Обычный 7 2 3 5 51" xfId="17782"/>
    <cellStyle name="Обычный 7 2 3 5 51 2" xfId="17783"/>
    <cellStyle name="Обычный 7 2 3 5 51 3" xfId="17784"/>
    <cellStyle name="Обычный 7 2 3 5 52" xfId="17785"/>
    <cellStyle name="Обычный 7 2 3 5 52 2" xfId="17786"/>
    <cellStyle name="Обычный 7 2 3 5 52 3" xfId="17787"/>
    <cellStyle name="Обычный 7 2 3 5 53" xfId="17788"/>
    <cellStyle name="Обычный 7 2 3 5 53 2" xfId="17789"/>
    <cellStyle name="Обычный 7 2 3 5 53 3" xfId="17790"/>
    <cellStyle name="Обычный 7 2 3 5 54" xfId="17791"/>
    <cellStyle name="Обычный 7 2 3 5 54 2" xfId="17792"/>
    <cellStyle name="Обычный 7 2 3 5 54 3" xfId="17793"/>
    <cellStyle name="Обычный 7 2 3 5 55" xfId="17794"/>
    <cellStyle name="Обычный 7 2 3 5 55 2" xfId="17795"/>
    <cellStyle name="Обычный 7 2 3 5 55 3" xfId="17796"/>
    <cellStyle name="Обычный 7 2 3 5 56" xfId="17797"/>
    <cellStyle name="Обычный 7 2 3 5 56 2" xfId="17798"/>
    <cellStyle name="Обычный 7 2 3 5 56 3" xfId="17799"/>
    <cellStyle name="Обычный 7 2 3 5 57" xfId="17800"/>
    <cellStyle name="Обычный 7 2 3 5 57 2" xfId="17801"/>
    <cellStyle name="Обычный 7 2 3 5 57 3" xfId="17802"/>
    <cellStyle name="Обычный 7 2 3 5 58" xfId="17803"/>
    <cellStyle name="Обычный 7 2 3 5 58 2" xfId="17804"/>
    <cellStyle name="Обычный 7 2 3 5 58 3" xfId="17805"/>
    <cellStyle name="Обычный 7 2 3 5 59" xfId="17806"/>
    <cellStyle name="Обычный 7 2 3 5 59 2" xfId="17807"/>
    <cellStyle name="Обычный 7 2 3 5 59 3" xfId="17808"/>
    <cellStyle name="Обычный 7 2 3 5 6" xfId="17809"/>
    <cellStyle name="Обычный 7 2 3 5 6 2" xfId="17810"/>
    <cellStyle name="Обычный 7 2 3 5 6 3" xfId="17811"/>
    <cellStyle name="Обычный 7 2 3 5 60" xfId="17812"/>
    <cellStyle name="Обычный 7 2 3 5 60 2" xfId="17813"/>
    <cellStyle name="Обычный 7 2 3 5 60 3" xfId="17814"/>
    <cellStyle name="Обычный 7 2 3 5 61" xfId="17815"/>
    <cellStyle name="Обычный 7 2 3 5 61 2" xfId="17816"/>
    <cellStyle name="Обычный 7 2 3 5 61 3" xfId="17817"/>
    <cellStyle name="Обычный 7 2 3 5 62" xfId="17818"/>
    <cellStyle name="Обычный 7 2 3 5 62 2" xfId="17819"/>
    <cellStyle name="Обычный 7 2 3 5 62 3" xfId="17820"/>
    <cellStyle name="Обычный 7 2 3 5 63" xfId="17821"/>
    <cellStyle name="Обычный 7 2 3 5 63 2" xfId="17822"/>
    <cellStyle name="Обычный 7 2 3 5 63 3" xfId="17823"/>
    <cellStyle name="Обычный 7 2 3 5 64" xfId="17824"/>
    <cellStyle name="Обычный 7 2 3 5 65" xfId="17825"/>
    <cellStyle name="Обычный 7 2 3 5 7" xfId="17826"/>
    <cellStyle name="Обычный 7 2 3 5 7 2" xfId="17827"/>
    <cellStyle name="Обычный 7 2 3 5 7 3" xfId="17828"/>
    <cellStyle name="Обычный 7 2 3 5 8" xfId="17829"/>
    <cellStyle name="Обычный 7 2 3 5 8 2" xfId="17830"/>
    <cellStyle name="Обычный 7 2 3 5 8 3" xfId="17831"/>
    <cellStyle name="Обычный 7 2 3 5 9" xfId="17832"/>
    <cellStyle name="Обычный 7 2 3 5 9 2" xfId="17833"/>
    <cellStyle name="Обычный 7 2 3 5 9 3" xfId="17834"/>
    <cellStyle name="Обычный 7 2 3 50" xfId="17835"/>
    <cellStyle name="Обычный 7 2 3 50 2" xfId="17836"/>
    <cellStyle name="Обычный 7 2 3 50 3" xfId="17837"/>
    <cellStyle name="Обычный 7 2 3 51" xfId="17838"/>
    <cellStyle name="Обычный 7 2 3 51 2" xfId="17839"/>
    <cellStyle name="Обычный 7 2 3 51 3" xfId="17840"/>
    <cellStyle name="Обычный 7 2 3 52" xfId="17841"/>
    <cellStyle name="Обычный 7 2 3 52 2" xfId="17842"/>
    <cellStyle name="Обычный 7 2 3 52 3" xfId="17843"/>
    <cellStyle name="Обычный 7 2 3 53" xfId="17844"/>
    <cellStyle name="Обычный 7 2 3 53 2" xfId="17845"/>
    <cellStyle name="Обычный 7 2 3 53 3" xfId="17846"/>
    <cellStyle name="Обычный 7 2 3 54" xfId="17847"/>
    <cellStyle name="Обычный 7 2 3 54 2" xfId="17848"/>
    <cellStyle name="Обычный 7 2 3 54 3" xfId="17849"/>
    <cellStyle name="Обычный 7 2 3 55" xfId="17850"/>
    <cellStyle name="Обычный 7 2 3 55 2" xfId="17851"/>
    <cellStyle name="Обычный 7 2 3 55 3" xfId="17852"/>
    <cellStyle name="Обычный 7 2 3 56" xfId="17853"/>
    <cellStyle name="Обычный 7 2 3 56 2" xfId="17854"/>
    <cellStyle name="Обычный 7 2 3 56 3" xfId="17855"/>
    <cellStyle name="Обычный 7 2 3 57" xfId="17856"/>
    <cellStyle name="Обычный 7 2 3 57 2" xfId="17857"/>
    <cellStyle name="Обычный 7 2 3 57 3" xfId="17858"/>
    <cellStyle name="Обычный 7 2 3 58" xfId="17859"/>
    <cellStyle name="Обычный 7 2 3 58 2" xfId="17860"/>
    <cellStyle name="Обычный 7 2 3 58 3" xfId="17861"/>
    <cellStyle name="Обычный 7 2 3 59" xfId="17862"/>
    <cellStyle name="Обычный 7 2 3 59 2" xfId="17863"/>
    <cellStyle name="Обычный 7 2 3 59 3" xfId="17864"/>
    <cellStyle name="Обычный 7 2 3 6" xfId="17865"/>
    <cellStyle name="Обычный 7 2 3 6 10" xfId="17866"/>
    <cellStyle name="Обычный 7 2 3 6 10 2" xfId="17867"/>
    <cellStyle name="Обычный 7 2 3 6 10 3" xfId="17868"/>
    <cellStyle name="Обычный 7 2 3 6 11" xfId="17869"/>
    <cellStyle name="Обычный 7 2 3 6 11 2" xfId="17870"/>
    <cellStyle name="Обычный 7 2 3 6 11 3" xfId="17871"/>
    <cellStyle name="Обычный 7 2 3 6 12" xfId="17872"/>
    <cellStyle name="Обычный 7 2 3 6 12 2" xfId="17873"/>
    <cellStyle name="Обычный 7 2 3 6 12 3" xfId="17874"/>
    <cellStyle name="Обычный 7 2 3 6 13" xfId="17875"/>
    <cellStyle name="Обычный 7 2 3 6 13 2" xfId="17876"/>
    <cellStyle name="Обычный 7 2 3 6 13 3" xfId="17877"/>
    <cellStyle name="Обычный 7 2 3 6 14" xfId="17878"/>
    <cellStyle name="Обычный 7 2 3 6 14 2" xfId="17879"/>
    <cellStyle name="Обычный 7 2 3 6 14 3" xfId="17880"/>
    <cellStyle name="Обычный 7 2 3 6 15" xfId="17881"/>
    <cellStyle name="Обычный 7 2 3 6 15 2" xfId="17882"/>
    <cellStyle name="Обычный 7 2 3 6 15 3" xfId="17883"/>
    <cellStyle name="Обычный 7 2 3 6 16" xfId="17884"/>
    <cellStyle name="Обычный 7 2 3 6 16 2" xfId="17885"/>
    <cellStyle name="Обычный 7 2 3 6 16 3" xfId="17886"/>
    <cellStyle name="Обычный 7 2 3 6 17" xfId="17887"/>
    <cellStyle name="Обычный 7 2 3 6 17 2" xfId="17888"/>
    <cellStyle name="Обычный 7 2 3 6 17 3" xfId="17889"/>
    <cellStyle name="Обычный 7 2 3 6 18" xfId="17890"/>
    <cellStyle name="Обычный 7 2 3 6 18 2" xfId="17891"/>
    <cellStyle name="Обычный 7 2 3 6 18 3" xfId="17892"/>
    <cellStyle name="Обычный 7 2 3 6 19" xfId="17893"/>
    <cellStyle name="Обычный 7 2 3 6 19 2" xfId="17894"/>
    <cellStyle name="Обычный 7 2 3 6 19 3" xfId="17895"/>
    <cellStyle name="Обычный 7 2 3 6 2" xfId="17896"/>
    <cellStyle name="Обычный 7 2 3 6 2 2" xfId="17897"/>
    <cellStyle name="Обычный 7 2 3 6 2 3" xfId="17898"/>
    <cellStyle name="Обычный 7 2 3 6 20" xfId="17899"/>
    <cellStyle name="Обычный 7 2 3 6 20 2" xfId="17900"/>
    <cellStyle name="Обычный 7 2 3 6 20 3" xfId="17901"/>
    <cellStyle name="Обычный 7 2 3 6 21" xfId="17902"/>
    <cellStyle name="Обычный 7 2 3 6 21 2" xfId="17903"/>
    <cellStyle name="Обычный 7 2 3 6 21 3" xfId="17904"/>
    <cellStyle name="Обычный 7 2 3 6 22" xfId="17905"/>
    <cellStyle name="Обычный 7 2 3 6 22 2" xfId="17906"/>
    <cellStyle name="Обычный 7 2 3 6 22 3" xfId="17907"/>
    <cellStyle name="Обычный 7 2 3 6 23" xfId="17908"/>
    <cellStyle name="Обычный 7 2 3 6 23 2" xfId="17909"/>
    <cellStyle name="Обычный 7 2 3 6 23 3" xfId="17910"/>
    <cellStyle name="Обычный 7 2 3 6 24" xfId="17911"/>
    <cellStyle name="Обычный 7 2 3 6 24 2" xfId="17912"/>
    <cellStyle name="Обычный 7 2 3 6 24 3" xfId="17913"/>
    <cellStyle name="Обычный 7 2 3 6 25" xfId="17914"/>
    <cellStyle name="Обычный 7 2 3 6 25 2" xfId="17915"/>
    <cellStyle name="Обычный 7 2 3 6 25 3" xfId="17916"/>
    <cellStyle name="Обычный 7 2 3 6 26" xfId="17917"/>
    <cellStyle name="Обычный 7 2 3 6 26 2" xfId="17918"/>
    <cellStyle name="Обычный 7 2 3 6 26 3" xfId="17919"/>
    <cellStyle name="Обычный 7 2 3 6 27" xfId="17920"/>
    <cellStyle name="Обычный 7 2 3 6 27 2" xfId="17921"/>
    <cellStyle name="Обычный 7 2 3 6 27 3" xfId="17922"/>
    <cellStyle name="Обычный 7 2 3 6 28" xfId="17923"/>
    <cellStyle name="Обычный 7 2 3 6 28 2" xfId="17924"/>
    <cellStyle name="Обычный 7 2 3 6 28 3" xfId="17925"/>
    <cellStyle name="Обычный 7 2 3 6 29" xfId="17926"/>
    <cellStyle name="Обычный 7 2 3 6 29 2" xfId="17927"/>
    <cellStyle name="Обычный 7 2 3 6 29 3" xfId="17928"/>
    <cellStyle name="Обычный 7 2 3 6 3" xfId="17929"/>
    <cellStyle name="Обычный 7 2 3 6 3 2" xfId="17930"/>
    <cellStyle name="Обычный 7 2 3 6 3 3" xfId="17931"/>
    <cellStyle name="Обычный 7 2 3 6 30" xfId="17932"/>
    <cellStyle name="Обычный 7 2 3 6 30 2" xfId="17933"/>
    <cellStyle name="Обычный 7 2 3 6 30 3" xfId="17934"/>
    <cellStyle name="Обычный 7 2 3 6 31" xfId="17935"/>
    <cellStyle name="Обычный 7 2 3 6 31 2" xfId="17936"/>
    <cellStyle name="Обычный 7 2 3 6 31 3" xfId="17937"/>
    <cellStyle name="Обычный 7 2 3 6 32" xfId="17938"/>
    <cellStyle name="Обычный 7 2 3 6 32 2" xfId="17939"/>
    <cellStyle name="Обычный 7 2 3 6 32 3" xfId="17940"/>
    <cellStyle name="Обычный 7 2 3 6 33" xfId="17941"/>
    <cellStyle name="Обычный 7 2 3 6 33 2" xfId="17942"/>
    <cellStyle name="Обычный 7 2 3 6 33 3" xfId="17943"/>
    <cellStyle name="Обычный 7 2 3 6 34" xfId="17944"/>
    <cellStyle name="Обычный 7 2 3 6 34 2" xfId="17945"/>
    <cellStyle name="Обычный 7 2 3 6 34 3" xfId="17946"/>
    <cellStyle name="Обычный 7 2 3 6 35" xfId="17947"/>
    <cellStyle name="Обычный 7 2 3 6 35 2" xfId="17948"/>
    <cellStyle name="Обычный 7 2 3 6 35 3" xfId="17949"/>
    <cellStyle name="Обычный 7 2 3 6 36" xfId="17950"/>
    <cellStyle name="Обычный 7 2 3 6 36 2" xfId="17951"/>
    <cellStyle name="Обычный 7 2 3 6 36 3" xfId="17952"/>
    <cellStyle name="Обычный 7 2 3 6 37" xfId="17953"/>
    <cellStyle name="Обычный 7 2 3 6 37 2" xfId="17954"/>
    <cellStyle name="Обычный 7 2 3 6 37 3" xfId="17955"/>
    <cellStyle name="Обычный 7 2 3 6 38" xfId="17956"/>
    <cellStyle name="Обычный 7 2 3 6 38 2" xfId="17957"/>
    <cellStyle name="Обычный 7 2 3 6 38 3" xfId="17958"/>
    <cellStyle name="Обычный 7 2 3 6 39" xfId="17959"/>
    <cellStyle name="Обычный 7 2 3 6 39 2" xfId="17960"/>
    <cellStyle name="Обычный 7 2 3 6 39 3" xfId="17961"/>
    <cellStyle name="Обычный 7 2 3 6 4" xfId="17962"/>
    <cellStyle name="Обычный 7 2 3 6 4 2" xfId="17963"/>
    <cellStyle name="Обычный 7 2 3 6 4 3" xfId="17964"/>
    <cellStyle name="Обычный 7 2 3 6 40" xfId="17965"/>
    <cellStyle name="Обычный 7 2 3 6 40 2" xfId="17966"/>
    <cellStyle name="Обычный 7 2 3 6 40 3" xfId="17967"/>
    <cellStyle name="Обычный 7 2 3 6 41" xfId="17968"/>
    <cellStyle name="Обычный 7 2 3 6 41 2" xfId="17969"/>
    <cellStyle name="Обычный 7 2 3 6 41 3" xfId="17970"/>
    <cellStyle name="Обычный 7 2 3 6 42" xfId="17971"/>
    <cellStyle name="Обычный 7 2 3 6 42 2" xfId="17972"/>
    <cellStyle name="Обычный 7 2 3 6 42 3" xfId="17973"/>
    <cellStyle name="Обычный 7 2 3 6 43" xfId="17974"/>
    <cellStyle name="Обычный 7 2 3 6 43 2" xfId="17975"/>
    <cellStyle name="Обычный 7 2 3 6 43 3" xfId="17976"/>
    <cellStyle name="Обычный 7 2 3 6 44" xfId="17977"/>
    <cellStyle name="Обычный 7 2 3 6 44 2" xfId="17978"/>
    <cellStyle name="Обычный 7 2 3 6 44 3" xfId="17979"/>
    <cellStyle name="Обычный 7 2 3 6 45" xfId="17980"/>
    <cellStyle name="Обычный 7 2 3 6 45 2" xfId="17981"/>
    <cellStyle name="Обычный 7 2 3 6 45 3" xfId="17982"/>
    <cellStyle name="Обычный 7 2 3 6 46" xfId="17983"/>
    <cellStyle name="Обычный 7 2 3 6 46 2" xfId="17984"/>
    <cellStyle name="Обычный 7 2 3 6 46 3" xfId="17985"/>
    <cellStyle name="Обычный 7 2 3 6 47" xfId="17986"/>
    <cellStyle name="Обычный 7 2 3 6 47 2" xfId="17987"/>
    <cellStyle name="Обычный 7 2 3 6 47 3" xfId="17988"/>
    <cellStyle name="Обычный 7 2 3 6 48" xfId="17989"/>
    <cellStyle name="Обычный 7 2 3 6 48 2" xfId="17990"/>
    <cellStyle name="Обычный 7 2 3 6 48 3" xfId="17991"/>
    <cellStyle name="Обычный 7 2 3 6 49" xfId="17992"/>
    <cellStyle name="Обычный 7 2 3 6 49 2" xfId="17993"/>
    <cellStyle name="Обычный 7 2 3 6 49 3" xfId="17994"/>
    <cellStyle name="Обычный 7 2 3 6 5" xfId="17995"/>
    <cellStyle name="Обычный 7 2 3 6 5 2" xfId="17996"/>
    <cellStyle name="Обычный 7 2 3 6 5 3" xfId="17997"/>
    <cellStyle name="Обычный 7 2 3 6 50" xfId="17998"/>
    <cellStyle name="Обычный 7 2 3 6 50 2" xfId="17999"/>
    <cellStyle name="Обычный 7 2 3 6 50 3" xfId="18000"/>
    <cellStyle name="Обычный 7 2 3 6 51" xfId="18001"/>
    <cellStyle name="Обычный 7 2 3 6 51 2" xfId="18002"/>
    <cellStyle name="Обычный 7 2 3 6 51 3" xfId="18003"/>
    <cellStyle name="Обычный 7 2 3 6 52" xfId="18004"/>
    <cellStyle name="Обычный 7 2 3 6 52 2" xfId="18005"/>
    <cellStyle name="Обычный 7 2 3 6 52 3" xfId="18006"/>
    <cellStyle name="Обычный 7 2 3 6 53" xfId="18007"/>
    <cellStyle name="Обычный 7 2 3 6 53 2" xfId="18008"/>
    <cellStyle name="Обычный 7 2 3 6 53 3" xfId="18009"/>
    <cellStyle name="Обычный 7 2 3 6 54" xfId="18010"/>
    <cellStyle name="Обычный 7 2 3 6 54 2" xfId="18011"/>
    <cellStyle name="Обычный 7 2 3 6 54 3" xfId="18012"/>
    <cellStyle name="Обычный 7 2 3 6 55" xfId="18013"/>
    <cellStyle name="Обычный 7 2 3 6 55 2" xfId="18014"/>
    <cellStyle name="Обычный 7 2 3 6 55 3" xfId="18015"/>
    <cellStyle name="Обычный 7 2 3 6 56" xfId="18016"/>
    <cellStyle name="Обычный 7 2 3 6 56 2" xfId="18017"/>
    <cellStyle name="Обычный 7 2 3 6 56 3" xfId="18018"/>
    <cellStyle name="Обычный 7 2 3 6 57" xfId="18019"/>
    <cellStyle name="Обычный 7 2 3 6 57 2" xfId="18020"/>
    <cellStyle name="Обычный 7 2 3 6 57 3" xfId="18021"/>
    <cellStyle name="Обычный 7 2 3 6 58" xfId="18022"/>
    <cellStyle name="Обычный 7 2 3 6 58 2" xfId="18023"/>
    <cellStyle name="Обычный 7 2 3 6 58 3" xfId="18024"/>
    <cellStyle name="Обычный 7 2 3 6 59" xfId="18025"/>
    <cellStyle name="Обычный 7 2 3 6 59 2" xfId="18026"/>
    <cellStyle name="Обычный 7 2 3 6 59 3" xfId="18027"/>
    <cellStyle name="Обычный 7 2 3 6 6" xfId="18028"/>
    <cellStyle name="Обычный 7 2 3 6 6 2" xfId="18029"/>
    <cellStyle name="Обычный 7 2 3 6 6 3" xfId="18030"/>
    <cellStyle name="Обычный 7 2 3 6 60" xfId="18031"/>
    <cellStyle name="Обычный 7 2 3 6 60 2" xfId="18032"/>
    <cellStyle name="Обычный 7 2 3 6 60 3" xfId="18033"/>
    <cellStyle name="Обычный 7 2 3 6 61" xfId="18034"/>
    <cellStyle name="Обычный 7 2 3 6 61 2" xfId="18035"/>
    <cellStyle name="Обычный 7 2 3 6 61 3" xfId="18036"/>
    <cellStyle name="Обычный 7 2 3 6 62" xfId="18037"/>
    <cellStyle name="Обычный 7 2 3 6 62 2" xfId="18038"/>
    <cellStyle name="Обычный 7 2 3 6 62 3" xfId="18039"/>
    <cellStyle name="Обычный 7 2 3 6 63" xfId="18040"/>
    <cellStyle name="Обычный 7 2 3 6 63 2" xfId="18041"/>
    <cellStyle name="Обычный 7 2 3 6 63 3" xfId="18042"/>
    <cellStyle name="Обычный 7 2 3 6 64" xfId="18043"/>
    <cellStyle name="Обычный 7 2 3 6 65" xfId="18044"/>
    <cellStyle name="Обычный 7 2 3 6 7" xfId="18045"/>
    <cellStyle name="Обычный 7 2 3 6 7 2" xfId="18046"/>
    <cellStyle name="Обычный 7 2 3 6 7 3" xfId="18047"/>
    <cellStyle name="Обычный 7 2 3 6 8" xfId="18048"/>
    <cellStyle name="Обычный 7 2 3 6 8 2" xfId="18049"/>
    <cellStyle name="Обычный 7 2 3 6 8 3" xfId="18050"/>
    <cellStyle name="Обычный 7 2 3 6 9" xfId="18051"/>
    <cellStyle name="Обычный 7 2 3 6 9 2" xfId="18052"/>
    <cellStyle name="Обычный 7 2 3 6 9 3" xfId="18053"/>
    <cellStyle name="Обычный 7 2 3 60" xfId="18054"/>
    <cellStyle name="Обычный 7 2 3 60 2" xfId="18055"/>
    <cellStyle name="Обычный 7 2 3 60 3" xfId="18056"/>
    <cellStyle name="Обычный 7 2 3 61" xfId="18057"/>
    <cellStyle name="Обычный 7 2 3 61 2" xfId="18058"/>
    <cellStyle name="Обычный 7 2 3 61 3" xfId="18059"/>
    <cellStyle name="Обычный 7 2 3 62" xfId="18060"/>
    <cellStyle name="Обычный 7 2 3 62 2" xfId="18061"/>
    <cellStyle name="Обычный 7 2 3 62 3" xfId="18062"/>
    <cellStyle name="Обычный 7 2 3 63" xfId="18063"/>
    <cellStyle name="Обычный 7 2 3 63 2" xfId="18064"/>
    <cellStyle name="Обычный 7 2 3 63 3" xfId="18065"/>
    <cellStyle name="Обычный 7 2 3 64" xfId="18066"/>
    <cellStyle name="Обычный 7 2 3 64 2" xfId="18067"/>
    <cellStyle name="Обычный 7 2 3 64 3" xfId="18068"/>
    <cellStyle name="Обычный 7 2 3 65" xfId="18069"/>
    <cellStyle name="Обычный 7 2 3 65 2" xfId="18070"/>
    <cellStyle name="Обычный 7 2 3 65 3" xfId="18071"/>
    <cellStyle name="Обычный 7 2 3 66" xfId="18072"/>
    <cellStyle name="Обычный 7 2 3 66 2" xfId="18073"/>
    <cellStyle name="Обычный 7 2 3 66 3" xfId="18074"/>
    <cellStyle name="Обычный 7 2 3 67" xfId="18075"/>
    <cellStyle name="Обычный 7 2 3 67 2" xfId="18076"/>
    <cellStyle name="Обычный 7 2 3 67 3" xfId="18077"/>
    <cellStyle name="Обычный 7 2 3 68" xfId="18078"/>
    <cellStyle name="Обычный 7 2 3 68 2" xfId="18079"/>
    <cellStyle name="Обычный 7 2 3 68 3" xfId="18080"/>
    <cellStyle name="Обычный 7 2 3 69" xfId="18081"/>
    <cellStyle name="Обычный 7 2 3 69 2" xfId="18082"/>
    <cellStyle name="Обычный 7 2 3 69 3" xfId="18083"/>
    <cellStyle name="Обычный 7 2 3 7" xfId="18084"/>
    <cellStyle name="Обычный 7 2 3 7 10" xfId="18085"/>
    <cellStyle name="Обычный 7 2 3 7 10 2" xfId="18086"/>
    <cellStyle name="Обычный 7 2 3 7 10 3" xfId="18087"/>
    <cellStyle name="Обычный 7 2 3 7 11" xfId="18088"/>
    <cellStyle name="Обычный 7 2 3 7 11 2" xfId="18089"/>
    <cellStyle name="Обычный 7 2 3 7 11 3" xfId="18090"/>
    <cellStyle name="Обычный 7 2 3 7 12" xfId="18091"/>
    <cellStyle name="Обычный 7 2 3 7 12 2" xfId="18092"/>
    <cellStyle name="Обычный 7 2 3 7 12 3" xfId="18093"/>
    <cellStyle name="Обычный 7 2 3 7 13" xfId="18094"/>
    <cellStyle name="Обычный 7 2 3 7 13 2" xfId="18095"/>
    <cellStyle name="Обычный 7 2 3 7 13 3" xfId="18096"/>
    <cellStyle name="Обычный 7 2 3 7 14" xfId="18097"/>
    <cellStyle name="Обычный 7 2 3 7 14 2" xfId="18098"/>
    <cellStyle name="Обычный 7 2 3 7 14 3" xfId="18099"/>
    <cellStyle name="Обычный 7 2 3 7 15" xfId="18100"/>
    <cellStyle name="Обычный 7 2 3 7 15 2" xfId="18101"/>
    <cellStyle name="Обычный 7 2 3 7 15 3" xfId="18102"/>
    <cellStyle name="Обычный 7 2 3 7 16" xfId="18103"/>
    <cellStyle name="Обычный 7 2 3 7 16 2" xfId="18104"/>
    <cellStyle name="Обычный 7 2 3 7 16 3" xfId="18105"/>
    <cellStyle name="Обычный 7 2 3 7 17" xfId="18106"/>
    <cellStyle name="Обычный 7 2 3 7 17 2" xfId="18107"/>
    <cellStyle name="Обычный 7 2 3 7 17 3" xfId="18108"/>
    <cellStyle name="Обычный 7 2 3 7 18" xfId="18109"/>
    <cellStyle name="Обычный 7 2 3 7 18 2" xfId="18110"/>
    <cellStyle name="Обычный 7 2 3 7 18 3" xfId="18111"/>
    <cellStyle name="Обычный 7 2 3 7 19" xfId="18112"/>
    <cellStyle name="Обычный 7 2 3 7 19 2" xfId="18113"/>
    <cellStyle name="Обычный 7 2 3 7 19 3" xfId="18114"/>
    <cellStyle name="Обычный 7 2 3 7 2" xfId="18115"/>
    <cellStyle name="Обычный 7 2 3 7 2 2" xfId="18116"/>
    <cellStyle name="Обычный 7 2 3 7 2 3" xfId="18117"/>
    <cellStyle name="Обычный 7 2 3 7 20" xfId="18118"/>
    <cellStyle name="Обычный 7 2 3 7 20 2" xfId="18119"/>
    <cellStyle name="Обычный 7 2 3 7 20 3" xfId="18120"/>
    <cellStyle name="Обычный 7 2 3 7 21" xfId="18121"/>
    <cellStyle name="Обычный 7 2 3 7 21 2" xfId="18122"/>
    <cellStyle name="Обычный 7 2 3 7 21 3" xfId="18123"/>
    <cellStyle name="Обычный 7 2 3 7 22" xfId="18124"/>
    <cellStyle name="Обычный 7 2 3 7 22 2" xfId="18125"/>
    <cellStyle name="Обычный 7 2 3 7 22 3" xfId="18126"/>
    <cellStyle name="Обычный 7 2 3 7 23" xfId="18127"/>
    <cellStyle name="Обычный 7 2 3 7 23 2" xfId="18128"/>
    <cellStyle name="Обычный 7 2 3 7 23 3" xfId="18129"/>
    <cellStyle name="Обычный 7 2 3 7 24" xfId="18130"/>
    <cellStyle name="Обычный 7 2 3 7 24 2" xfId="18131"/>
    <cellStyle name="Обычный 7 2 3 7 24 3" xfId="18132"/>
    <cellStyle name="Обычный 7 2 3 7 25" xfId="18133"/>
    <cellStyle name="Обычный 7 2 3 7 25 2" xfId="18134"/>
    <cellStyle name="Обычный 7 2 3 7 25 3" xfId="18135"/>
    <cellStyle name="Обычный 7 2 3 7 26" xfId="18136"/>
    <cellStyle name="Обычный 7 2 3 7 26 2" xfId="18137"/>
    <cellStyle name="Обычный 7 2 3 7 26 3" xfId="18138"/>
    <cellStyle name="Обычный 7 2 3 7 27" xfId="18139"/>
    <cellStyle name="Обычный 7 2 3 7 27 2" xfId="18140"/>
    <cellStyle name="Обычный 7 2 3 7 27 3" xfId="18141"/>
    <cellStyle name="Обычный 7 2 3 7 28" xfId="18142"/>
    <cellStyle name="Обычный 7 2 3 7 28 2" xfId="18143"/>
    <cellStyle name="Обычный 7 2 3 7 28 3" xfId="18144"/>
    <cellStyle name="Обычный 7 2 3 7 29" xfId="18145"/>
    <cellStyle name="Обычный 7 2 3 7 29 2" xfId="18146"/>
    <cellStyle name="Обычный 7 2 3 7 29 3" xfId="18147"/>
    <cellStyle name="Обычный 7 2 3 7 3" xfId="18148"/>
    <cellStyle name="Обычный 7 2 3 7 3 2" xfId="18149"/>
    <cellStyle name="Обычный 7 2 3 7 3 3" xfId="18150"/>
    <cellStyle name="Обычный 7 2 3 7 30" xfId="18151"/>
    <cellStyle name="Обычный 7 2 3 7 30 2" xfId="18152"/>
    <cellStyle name="Обычный 7 2 3 7 30 3" xfId="18153"/>
    <cellStyle name="Обычный 7 2 3 7 31" xfId="18154"/>
    <cellStyle name="Обычный 7 2 3 7 31 2" xfId="18155"/>
    <cellStyle name="Обычный 7 2 3 7 31 3" xfId="18156"/>
    <cellStyle name="Обычный 7 2 3 7 32" xfId="18157"/>
    <cellStyle name="Обычный 7 2 3 7 32 2" xfId="18158"/>
    <cellStyle name="Обычный 7 2 3 7 32 3" xfId="18159"/>
    <cellStyle name="Обычный 7 2 3 7 33" xfId="18160"/>
    <cellStyle name="Обычный 7 2 3 7 33 2" xfId="18161"/>
    <cellStyle name="Обычный 7 2 3 7 33 3" xfId="18162"/>
    <cellStyle name="Обычный 7 2 3 7 34" xfId="18163"/>
    <cellStyle name="Обычный 7 2 3 7 34 2" xfId="18164"/>
    <cellStyle name="Обычный 7 2 3 7 34 3" xfId="18165"/>
    <cellStyle name="Обычный 7 2 3 7 35" xfId="18166"/>
    <cellStyle name="Обычный 7 2 3 7 35 2" xfId="18167"/>
    <cellStyle name="Обычный 7 2 3 7 35 3" xfId="18168"/>
    <cellStyle name="Обычный 7 2 3 7 36" xfId="18169"/>
    <cellStyle name="Обычный 7 2 3 7 36 2" xfId="18170"/>
    <cellStyle name="Обычный 7 2 3 7 36 3" xfId="18171"/>
    <cellStyle name="Обычный 7 2 3 7 37" xfId="18172"/>
    <cellStyle name="Обычный 7 2 3 7 37 2" xfId="18173"/>
    <cellStyle name="Обычный 7 2 3 7 37 3" xfId="18174"/>
    <cellStyle name="Обычный 7 2 3 7 38" xfId="18175"/>
    <cellStyle name="Обычный 7 2 3 7 38 2" xfId="18176"/>
    <cellStyle name="Обычный 7 2 3 7 38 3" xfId="18177"/>
    <cellStyle name="Обычный 7 2 3 7 39" xfId="18178"/>
    <cellStyle name="Обычный 7 2 3 7 39 2" xfId="18179"/>
    <cellStyle name="Обычный 7 2 3 7 39 3" xfId="18180"/>
    <cellStyle name="Обычный 7 2 3 7 4" xfId="18181"/>
    <cellStyle name="Обычный 7 2 3 7 4 2" xfId="18182"/>
    <cellStyle name="Обычный 7 2 3 7 4 3" xfId="18183"/>
    <cellStyle name="Обычный 7 2 3 7 40" xfId="18184"/>
    <cellStyle name="Обычный 7 2 3 7 40 2" xfId="18185"/>
    <cellStyle name="Обычный 7 2 3 7 40 3" xfId="18186"/>
    <cellStyle name="Обычный 7 2 3 7 41" xfId="18187"/>
    <cellStyle name="Обычный 7 2 3 7 41 2" xfId="18188"/>
    <cellStyle name="Обычный 7 2 3 7 41 3" xfId="18189"/>
    <cellStyle name="Обычный 7 2 3 7 42" xfId="18190"/>
    <cellStyle name="Обычный 7 2 3 7 42 2" xfId="18191"/>
    <cellStyle name="Обычный 7 2 3 7 42 3" xfId="18192"/>
    <cellStyle name="Обычный 7 2 3 7 43" xfId="18193"/>
    <cellStyle name="Обычный 7 2 3 7 43 2" xfId="18194"/>
    <cellStyle name="Обычный 7 2 3 7 43 3" xfId="18195"/>
    <cellStyle name="Обычный 7 2 3 7 44" xfId="18196"/>
    <cellStyle name="Обычный 7 2 3 7 44 2" xfId="18197"/>
    <cellStyle name="Обычный 7 2 3 7 44 3" xfId="18198"/>
    <cellStyle name="Обычный 7 2 3 7 45" xfId="18199"/>
    <cellStyle name="Обычный 7 2 3 7 45 2" xfId="18200"/>
    <cellStyle name="Обычный 7 2 3 7 45 3" xfId="18201"/>
    <cellStyle name="Обычный 7 2 3 7 46" xfId="18202"/>
    <cellStyle name="Обычный 7 2 3 7 46 2" xfId="18203"/>
    <cellStyle name="Обычный 7 2 3 7 46 3" xfId="18204"/>
    <cellStyle name="Обычный 7 2 3 7 47" xfId="18205"/>
    <cellStyle name="Обычный 7 2 3 7 47 2" xfId="18206"/>
    <cellStyle name="Обычный 7 2 3 7 47 3" xfId="18207"/>
    <cellStyle name="Обычный 7 2 3 7 48" xfId="18208"/>
    <cellStyle name="Обычный 7 2 3 7 48 2" xfId="18209"/>
    <cellStyle name="Обычный 7 2 3 7 48 3" xfId="18210"/>
    <cellStyle name="Обычный 7 2 3 7 49" xfId="18211"/>
    <cellStyle name="Обычный 7 2 3 7 49 2" xfId="18212"/>
    <cellStyle name="Обычный 7 2 3 7 49 3" xfId="18213"/>
    <cellStyle name="Обычный 7 2 3 7 5" xfId="18214"/>
    <cellStyle name="Обычный 7 2 3 7 5 2" xfId="18215"/>
    <cellStyle name="Обычный 7 2 3 7 5 3" xfId="18216"/>
    <cellStyle name="Обычный 7 2 3 7 50" xfId="18217"/>
    <cellStyle name="Обычный 7 2 3 7 50 2" xfId="18218"/>
    <cellStyle name="Обычный 7 2 3 7 50 3" xfId="18219"/>
    <cellStyle name="Обычный 7 2 3 7 51" xfId="18220"/>
    <cellStyle name="Обычный 7 2 3 7 51 2" xfId="18221"/>
    <cellStyle name="Обычный 7 2 3 7 51 3" xfId="18222"/>
    <cellStyle name="Обычный 7 2 3 7 52" xfId="18223"/>
    <cellStyle name="Обычный 7 2 3 7 52 2" xfId="18224"/>
    <cellStyle name="Обычный 7 2 3 7 52 3" xfId="18225"/>
    <cellStyle name="Обычный 7 2 3 7 53" xfId="18226"/>
    <cellStyle name="Обычный 7 2 3 7 53 2" xfId="18227"/>
    <cellStyle name="Обычный 7 2 3 7 53 3" xfId="18228"/>
    <cellStyle name="Обычный 7 2 3 7 54" xfId="18229"/>
    <cellStyle name="Обычный 7 2 3 7 54 2" xfId="18230"/>
    <cellStyle name="Обычный 7 2 3 7 54 3" xfId="18231"/>
    <cellStyle name="Обычный 7 2 3 7 55" xfId="18232"/>
    <cellStyle name="Обычный 7 2 3 7 55 2" xfId="18233"/>
    <cellStyle name="Обычный 7 2 3 7 55 3" xfId="18234"/>
    <cellStyle name="Обычный 7 2 3 7 56" xfId="18235"/>
    <cellStyle name="Обычный 7 2 3 7 56 2" xfId="18236"/>
    <cellStyle name="Обычный 7 2 3 7 56 3" xfId="18237"/>
    <cellStyle name="Обычный 7 2 3 7 57" xfId="18238"/>
    <cellStyle name="Обычный 7 2 3 7 57 2" xfId="18239"/>
    <cellStyle name="Обычный 7 2 3 7 57 3" xfId="18240"/>
    <cellStyle name="Обычный 7 2 3 7 58" xfId="18241"/>
    <cellStyle name="Обычный 7 2 3 7 58 2" xfId="18242"/>
    <cellStyle name="Обычный 7 2 3 7 58 3" xfId="18243"/>
    <cellStyle name="Обычный 7 2 3 7 59" xfId="18244"/>
    <cellStyle name="Обычный 7 2 3 7 59 2" xfId="18245"/>
    <cellStyle name="Обычный 7 2 3 7 59 3" xfId="18246"/>
    <cellStyle name="Обычный 7 2 3 7 6" xfId="18247"/>
    <cellStyle name="Обычный 7 2 3 7 6 2" xfId="18248"/>
    <cellStyle name="Обычный 7 2 3 7 6 3" xfId="18249"/>
    <cellStyle name="Обычный 7 2 3 7 60" xfId="18250"/>
    <cellStyle name="Обычный 7 2 3 7 60 2" xfId="18251"/>
    <cellStyle name="Обычный 7 2 3 7 60 3" xfId="18252"/>
    <cellStyle name="Обычный 7 2 3 7 61" xfId="18253"/>
    <cellStyle name="Обычный 7 2 3 7 61 2" xfId="18254"/>
    <cellStyle name="Обычный 7 2 3 7 61 3" xfId="18255"/>
    <cellStyle name="Обычный 7 2 3 7 62" xfId="18256"/>
    <cellStyle name="Обычный 7 2 3 7 62 2" xfId="18257"/>
    <cellStyle name="Обычный 7 2 3 7 62 3" xfId="18258"/>
    <cellStyle name="Обычный 7 2 3 7 63" xfId="18259"/>
    <cellStyle name="Обычный 7 2 3 7 63 2" xfId="18260"/>
    <cellStyle name="Обычный 7 2 3 7 63 3" xfId="18261"/>
    <cellStyle name="Обычный 7 2 3 7 64" xfId="18262"/>
    <cellStyle name="Обычный 7 2 3 7 65" xfId="18263"/>
    <cellStyle name="Обычный 7 2 3 7 7" xfId="18264"/>
    <cellStyle name="Обычный 7 2 3 7 7 2" xfId="18265"/>
    <cellStyle name="Обычный 7 2 3 7 7 3" xfId="18266"/>
    <cellStyle name="Обычный 7 2 3 7 8" xfId="18267"/>
    <cellStyle name="Обычный 7 2 3 7 8 2" xfId="18268"/>
    <cellStyle name="Обычный 7 2 3 7 8 3" xfId="18269"/>
    <cellStyle name="Обычный 7 2 3 7 9" xfId="18270"/>
    <cellStyle name="Обычный 7 2 3 7 9 2" xfId="18271"/>
    <cellStyle name="Обычный 7 2 3 7 9 3" xfId="18272"/>
    <cellStyle name="Обычный 7 2 3 70" xfId="18273"/>
    <cellStyle name="Обычный 7 2 3 70 2" xfId="18274"/>
    <cellStyle name="Обычный 7 2 3 70 3" xfId="18275"/>
    <cellStyle name="Обычный 7 2 3 71" xfId="18276"/>
    <cellStyle name="Обычный 7 2 3 72" xfId="18277"/>
    <cellStyle name="Обычный 7 2 3 8" xfId="18278"/>
    <cellStyle name="Обычный 7 2 3 8 10" xfId="18279"/>
    <cellStyle name="Обычный 7 2 3 8 10 2" xfId="18280"/>
    <cellStyle name="Обычный 7 2 3 8 10 3" xfId="18281"/>
    <cellStyle name="Обычный 7 2 3 8 11" xfId="18282"/>
    <cellStyle name="Обычный 7 2 3 8 11 2" xfId="18283"/>
    <cellStyle name="Обычный 7 2 3 8 11 3" xfId="18284"/>
    <cellStyle name="Обычный 7 2 3 8 12" xfId="18285"/>
    <cellStyle name="Обычный 7 2 3 8 12 2" xfId="18286"/>
    <cellStyle name="Обычный 7 2 3 8 12 3" xfId="18287"/>
    <cellStyle name="Обычный 7 2 3 8 13" xfId="18288"/>
    <cellStyle name="Обычный 7 2 3 8 13 2" xfId="18289"/>
    <cellStyle name="Обычный 7 2 3 8 13 3" xfId="18290"/>
    <cellStyle name="Обычный 7 2 3 8 14" xfId="18291"/>
    <cellStyle name="Обычный 7 2 3 8 14 2" xfId="18292"/>
    <cellStyle name="Обычный 7 2 3 8 14 3" xfId="18293"/>
    <cellStyle name="Обычный 7 2 3 8 15" xfId="18294"/>
    <cellStyle name="Обычный 7 2 3 8 15 2" xfId="18295"/>
    <cellStyle name="Обычный 7 2 3 8 15 3" xfId="18296"/>
    <cellStyle name="Обычный 7 2 3 8 16" xfId="18297"/>
    <cellStyle name="Обычный 7 2 3 8 16 2" xfId="18298"/>
    <cellStyle name="Обычный 7 2 3 8 16 3" xfId="18299"/>
    <cellStyle name="Обычный 7 2 3 8 17" xfId="18300"/>
    <cellStyle name="Обычный 7 2 3 8 17 2" xfId="18301"/>
    <cellStyle name="Обычный 7 2 3 8 17 3" xfId="18302"/>
    <cellStyle name="Обычный 7 2 3 8 18" xfId="18303"/>
    <cellStyle name="Обычный 7 2 3 8 18 2" xfId="18304"/>
    <cellStyle name="Обычный 7 2 3 8 18 3" xfId="18305"/>
    <cellStyle name="Обычный 7 2 3 8 19" xfId="18306"/>
    <cellStyle name="Обычный 7 2 3 8 19 2" xfId="18307"/>
    <cellStyle name="Обычный 7 2 3 8 19 3" xfId="18308"/>
    <cellStyle name="Обычный 7 2 3 8 2" xfId="18309"/>
    <cellStyle name="Обычный 7 2 3 8 2 2" xfId="18310"/>
    <cellStyle name="Обычный 7 2 3 8 2 3" xfId="18311"/>
    <cellStyle name="Обычный 7 2 3 8 20" xfId="18312"/>
    <cellStyle name="Обычный 7 2 3 8 20 2" xfId="18313"/>
    <cellStyle name="Обычный 7 2 3 8 20 3" xfId="18314"/>
    <cellStyle name="Обычный 7 2 3 8 21" xfId="18315"/>
    <cellStyle name="Обычный 7 2 3 8 21 2" xfId="18316"/>
    <cellStyle name="Обычный 7 2 3 8 21 3" xfId="18317"/>
    <cellStyle name="Обычный 7 2 3 8 22" xfId="18318"/>
    <cellStyle name="Обычный 7 2 3 8 22 2" xfId="18319"/>
    <cellStyle name="Обычный 7 2 3 8 22 3" xfId="18320"/>
    <cellStyle name="Обычный 7 2 3 8 23" xfId="18321"/>
    <cellStyle name="Обычный 7 2 3 8 23 2" xfId="18322"/>
    <cellStyle name="Обычный 7 2 3 8 23 3" xfId="18323"/>
    <cellStyle name="Обычный 7 2 3 8 24" xfId="18324"/>
    <cellStyle name="Обычный 7 2 3 8 24 2" xfId="18325"/>
    <cellStyle name="Обычный 7 2 3 8 24 3" xfId="18326"/>
    <cellStyle name="Обычный 7 2 3 8 25" xfId="18327"/>
    <cellStyle name="Обычный 7 2 3 8 25 2" xfId="18328"/>
    <cellStyle name="Обычный 7 2 3 8 25 3" xfId="18329"/>
    <cellStyle name="Обычный 7 2 3 8 26" xfId="18330"/>
    <cellStyle name="Обычный 7 2 3 8 26 2" xfId="18331"/>
    <cellStyle name="Обычный 7 2 3 8 26 3" xfId="18332"/>
    <cellStyle name="Обычный 7 2 3 8 27" xfId="18333"/>
    <cellStyle name="Обычный 7 2 3 8 27 2" xfId="18334"/>
    <cellStyle name="Обычный 7 2 3 8 27 3" xfId="18335"/>
    <cellStyle name="Обычный 7 2 3 8 28" xfId="18336"/>
    <cellStyle name="Обычный 7 2 3 8 28 2" xfId="18337"/>
    <cellStyle name="Обычный 7 2 3 8 28 3" xfId="18338"/>
    <cellStyle name="Обычный 7 2 3 8 29" xfId="18339"/>
    <cellStyle name="Обычный 7 2 3 8 29 2" xfId="18340"/>
    <cellStyle name="Обычный 7 2 3 8 29 3" xfId="18341"/>
    <cellStyle name="Обычный 7 2 3 8 3" xfId="18342"/>
    <cellStyle name="Обычный 7 2 3 8 3 2" xfId="18343"/>
    <cellStyle name="Обычный 7 2 3 8 3 3" xfId="18344"/>
    <cellStyle name="Обычный 7 2 3 8 30" xfId="18345"/>
    <cellStyle name="Обычный 7 2 3 8 30 2" xfId="18346"/>
    <cellStyle name="Обычный 7 2 3 8 30 3" xfId="18347"/>
    <cellStyle name="Обычный 7 2 3 8 31" xfId="18348"/>
    <cellStyle name="Обычный 7 2 3 8 31 2" xfId="18349"/>
    <cellStyle name="Обычный 7 2 3 8 31 3" xfId="18350"/>
    <cellStyle name="Обычный 7 2 3 8 32" xfId="18351"/>
    <cellStyle name="Обычный 7 2 3 8 32 2" xfId="18352"/>
    <cellStyle name="Обычный 7 2 3 8 32 3" xfId="18353"/>
    <cellStyle name="Обычный 7 2 3 8 33" xfId="18354"/>
    <cellStyle name="Обычный 7 2 3 8 33 2" xfId="18355"/>
    <cellStyle name="Обычный 7 2 3 8 33 3" xfId="18356"/>
    <cellStyle name="Обычный 7 2 3 8 34" xfId="18357"/>
    <cellStyle name="Обычный 7 2 3 8 34 2" xfId="18358"/>
    <cellStyle name="Обычный 7 2 3 8 34 3" xfId="18359"/>
    <cellStyle name="Обычный 7 2 3 8 35" xfId="18360"/>
    <cellStyle name="Обычный 7 2 3 8 35 2" xfId="18361"/>
    <cellStyle name="Обычный 7 2 3 8 35 3" xfId="18362"/>
    <cellStyle name="Обычный 7 2 3 8 36" xfId="18363"/>
    <cellStyle name="Обычный 7 2 3 8 36 2" xfId="18364"/>
    <cellStyle name="Обычный 7 2 3 8 36 3" xfId="18365"/>
    <cellStyle name="Обычный 7 2 3 8 37" xfId="18366"/>
    <cellStyle name="Обычный 7 2 3 8 37 2" xfId="18367"/>
    <cellStyle name="Обычный 7 2 3 8 37 3" xfId="18368"/>
    <cellStyle name="Обычный 7 2 3 8 38" xfId="18369"/>
    <cellStyle name="Обычный 7 2 3 8 38 2" xfId="18370"/>
    <cellStyle name="Обычный 7 2 3 8 38 3" xfId="18371"/>
    <cellStyle name="Обычный 7 2 3 8 39" xfId="18372"/>
    <cellStyle name="Обычный 7 2 3 8 39 2" xfId="18373"/>
    <cellStyle name="Обычный 7 2 3 8 39 3" xfId="18374"/>
    <cellStyle name="Обычный 7 2 3 8 4" xfId="18375"/>
    <cellStyle name="Обычный 7 2 3 8 4 2" xfId="18376"/>
    <cellStyle name="Обычный 7 2 3 8 4 3" xfId="18377"/>
    <cellStyle name="Обычный 7 2 3 8 40" xfId="18378"/>
    <cellStyle name="Обычный 7 2 3 8 40 2" xfId="18379"/>
    <cellStyle name="Обычный 7 2 3 8 40 3" xfId="18380"/>
    <cellStyle name="Обычный 7 2 3 8 41" xfId="18381"/>
    <cellStyle name="Обычный 7 2 3 8 41 2" xfId="18382"/>
    <cellStyle name="Обычный 7 2 3 8 41 3" xfId="18383"/>
    <cellStyle name="Обычный 7 2 3 8 42" xfId="18384"/>
    <cellStyle name="Обычный 7 2 3 8 42 2" xfId="18385"/>
    <cellStyle name="Обычный 7 2 3 8 42 3" xfId="18386"/>
    <cellStyle name="Обычный 7 2 3 8 43" xfId="18387"/>
    <cellStyle name="Обычный 7 2 3 8 43 2" xfId="18388"/>
    <cellStyle name="Обычный 7 2 3 8 43 3" xfId="18389"/>
    <cellStyle name="Обычный 7 2 3 8 44" xfId="18390"/>
    <cellStyle name="Обычный 7 2 3 8 44 2" xfId="18391"/>
    <cellStyle name="Обычный 7 2 3 8 44 3" xfId="18392"/>
    <cellStyle name="Обычный 7 2 3 8 45" xfId="18393"/>
    <cellStyle name="Обычный 7 2 3 8 45 2" xfId="18394"/>
    <cellStyle name="Обычный 7 2 3 8 45 3" xfId="18395"/>
    <cellStyle name="Обычный 7 2 3 8 46" xfId="18396"/>
    <cellStyle name="Обычный 7 2 3 8 46 2" xfId="18397"/>
    <cellStyle name="Обычный 7 2 3 8 46 3" xfId="18398"/>
    <cellStyle name="Обычный 7 2 3 8 47" xfId="18399"/>
    <cellStyle name="Обычный 7 2 3 8 47 2" xfId="18400"/>
    <cellStyle name="Обычный 7 2 3 8 47 3" xfId="18401"/>
    <cellStyle name="Обычный 7 2 3 8 48" xfId="18402"/>
    <cellStyle name="Обычный 7 2 3 8 48 2" xfId="18403"/>
    <cellStyle name="Обычный 7 2 3 8 48 3" xfId="18404"/>
    <cellStyle name="Обычный 7 2 3 8 49" xfId="18405"/>
    <cellStyle name="Обычный 7 2 3 8 49 2" xfId="18406"/>
    <cellStyle name="Обычный 7 2 3 8 49 3" xfId="18407"/>
    <cellStyle name="Обычный 7 2 3 8 5" xfId="18408"/>
    <cellStyle name="Обычный 7 2 3 8 5 2" xfId="18409"/>
    <cellStyle name="Обычный 7 2 3 8 5 3" xfId="18410"/>
    <cellStyle name="Обычный 7 2 3 8 50" xfId="18411"/>
    <cellStyle name="Обычный 7 2 3 8 50 2" xfId="18412"/>
    <cellStyle name="Обычный 7 2 3 8 50 3" xfId="18413"/>
    <cellStyle name="Обычный 7 2 3 8 51" xfId="18414"/>
    <cellStyle name="Обычный 7 2 3 8 51 2" xfId="18415"/>
    <cellStyle name="Обычный 7 2 3 8 51 3" xfId="18416"/>
    <cellStyle name="Обычный 7 2 3 8 52" xfId="18417"/>
    <cellStyle name="Обычный 7 2 3 8 52 2" xfId="18418"/>
    <cellStyle name="Обычный 7 2 3 8 52 3" xfId="18419"/>
    <cellStyle name="Обычный 7 2 3 8 53" xfId="18420"/>
    <cellStyle name="Обычный 7 2 3 8 53 2" xfId="18421"/>
    <cellStyle name="Обычный 7 2 3 8 53 3" xfId="18422"/>
    <cellStyle name="Обычный 7 2 3 8 54" xfId="18423"/>
    <cellStyle name="Обычный 7 2 3 8 54 2" xfId="18424"/>
    <cellStyle name="Обычный 7 2 3 8 54 3" xfId="18425"/>
    <cellStyle name="Обычный 7 2 3 8 55" xfId="18426"/>
    <cellStyle name="Обычный 7 2 3 8 55 2" xfId="18427"/>
    <cellStyle name="Обычный 7 2 3 8 55 3" xfId="18428"/>
    <cellStyle name="Обычный 7 2 3 8 56" xfId="18429"/>
    <cellStyle name="Обычный 7 2 3 8 56 2" xfId="18430"/>
    <cellStyle name="Обычный 7 2 3 8 56 3" xfId="18431"/>
    <cellStyle name="Обычный 7 2 3 8 57" xfId="18432"/>
    <cellStyle name="Обычный 7 2 3 8 57 2" xfId="18433"/>
    <cellStyle name="Обычный 7 2 3 8 57 3" xfId="18434"/>
    <cellStyle name="Обычный 7 2 3 8 58" xfId="18435"/>
    <cellStyle name="Обычный 7 2 3 8 58 2" xfId="18436"/>
    <cellStyle name="Обычный 7 2 3 8 58 3" xfId="18437"/>
    <cellStyle name="Обычный 7 2 3 8 59" xfId="18438"/>
    <cellStyle name="Обычный 7 2 3 8 59 2" xfId="18439"/>
    <cellStyle name="Обычный 7 2 3 8 59 3" xfId="18440"/>
    <cellStyle name="Обычный 7 2 3 8 6" xfId="18441"/>
    <cellStyle name="Обычный 7 2 3 8 6 2" xfId="18442"/>
    <cellStyle name="Обычный 7 2 3 8 6 3" xfId="18443"/>
    <cellStyle name="Обычный 7 2 3 8 60" xfId="18444"/>
    <cellStyle name="Обычный 7 2 3 8 60 2" xfId="18445"/>
    <cellStyle name="Обычный 7 2 3 8 60 3" xfId="18446"/>
    <cellStyle name="Обычный 7 2 3 8 61" xfId="18447"/>
    <cellStyle name="Обычный 7 2 3 8 61 2" xfId="18448"/>
    <cellStyle name="Обычный 7 2 3 8 61 3" xfId="18449"/>
    <cellStyle name="Обычный 7 2 3 8 62" xfId="18450"/>
    <cellStyle name="Обычный 7 2 3 8 62 2" xfId="18451"/>
    <cellStyle name="Обычный 7 2 3 8 62 3" xfId="18452"/>
    <cellStyle name="Обычный 7 2 3 8 63" xfId="18453"/>
    <cellStyle name="Обычный 7 2 3 8 63 2" xfId="18454"/>
    <cellStyle name="Обычный 7 2 3 8 63 3" xfId="18455"/>
    <cellStyle name="Обычный 7 2 3 8 64" xfId="18456"/>
    <cellStyle name="Обычный 7 2 3 8 65" xfId="18457"/>
    <cellStyle name="Обычный 7 2 3 8 7" xfId="18458"/>
    <cellStyle name="Обычный 7 2 3 8 7 2" xfId="18459"/>
    <cellStyle name="Обычный 7 2 3 8 7 3" xfId="18460"/>
    <cellStyle name="Обычный 7 2 3 8 8" xfId="18461"/>
    <cellStyle name="Обычный 7 2 3 8 8 2" xfId="18462"/>
    <cellStyle name="Обычный 7 2 3 8 8 3" xfId="18463"/>
    <cellStyle name="Обычный 7 2 3 8 9" xfId="18464"/>
    <cellStyle name="Обычный 7 2 3 8 9 2" xfId="18465"/>
    <cellStyle name="Обычный 7 2 3 8 9 3" xfId="18466"/>
    <cellStyle name="Обычный 7 2 3 9" xfId="18467"/>
    <cellStyle name="Обычный 7 2 3 9 2" xfId="18468"/>
    <cellStyle name="Обычный 7 2 3 9 3" xfId="18469"/>
    <cellStyle name="Обычный 7 20" xfId="18470"/>
    <cellStyle name="Обычный 7 20 2" xfId="18471"/>
    <cellStyle name="Обычный 7 20 3" xfId="18472"/>
    <cellStyle name="Обычный 7 21" xfId="18473"/>
    <cellStyle name="Обычный 7 21 2" xfId="18474"/>
    <cellStyle name="Обычный 7 21 3" xfId="18475"/>
    <cellStyle name="Обычный 7 22" xfId="18476"/>
    <cellStyle name="Обычный 7 22 2" xfId="18477"/>
    <cellStyle name="Обычный 7 22 3" xfId="18478"/>
    <cellStyle name="Обычный 7 23" xfId="18479"/>
    <cellStyle name="Обычный 7 23 2" xfId="18480"/>
    <cellStyle name="Обычный 7 23 3" xfId="18481"/>
    <cellStyle name="Обычный 7 24" xfId="18482"/>
    <cellStyle name="Обычный 7 24 2" xfId="18483"/>
    <cellStyle name="Обычный 7 24 3" xfId="18484"/>
    <cellStyle name="Обычный 7 25" xfId="18485"/>
    <cellStyle name="Обычный 7 25 2" xfId="18486"/>
    <cellStyle name="Обычный 7 25 3" xfId="18487"/>
    <cellStyle name="Обычный 7 26" xfId="18488"/>
    <cellStyle name="Обычный 7 26 2" xfId="18489"/>
    <cellStyle name="Обычный 7 26 3" xfId="18490"/>
    <cellStyle name="Обычный 7 27" xfId="18491"/>
    <cellStyle name="Обычный 7 27 2" xfId="18492"/>
    <cellStyle name="Обычный 7 27 3" xfId="18493"/>
    <cellStyle name="Обычный 7 28" xfId="18494"/>
    <cellStyle name="Обычный 7 28 2" xfId="18495"/>
    <cellStyle name="Обычный 7 28 3" xfId="18496"/>
    <cellStyle name="Обычный 7 29" xfId="18497"/>
    <cellStyle name="Обычный 7 29 2" xfId="18498"/>
    <cellStyle name="Обычный 7 29 3" xfId="18499"/>
    <cellStyle name="Обычный 7 3" xfId="119"/>
    <cellStyle name="Обычный 7 3 10" xfId="18500"/>
    <cellStyle name="Обычный 7 3 10 2" xfId="18501"/>
    <cellStyle name="Обычный 7 3 10 3" xfId="18502"/>
    <cellStyle name="Обычный 7 3 11" xfId="18503"/>
    <cellStyle name="Обычный 7 3 11 2" xfId="18504"/>
    <cellStyle name="Обычный 7 3 11 3" xfId="18505"/>
    <cellStyle name="Обычный 7 3 12" xfId="18506"/>
    <cellStyle name="Обычный 7 3 12 2" xfId="18507"/>
    <cellStyle name="Обычный 7 3 12 3" xfId="18508"/>
    <cellStyle name="Обычный 7 3 13" xfId="18509"/>
    <cellStyle name="Обычный 7 3 13 2" xfId="18510"/>
    <cellStyle name="Обычный 7 3 13 3" xfId="18511"/>
    <cellStyle name="Обычный 7 3 14" xfId="18512"/>
    <cellStyle name="Обычный 7 3 14 2" xfId="18513"/>
    <cellStyle name="Обычный 7 3 14 3" xfId="18514"/>
    <cellStyle name="Обычный 7 3 15" xfId="18515"/>
    <cellStyle name="Обычный 7 3 15 2" xfId="18516"/>
    <cellStyle name="Обычный 7 3 15 3" xfId="18517"/>
    <cellStyle name="Обычный 7 3 16" xfId="18518"/>
    <cellStyle name="Обычный 7 3 16 2" xfId="18519"/>
    <cellStyle name="Обычный 7 3 16 3" xfId="18520"/>
    <cellStyle name="Обычный 7 3 17" xfId="18521"/>
    <cellStyle name="Обычный 7 3 17 2" xfId="18522"/>
    <cellStyle name="Обычный 7 3 17 3" xfId="18523"/>
    <cellStyle name="Обычный 7 3 18" xfId="18524"/>
    <cellStyle name="Обычный 7 3 18 2" xfId="18525"/>
    <cellStyle name="Обычный 7 3 18 3" xfId="18526"/>
    <cellStyle name="Обычный 7 3 19" xfId="18527"/>
    <cellStyle name="Обычный 7 3 19 2" xfId="18528"/>
    <cellStyle name="Обычный 7 3 19 3" xfId="18529"/>
    <cellStyle name="Обычный 7 3 2" xfId="18530"/>
    <cellStyle name="Обычный 7 3 2 10" xfId="18531"/>
    <cellStyle name="Обычный 7 3 2 10 2" xfId="18532"/>
    <cellStyle name="Обычный 7 3 2 10 3" xfId="18533"/>
    <cellStyle name="Обычный 7 3 2 11" xfId="18534"/>
    <cellStyle name="Обычный 7 3 2 11 2" xfId="18535"/>
    <cellStyle name="Обычный 7 3 2 11 3" xfId="18536"/>
    <cellStyle name="Обычный 7 3 2 12" xfId="18537"/>
    <cellStyle name="Обычный 7 3 2 12 2" xfId="18538"/>
    <cellStyle name="Обычный 7 3 2 12 3" xfId="18539"/>
    <cellStyle name="Обычный 7 3 2 13" xfId="18540"/>
    <cellStyle name="Обычный 7 3 2 13 2" xfId="18541"/>
    <cellStyle name="Обычный 7 3 2 13 3" xfId="18542"/>
    <cellStyle name="Обычный 7 3 2 14" xfId="18543"/>
    <cellStyle name="Обычный 7 3 2 14 2" xfId="18544"/>
    <cellStyle name="Обычный 7 3 2 14 3" xfId="18545"/>
    <cellStyle name="Обычный 7 3 2 15" xfId="18546"/>
    <cellStyle name="Обычный 7 3 2 15 2" xfId="18547"/>
    <cellStyle name="Обычный 7 3 2 15 3" xfId="18548"/>
    <cellStyle name="Обычный 7 3 2 16" xfId="18549"/>
    <cellStyle name="Обычный 7 3 2 16 2" xfId="18550"/>
    <cellStyle name="Обычный 7 3 2 16 3" xfId="18551"/>
    <cellStyle name="Обычный 7 3 2 17" xfId="18552"/>
    <cellStyle name="Обычный 7 3 2 17 2" xfId="18553"/>
    <cellStyle name="Обычный 7 3 2 17 3" xfId="18554"/>
    <cellStyle name="Обычный 7 3 2 18" xfId="18555"/>
    <cellStyle name="Обычный 7 3 2 18 2" xfId="18556"/>
    <cellStyle name="Обычный 7 3 2 18 3" xfId="18557"/>
    <cellStyle name="Обычный 7 3 2 19" xfId="18558"/>
    <cellStyle name="Обычный 7 3 2 19 2" xfId="18559"/>
    <cellStyle name="Обычный 7 3 2 19 3" xfId="18560"/>
    <cellStyle name="Обычный 7 3 2 2" xfId="18561"/>
    <cellStyle name="Обычный 7 3 2 2 2" xfId="18562"/>
    <cellStyle name="Обычный 7 3 2 2 3" xfId="18563"/>
    <cellStyle name="Обычный 7 3 2 20" xfId="18564"/>
    <cellStyle name="Обычный 7 3 2 20 2" xfId="18565"/>
    <cellStyle name="Обычный 7 3 2 20 3" xfId="18566"/>
    <cellStyle name="Обычный 7 3 2 21" xfId="18567"/>
    <cellStyle name="Обычный 7 3 2 21 2" xfId="18568"/>
    <cellStyle name="Обычный 7 3 2 21 3" xfId="18569"/>
    <cellStyle name="Обычный 7 3 2 22" xfId="18570"/>
    <cellStyle name="Обычный 7 3 2 22 2" xfId="18571"/>
    <cellStyle name="Обычный 7 3 2 22 3" xfId="18572"/>
    <cellStyle name="Обычный 7 3 2 23" xfId="18573"/>
    <cellStyle name="Обычный 7 3 2 23 2" xfId="18574"/>
    <cellStyle name="Обычный 7 3 2 23 3" xfId="18575"/>
    <cellStyle name="Обычный 7 3 2 24" xfId="18576"/>
    <cellStyle name="Обычный 7 3 2 24 2" xfId="18577"/>
    <cellStyle name="Обычный 7 3 2 24 3" xfId="18578"/>
    <cellStyle name="Обычный 7 3 2 25" xfId="18579"/>
    <cellStyle name="Обычный 7 3 2 25 2" xfId="18580"/>
    <cellStyle name="Обычный 7 3 2 25 3" xfId="18581"/>
    <cellStyle name="Обычный 7 3 2 26" xfId="18582"/>
    <cellStyle name="Обычный 7 3 2 26 2" xfId="18583"/>
    <cellStyle name="Обычный 7 3 2 26 3" xfId="18584"/>
    <cellStyle name="Обычный 7 3 2 27" xfId="18585"/>
    <cellStyle name="Обычный 7 3 2 27 2" xfId="18586"/>
    <cellStyle name="Обычный 7 3 2 27 3" xfId="18587"/>
    <cellStyle name="Обычный 7 3 2 28" xfId="18588"/>
    <cellStyle name="Обычный 7 3 2 28 2" xfId="18589"/>
    <cellStyle name="Обычный 7 3 2 28 3" xfId="18590"/>
    <cellStyle name="Обычный 7 3 2 29" xfId="18591"/>
    <cellStyle name="Обычный 7 3 2 29 2" xfId="18592"/>
    <cellStyle name="Обычный 7 3 2 29 3" xfId="18593"/>
    <cellStyle name="Обычный 7 3 2 3" xfId="18594"/>
    <cellStyle name="Обычный 7 3 2 3 2" xfId="18595"/>
    <cellStyle name="Обычный 7 3 2 3 3" xfId="18596"/>
    <cellStyle name="Обычный 7 3 2 30" xfId="18597"/>
    <cellStyle name="Обычный 7 3 2 30 2" xfId="18598"/>
    <cellStyle name="Обычный 7 3 2 30 3" xfId="18599"/>
    <cellStyle name="Обычный 7 3 2 31" xfId="18600"/>
    <cellStyle name="Обычный 7 3 2 31 2" xfId="18601"/>
    <cellStyle name="Обычный 7 3 2 31 3" xfId="18602"/>
    <cellStyle name="Обычный 7 3 2 32" xfId="18603"/>
    <cellStyle name="Обычный 7 3 2 32 2" xfId="18604"/>
    <cellStyle name="Обычный 7 3 2 32 3" xfId="18605"/>
    <cellStyle name="Обычный 7 3 2 33" xfId="18606"/>
    <cellStyle name="Обычный 7 3 2 33 2" xfId="18607"/>
    <cellStyle name="Обычный 7 3 2 33 3" xfId="18608"/>
    <cellStyle name="Обычный 7 3 2 34" xfId="18609"/>
    <cellStyle name="Обычный 7 3 2 34 2" xfId="18610"/>
    <cellStyle name="Обычный 7 3 2 34 3" xfId="18611"/>
    <cellStyle name="Обычный 7 3 2 35" xfId="18612"/>
    <cellStyle name="Обычный 7 3 2 35 2" xfId="18613"/>
    <cellStyle name="Обычный 7 3 2 35 3" xfId="18614"/>
    <cellStyle name="Обычный 7 3 2 36" xfId="18615"/>
    <cellStyle name="Обычный 7 3 2 36 2" xfId="18616"/>
    <cellStyle name="Обычный 7 3 2 36 3" xfId="18617"/>
    <cellStyle name="Обычный 7 3 2 37" xfId="18618"/>
    <cellStyle name="Обычный 7 3 2 37 2" xfId="18619"/>
    <cellStyle name="Обычный 7 3 2 37 3" xfId="18620"/>
    <cellStyle name="Обычный 7 3 2 38" xfId="18621"/>
    <cellStyle name="Обычный 7 3 2 38 2" xfId="18622"/>
    <cellStyle name="Обычный 7 3 2 38 3" xfId="18623"/>
    <cellStyle name="Обычный 7 3 2 39" xfId="18624"/>
    <cellStyle name="Обычный 7 3 2 39 2" xfId="18625"/>
    <cellStyle name="Обычный 7 3 2 39 3" xfId="18626"/>
    <cellStyle name="Обычный 7 3 2 4" xfId="18627"/>
    <cellStyle name="Обычный 7 3 2 4 2" xfId="18628"/>
    <cellStyle name="Обычный 7 3 2 4 3" xfId="18629"/>
    <cellStyle name="Обычный 7 3 2 40" xfId="18630"/>
    <cellStyle name="Обычный 7 3 2 40 2" xfId="18631"/>
    <cellStyle name="Обычный 7 3 2 40 3" xfId="18632"/>
    <cellStyle name="Обычный 7 3 2 41" xfId="18633"/>
    <cellStyle name="Обычный 7 3 2 41 2" xfId="18634"/>
    <cellStyle name="Обычный 7 3 2 41 3" xfId="18635"/>
    <cellStyle name="Обычный 7 3 2 42" xfId="18636"/>
    <cellStyle name="Обычный 7 3 2 42 2" xfId="18637"/>
    <cellStyle name="Обычный 7 3 2 42 3" xfId="18638"/>
    <cellStyle name="Обычный 7 3 2 43" xfId="18639"/>
    <cellStyle name="Обычный 7 3 2 43 2" xfId="18640"/>
    <cellStyle name="Обычный 7 3 2 43 3" xfId="18641"/>
    <cellStyle name="Обычный 7 3 2 44" xfId="18642"/>
    <cellStyle name="Обычный 7 3 2 44 2" xfId="18643"/>
    <cellStyle name="Обычный 7 3 2 44 3" xfId="18644"/>
    <cellStyle name="Обычный 7 3 2 45" xfId="18645"/>
    <cellStyle name="Обычный 7 3 2 45 2" xfId="18646"/>
    <cellStyle name="Обычный 7 3 2 45 3" xfId="18647"/>
    <cellStyle name="Обычный 7 3 2 46" xfId="18648"/>
    <cellStyle name="Обычный 7 3 2 46 2" xfId="18649"/>
    <cellStyle name="Обычный 7 3 2 46 3" xfId="18650"/>
    <cellStyle name="Обычный 7 3 2 47" xfId="18651"/>
    <cellStyle name="Обычный 7 3 2 47 2" xfId="18652"/>
    <cellStyle name="Обычный 7 3 2 47 3" xfId="18653"/>
    <cellStyle name="Обычный 7 3 2 48" xfId="18654"/>
    <cellStyle name="Обычный 7 3 2 48 2" xfId="18655"/>
    <cellStyle name="Обычный 7 3 2 48 3" xfId="18656"/>
    <cellStyle name="Обычный 7 3 2 49" xfId="18657"/>
    <cellStyle name="Обычный 7 3 2 49 2" xfId="18658"/>
    <cellStyle name="Обычный 7 3 2 49 3" xfId="18659"/>
    <cellStyle name="Обычный 7 3 2 5" xfId="18660"/>
    <cellStyle name="Обычный 7 3 2 5 2" xfId="18661"/>
    <cellStyle name="Обычный 7 3 2 5 3" xfId="18662"/>
    <cellStyle name="Обычный 7 3 2 50" xfId="18663"/>
    <cellStyle name="Обычный 7 3 2 50 2" xfId="18664"/>
    <cellStyle name="Обычный 7 3 2 50 3" xfId="18665"/>
    <cellStyle name="Обычный 7 3 2 51" xfId="18666"/>
    <cellStyle name="Обычный 7 3 2 51 2" xfId="18667"/>
    <cellStyle name="Обычный 7 3 2 51 3" xfId="18668"/>
    <cellStyle name="Обычный 7 3 2 52" xfId="18669"/>
    <cellStyle name="Обычный 7 3 2 52 2" xfId="18670"/>
    <cellStyle name="Обычный 7 3 2 52 3" xfId="18671"/>
    <cellStyle name="Обычный 7 3 2 53" xfId="18672"/>
    <cellStyle name="Обычный 7 3 2 53 2" xfId="18673"/>
    <cellStyle name="Обычный 7 3 2 53 3" xfId="18674"/>
    <cellStyle name="Обычный 7 3 2 54" xfId="18675"/>
    <cellStyle name="Обычный 7 3 2 54 2" xfId="18676"/>
    <cellStyle name="Обычный 7 3 2 54 3" xfId="18677"/>
    <cellStyle name="Обычный 7 3 2 55" xfId="18678"/>
    <cellStyle name="Обычный 7 3 2 55 2" xfId="18679"/>
    <cellStyle name="Обычный 7 3 2 55 3" xfId="18680"/>
    <cellStyle name="Обычный 7 3 2 56" xfId="18681"/>
    <cellStyle name="Обычный 7 3 2 56 2" xfId="18682"/>
    <cellStyle name="Обычный 7 3 2 56 3" xfId="18683"/>
    <cellStyle name="Обычный 7 3 2 57" xfId="18684"/>
    <cellStyle name="Обычный 7 3 2 57 2" xfId="18685"/>
    <cellStyle name="Обычный 7 3 2 57 3" xfId="18686"/>
    <cellStyle name="Обычный 7 3 2 58" xfId="18687"/>
    <cellStyle name="Обычный 7 3 2 58 2" xfId="18688"/>
    <cellStyle name="Обычный 7 3 2 58 3" xfId="18689"/>
    <cellStyle name="Обычный 7 3 2 59" xfId="18690"/>
    <cellStyle name="Обычный 7 3 2 59 2" xfId="18691"/>
    <cellStyle name="Обычный 7 3 2 59 3" xfId="18692"/>
    <cellStyle name="Обычный 7 3 2 6" xfId="18693"/>
    <cellStyle name="Обычный 7 3 2 6 2" xfId="18694"/>
    <cellStyle name="Обычный 7 3 2 6 3" xfId="18695"/>
    <cellStyle name="Обычный 7 3 2 60" xfId="18696"/>
    <cellStyle name="Обычный 7 3 2 60 2" xfId="18697"/>
    <cellStyle name="Обычный 7 3 2 60 3" xfId="18698"/>
    <cellStyle name="Обычный 7 3 2 61" xfId="18699"/>
    <cellStyle name="Обычный 7 3 2 61 2" xfId="18700"/>
    <cellStyle name="Обычный 7 3 2 61 3" xfId="18701"/>
    <cellStyle name="Обычный 7 3 2 62" xfId="18702"/>
    <cellStyle name="Обычный 7 3 2 62 2" xfId="18703"/>
    <cellStyle name="Обычный 7 3 2 62 3" xfId="18704"/>
    <cellStyle name="Обычный 7 3 2 63" xfId="18705"/>
    <cellStyle name="Обычный 7 3 2 63 2" xfId="18706"/>
    <cellStyle name="Обычный 7 3 2 63 3" xfId="18707"/>
    <cellStyle name="Обычный 7 3 2 64" xfId="18708"/>
    <cellStyle name="Обычный 7 3 2 65" xfId="18709"/>
    <cellStyle name="Обычный 7 3 2 7" xfId="18710"/>
    <cellStyle name="Обычный 7 3 2 7 2" xfId="18711"/>
    <cellStyle name="Обычный 7 3 2 7 3" xfId="18712"/>
    <cellStyle name="Обычный 7 3 2 8" xfId="18713"/>
    <cellStyle name="Обычный 7 3 2 8 2" xfId="18714"/>
    <cellStyle name="Обычный 7 3 2 8 3" xfId="18715"/>
    <cellStyle name="Обычный 7 3 2 9" xfId="18716"/>
    <cellStyle name="Обычный 7 3 2 9 2" xfId="18717"/>
    <cellStyle name="Обычный 7 3 2 9 3" xfId="18718"/>
    <cellStyle name="Обычный 7 3 20" xfId="18719"/>
    <cellStyle name="Обычный 7 3 20 2" xfId="18720"/>
    <cellStyle name="Обычный 7 3 20 3" xfId="18721"/>
    <cellStyle name="Обычный 7 3 21" xfId="18722"/>
    <cellStyle name="Обычный 7 3 21 2" xfId="18723"/>
    <cellStyle name="Обычный 7 3 21 3" xfId="18724"/>
    <cellStyle name="Обычный 7 3 22" xfId="18725"/>
    <cellStyle name="Обычный 7 3 22 2" xfId="18726"/>
    <cellStyle name="Обычный 7 3 22 3" xfId="18727"/>
    <cellStyle name="Обычный 7 3 23" xfId="18728"/>
    <cellStyle name="Обычный 7 3 23 2" xfId="18729"/>
    <cellStyle name="Обычный 7 3 23 3" xfId="18730"/>
    <cellStyle name="Обычный 7 3 24" xfId="18731"/>
    <cellStyle name="Обычный 7 3 24 2" xfId="18732"/>
    <cellStyle name="Обычный 7 3 24 3" xfId="18733"/>
    <cellStyle name="Обычный 7 3 25" xfId="18734"/>
    <cellStyle name="Обычный 7 3 25 2" xfId="18735"/>
    <cellStyle name="Обычный 7 3 25 3" xfId="18736"/>
    <cellStyle name="Обычный 7 3 26" xfId="18737"/>
    <cellStyle name="Обычный 7 3 26 2" xfId="18738"/>
    <cellStyle name="Обычный 7 3 26 3" xfId="18739"/>
    <cellStyle name="Обычный 7 3 27" xfId="18740"/>
    <cellStyle name="Обычный 7 3 27 2" xfId="18741"/>
    <cellStyle name="Обычный 7 3 27 3" xfId="18742"/>
    <cellStyle name="Обычный 7 3 28" xfId="18743"/>
    <cellStyle name="Обычный 7 3 28 2" xfId="18744"/>
    <cellStyle name="Обычный 7 3 28 3" xfId="18745"/>
    <cellStyle name="Обычный 7 3 29" xfId="18746"/>
    <cellStyle name="Обычный 7 3 29 2" xfId="18747"/>
    <cellStyle name="Обычный 7 3 29 3" xfId="18748"/>
    <cellStyle name="Обычный 7 3 3" xfId="18749"/>
    <cellStyle name="Обычный 7 3 3 10" xfId="18750"/>
    <cellStyle name="Обычный 7 3 3 10 2" xfId="18751"/>
    <cellStyle name="Обычный 7 3 3 10 3" xfId="18752"/>
    <cellStyle name="Обычный 7 3 3 11" xfId="18753"/>
    <cellStyle name="Обычный 7 3 3 11 2" xfId="18754"/>
    <cellStyle name="Обычный 7 3 3 11 3" xfId="18755"/>
    <cellStyle name="Обычный 7 3 3 12" xfId="18756"/>
    <cellStyle name="Обычный 7 3 3 12 2" xfId="18757"/>
    <cellStyle name="Обычный 7 3 3 12 3" xfId="18758"/>
    <cellStyle name="Обычный 7 3 3 13" xfId="18759"/>
    <cellStyle name="Обычный 7 3 3 13 2" xfId="18760"/>
    <cellStyle name="Обычный 7 3 3 13 3" xfId="18761"/>
    <cellStyle name="Обычный 7 3 3 14" xfId="18762"/>
    <cellStyle name="Обычный 7 3 3 14 2" xfId="18763"/>
    <cellStyle name="Обычный 7 3 3 14 3" xfId="18764"/>
    <cellStyle name="Обычный 7 3 3 15" xfId="18765"/>
    <cellStyle name="Обычный 7 3 3 15 2" xfId="18766"/>
    <cellStyle name="Обычный 7 3 3 15 3" xfId="18767"/>
    <cellStyle name="Обычный 7 3 3 16" xfId="18768"/>
    <cellStyle name="Обычный 7 3 3 16 2" xfId="18769"/>
    <cellStyle name="Обычный 7 3 3 16 3" xfId="18770"/>
    <cellStyle name="Обычный 7 3 3 17" xfId="18771"/>
    <cellStyle name="Обычный 7 3 3 17 2" xfId="18772"/>
    <cellStyle name="Обычный 7 3 3 17 3" xfId="18773"/>
    <cellStyle name="Обычный 7 3 3 18" xfId="18774"/>
    <cellStyle name="Обычный 7 3 3 18 2" xfId="18775"/>
    <cellStyle name="Обычный 7 3 3 18 3" xfId="18776"/>
    <cellStyle name="Обычный 7 3 3 19" xfId="18777"/>
    <cellStyle name="Обычный 7 3 3 19 2" xfId="18778"/>
    <cellStyle name="Обычный 7 3 3 19 3" xfId="18779"/>
    <cellStyle name="Обычный 7 3 3 2" xfId="18780"/>
    <cellStyle name="Обычный 7 3 3 2 2" xfId="18781"/>
    <cellStyle name="Обычный 7 3 3 2 3" xfId="18782"/>
    <cellStyle name="Обычный 7 3 3 20" xfId="18783"/>
    <cellStyle name="Обычный 7 3 3 20 2" xfId="18784"/>
    <cellStyle name="Обычный 7 3 3 20 3" xfId="18785"/>
    <cellStyle name="Обычный 7 3 3 21" xfId="18786"/>
    <cellStyle name="Обычный 7 3 3 21 2" xfId="18787"/>
    <cellStyle name="Обычный 7 3 3 21 3" xfId="18788"/>
    <cellStyle name="Обычный 7 3 3 22" xfId="18789"/>
    <cellStyle name="Обычный 7 3 3 22 2" xfId="18790"/>
    <cellStyle name="Обычный 7 3 3 22 3" xfId="18791"/>
    <cellStyle name="Обычный 7 3 3 23" xfId="18792"/>
    <cellStyle name="Обычный 7 3 3 23 2" xfId="18793"/>
    <cellStyle name="Обычный 7 3 3 23 3" xfId="18794"/>
    <cellStyle name="Обычный 7 3 3 24" xfId="18795"/>
    <cellStyle name="Обычный 7 3 3 24 2" xfId="18796"/>
    <cellStyle name="Обычный 7 3 3 24 3" xfId="18797"/>
    <cellStyle name="Обычный 7 3 3 25" xfId="18798"/>
    <cellStyle name="Обычный 7 3 3 25 2" xfId="18799"/>
    <cellStyle name="Обычный 7 3 3 25 3" xfId="18800"/>
    <cellStyle name="Обычный 7 3 3 26" xfId="18801"/>
    <cellStyle name="Обычный 7 3 3 26 2" xfId="18802"/>
    <cellStyle name="Обычный 7 3 3 26 3" xfId="18803"/>
    <cellStyle name="Обычный 7 3 3 27" xfId="18804"/>
    <cellStyle name="Обычный 7 3 3 27 2" xfId="18805"/>
    <cellStyle name="Обычный 7 3 3 27 3" xfId="18806"/>
    <cellStyle name="Обычный 7 3 3 28" xfId="18807"/>
    <cellStyle name="Обычный 7 3 3 28 2" xfId="18808"/>
    <cellStyle name="Обычный 7 3 3 28 3" xfId="18809"/>
    <cellStyle name="Обычный 7 3 3 29" xfId="18810"/>
    <cellStyle name="Обычный 7 3 3 29 2" xfId="18811"/>
    <cellStyle name="Обычный 7 3 3 29 3" xfId="18812"/>
    <cellStyle name="Обычный 7 3 3 3" xfId="18813"/>
    <cellStyle name="Обычный 7 3 3 3 2" xfId="18814"/>
    <cellStyle name="Обычный 7 3 3 3 3" xfId="18815"/>
    <cellStyle name="Обычный 7 3 3 30" xfId="18816"/>
    <cellStyle name="Обычный 7 3 3 30 2" xfId="18817"/>
    <cellStyle name="Обычный 7 3 3 30 3" xfId="18818"/>
    <cellStyle name="Обычный 7 3 3 31" xfId="18819"/>
    <cellStyle name="Обычный 7 3 3 31 2" xfId="18820"/>
    <cellStyle name="Обычный 7 3 3 31 3" xfId="18821"/>
    <cellStyle name="Обычный 7 3 3 32" xfId="18822"/>
    <cellStyle name="Обычный 7 3 3 32 2" xfId="18823"/>
    <cellStyle name="Обычный 7 3 3 32 3" xfId="18824"/>
    <cellStyle name="Обычный 7 3 3 33" xfId="18825"/>
    <cellStyle name="Обычный 7 3 3 33 2" xfId="18826"/>
    <cellStyle name="Обычный 7 3 3 33 3" xfId="18827"/>
    <cellStyle name="Обычный 7 3 3 34" xfId="18828"/>
    <cellStyle name="Обычный 7 3 3 34 2" xfId="18829"/>
    <cellStyle name="Обычный 7 3 3 34 3" xfId="18830"/>
    <cellStyle name="Обычный 7 3 3 35" xfId="18831"/>
    <cellStyle name="Обычный 7 3 3 35 2" xfId="18832"/>
    <cellStyle name="Обычный 7 3 3 35 3" xfId="18833"/>
    <cellStyle name="Обычный 7 3 3 36" xfId="18834"/>
    <cellStyle name="Обычный 7 3 3 36 2" xfId="18835"/>
    <cellStyle name="Обычный 7 3 3 36 3" xfId="18836"/>
    <cellStyle name="Обычный 7 3 3 37" xfId="18837"/>
    <cellStyle name="Обычный 7 3 3 37 2" xfId="18838"/>
    <cellStyle name="Обычный 7 3 3 37 3" xfId="18839"/>
    <cellStyle name="Обычный 7 3 3 38" xfId="18840"/>
    <cellStyle name="Обычный 7 3 3 38 2" xfId="18841"/>
    <cellStyle name="Обычный 7 3 3 38 3" xfId="18842"/>
    <cellStyle name="Обычный 7 3 3 39" xfId="18843"/>
    <cellStyle name="Обычный 7 3 3 39 2" xfId="18844"/>
    <cellStyle name="Обычный 7 3 3 39 3" xfId="18845"/>
    <cellStyle name="Обычный 7 3 3 4" xfId="18846"/>
    <cellStyle name="Обычный 7 3 3 4 2" xfId="18847"/>
    <cellStyle name="Обычный 7 3 3 4 3" xfId="18848"/>
    <cellStyle name="Обычный 7 3 3 40" xfId="18849"/>
    <cellStyle name="Обычный 7 3 3 40 2" xfId="18850"/>
    <cellStyle name="Обычный 7 3 3 40 3" xfId="18851"/>
    <cellStyle name="Обычный 7 3 3 41" xfId="18852"/>
    <cellStyle name="Обычный 7 3 3 41 2" xfId="18853"/>
    <cellStyle name="Обычный 7 3 3 41 3" xfId="18854"/>
    <cellStyle name="Обычный 7 3 3 42" xfId="18855"/>
    <cellStyle name="Обычный 7 3 3 42 2" xfId="18856"/>
    <cellStyle name="Обычный 7 3 3 42 3" xfId="18857"/>
    <cellStyle name="Обычный 7 3 3 43" xfId="18858"/>
    <cellStyle name="Обычный 7 3 3 43 2" xfId="18859"/>
    <cellStyle name="Обычный 7 3 3 43 3" xfId="18860"/>
    <cellStyle name="Обычный 7 3 3 44" xfId="18861"/>
    <cellStyle name="Обычный 7 3 3 44 2" xfId="18862"/>
    <cellStyle name="Обычный 7 3 3 44 3" xfId="18863"/>
    <cellStyle name="Обычный 7 3 3 45" xfId="18864"/>
    <cellStyle name="Обычный 7 3 3 45 2" xfId="18865"/>
    <cellStyle name="Обычный 7 3 3 45 3" xfId="18866"/>
    <cellStyle name="Обычный 7 3 3 46" xfId="18867"/>
    <cellStyle name="Обычный 7 3 3 46 2" xfId="18868"/>
    <cellStyle name="Обычный 7 3 3 46 3" xfId="18869"/>
    <cellStyle name="Обычный 7 3 3 47" xfId="18870"/>
    <cellStyle name="Обычный 7 3 3 47 2" xfId="18871"/>
    <cellStyle name="Обычный 7 3 3 47 3" xfId="18872"/>
    <cellStyle name="Обычный 7 3 3 48" xfId="18873"/>
    <cellStyle name="Обычный 7 3 3 48 2" xfId="18874"/>
    <cellStyle name="Обычный 7 3 3 48 3" xfId="18875"/>
    <cellStyle name="Обычный 7 3 3 49" xfId="18876"/>
    <cellStyle name="Обычный 7 3 3 49 2" xfId="18877"/>
    <cellStyle name="Обычный 7 3 3 49 3" xfId="18878"/>
    <cellStyle name="Обычный 7 3 3 5" xfId="18879"/>
    <cellStyle name="Обычный 7 3 3 5 2" xfId="18880"/>
    <cellStyle name="Обычный 7 3 3 5 3" xfId="18881"/>
    <cellStyle name="Обычный 7 3 3 50" xfId="18882"/>
    <cellStyle name="Обычный 7 3 3 50 2" xfId="18883"/>
    <cellStyle name="Обычный 7 3 3 50 3" xfId="18884"/>
    <cellStyle name="Обычный 7 3 3 51" xfId="18885"/>
    <cellStyle name="Обычный 7 3 3 51 2" xfId="18886"/>
    <cellStyle name="Обычный 7 3 3 51 3" xfId="18887"/>
    <cellStyle name="Обычный 7 3 3 52" xfId="18888"/>
    <cellStyle name="Обычный 7 3 3 52 2" xfId="18889"/>
    <cellStyle name="Обычный 7 3 3 52 3" xfId="18890"/>
    <cellStyle name="Обычный 7 3 3 53" xfId="18891"/>
    <cellStyle name="Обычный 7 3 3 53 2" xfId="18892"/>
    <cellStyle name="Обычный 7 3 3 53 3" xfId="18893"/>
    <cellStyle name="Обычный 7 3 3 54" xfId="18894"/>
    <cellStyle name="Обычный 7 3 3 54 2" xfId="18895"/>
    <cellStyle name="Обычный 7 3 3 54 3" xfId="18896"/>
    <cellStyle name="Обычный 7 3 3 55" xfId="18897"/>
    <cellStyle name="Обычный 7 3 3 55 2" xfId="18898"/>
    <cellStyle name="Обычный 7 3 3 55 3" xfId="18899"/>
    <cellStyle name="Обычный 7 3 3 56" xfId="18900"/>
    <cellStyle name="Обычный 7 3 3 56 2" xfId="18901"/>
    <cellStyle name="Обычный 7 3 3 56 3" xfId="18902"/>
    <cellStyle name="Обычный 7 3 3 57" xfId="18903"/>
    <cellStyle name="Обычный 7 3 3 57 2" xfId="18904"/>
    <cellStyle name="Обычный 7 3 3 57 3" xfId="18905"/>
    <cellStyle name="Обычный 7 3 3 58" xfId="18906"/>
    <cellStyle name="Обычный 7 3 3 58 2" xfId="18907"/>
    <cellStyle name="Обычный 7 3 3 58 3" xfId="18908"/>
    <cellStyle name="Обычный 7 3 3 59" xfId="18909"/>
    <cellStyle name="Обычный 7 3 3 59 2" xfId="18910"/>
    <cellStyle name="Обычный 7 3 3 59 3" xfId="18911"/>
    <cellStyle name="Обычный 7 3 3 6" xfId="18912"/>
    <cellStyle name="Обычный 7 3 3 6 2" xfId="18913"/>
    <cellStyle name="Обычный 7 3 3 6 3" xfId="18914"/>
    <cellStyle name="Обычный 7 3 3 60" xfId="18915"/>
    <cellStyle name="Обычный 7 3 3 60 2" xfId="18916"/>
    <cellStyle name="Обычный 7 3 3 60 3" xfId="18917"/>
    <cellStyle name="Обычный 7 3 3 61" xfId="18918"/>
    <cellStyle name="Обычный 7 3 3 61 2" xfId="18919"/>
    <cellStyle name="Обычный 7 3 3 61 3" xfId="18920"/>
    <cellStyle name="Обычный 7 3 3 62" xfId="18921"/>
    <cellStyle name="Обычный 7 3 3 62 2" xfId="18922"/>
    <cellStyle name="Обычный 7 3 3 62 3" xfId="18923"/>
    <cellStyle name="Обычный 7 3 3 63" xfId="18924"/>
    <cellStyle name="Обычный 7 3 3 63 2" xfId="18925"/>
    <cellStyle name="Обычный 7 3 3 63 3" xfId="18926"/>
    <cellStyle name="Обычный 7 3 3 64" xfId="18927"/>
    <cellStyle name="Обычный 7 3 3 65" xfId="18928"/>
    <cellStyle name="Обычный 7 3 3 7" xfId="18929"/>
    <cellStyle name="Обычный 7 3 3 7 2" xfId="18930"/>
    <cellStyle name="Обычный 7 3 3 7 3" xfId="18931"/>
    <cellStyle name="Обычный 7 3 3 8" xfId="18932"/>
    <cellStyle name="Обычный 7 3 3 8 2" xfId="18933"/>
    <cellStyle name="Обычный 7 3 3 8 3" xfId="18934"/>
    <cellStyle name="Обычный 7 3 3 9" xfId="18935"/>
    <cellStyle name="Обычный 7 3 3 9 2" xfId="18936"/>
    <cellStyle name="Обычный 7 3 3 9 3" xfId="18937"/>
    <cellStyle name="Обычный 7 3 30" xfId="18938"/>
    <cellStyle name="Обычный 7 3 30 2" xfId="18939"/>
    <cellStyle name="Обычный 7 3 30 3" xfId="18940"/>
    <cellStyle name="Обычный 7 3 31" xfId="18941"/>
    <cellStyle name="Обычный 7 3 31 2" xfId="18942"/>
    <cellStyle name="Обычный 7 3 31 3" xfId="18943"/>
    <cellStyle name="Обычный 7 3 32" xfId="18944"/>
    <cellStyle name="Обычный 7 3 32 2" xfId="18945"/>
    <cellStyle name="Обычный 7 3 32 3" xfId="18946"/>
    <cellStyle name="Обычный 7 3 33" xfId="18947"/>
    <cellStyle name="Обычный 7 3 33 2" xfId="18948"/>
    <cellStyle name="Обычный 7 3 33 3" xfId="18949"/>
    <cellStyle name="Обычный 7 3 34" xfId="18950"/>
    <cellStyle name="Обычный 7 3 34 2" xfId="18951"/>
    <cellStyle name="Обычный 7 3 34 3" xfId="18952"/>
    <cellStyle name="Обычный 7 3 35" xfId="18953"/>
    <cellStyle name="Обычный 7 3 35 2" xfId="18954"/>
    <cellStyle name="Обычный 7 3 35 3" xfId="18955"/>
    <cellStyle name="Обычный 7 3 36" xfId="18956"/>
    <cellStyle name="Обычный 7 3 36 2" xfId="18957"/>
    <cellStyle name="Обычный 7 3 36 3" xfId="18958"/>
    <cellStyle name="Обычный 7 3 37" xfId="18959"/>
    <cellStyle name="Обычный 7 3 37 2" xfId="18960"/>
    <cellStyle name="Обычный 7 3 37 3" xfId="18961"/>
    <cellStyle name="Обычный 7 3 38" xfId="18962"/>
    <cellStyle name="Обычный 7 3 38 2" xfId="18963"/>
    <cellStyle name="Обычный 7 3 38 3" xfId="18964"/>
    <cellStyle name="Обычный 7 3 39" xfId="18965"/>
    <cellStyle name="Обычный 7 3 39 2" xfId="18966"/>
    <cellStyle name="Обычный 7 3 39 3" xfId="18967"/>
    <cellStyle name="Обычный 7 3 4" xfId="18968"/>
    <cellStyle name="Обычный 7 3 4 10" xfId="18969"/>
    <cellStyle name="Обычный 7 3 4 10 2" xfId="18970"/>
    <cellStyle name="Обычный 7 3 4 10 3" xfId="18971"/>
    <cellStyle name="Обычный 7 3 4 11" xfId="18972"/>
    <cellStyle name="Обычный 7 3 4 11 2" xfId="18973"/>
    <cellStyle name="Обычный 7 3 4 11 3" xfId="18974"/>
    <cellStyle name="Обычный 7 3 4 12" xfId="18975"/>
    <cellStyle name="Обычный 7 3 4 12 2" xfId="18976"/>
    <cellStyle name="Обычный 7 3 4 12 3" xfId="18977"/>
    <cellStyle name="Обычный 7 3 4 13" xfId="18978"/>
    <cellStyle name="Обычный 7 3 4 13 2" xfId="18979"/>
    <cellStyle name="Обычный 7 3 4 13 3" xfId="18980"/>
    <cellStyle name="Обычный 7 3 4 14" xfId="18981"/>
    <cellStyle name="Обычный 7 3 4 14 2" xfId="18982"/>
    <cellStyle name="Обычный 7 3 4 14 3" xfId="18983"/>
    <cellStyle name="Обычный 7 3 4 15" xfId="18984"/>
    <cellStyle name="Обычный 7 3 4 15 2" xfId="18985"/>
    <cellStyle name="Обычный 7 3 4 15 3" xfId="18986"/>
    <cellStyle name="Обычный 7 3 4 16" xfId="18987"/>
    <cellStyle name="Обычный 7 3 4 16 2" xfId="18988"/>
    <cellStyle name="Обычный 7 3 4 16 3" xfId="18989"/>
    <cellStyle name="Обычный 7 3 4 17" xfId="18990"/>
    <cellStyle name="Обычный 7 3 4 17 2" xfId="18991"/>
    <cellStyle name="Обычный 7 3 4 17 3" xfId="18992"/>
    <cellStyle name="Обычный 7 3 4 18" xfId="18993"/>
    <cellStyle name="Обычный 7 3 4 18 2" xfId="18994"/>
    <cellStyle name="Обычный 7 3 4 18 3" xfId="18995"/>
    <cellStyle name="Обычный 7 3 4 19" xfId="18996"/>
    <cellStyle name="Обычный 7 3 4 19 2" xfId="18997"/>
    <cellStyle name="Обычный 7 3 4 19 3" xfId="18998"/>
    <cellStyle name="Обычный 7 3 4 2" xfId="18999"/>
    <cellStyle name="Обычный 7 3 4 2 2" xfId="19000"/>
    <cellStyle name="Обычный 7 3 4 2 3" xfId="19001"/>
    <cellStyle name="Обычный 7 3 4 20" xfId="19002"/>
    <cellStyle name="Обычный 7 3 4 20 2" xfId="19003"/>
    <cellStyle name="Обычный 7 3 4 20 3" xfId="19004"/>
    <cellStyle name="Обычный 7 3 4 21" xfId="19005"/>
    <cellStyle name="Обычный 7 3 4 21 2" xfId="19006"/>
    <cellStyle name="Обычный 7 3 4 21 3" xfId="19007"/>
    <cellStyle name="Обычный 7 3 4 22" xfId="19008"/>
    <cellStyle name="Обычный 7 3 4 22 2" xfId="19009"/>
    <cellStyle name="Обычный 7 3 4 22 3" xfId="19010"/>
    <cellStyle name="Обычный 7 3 4 23" xfId="19011"/>
    <cellStyle name="Обычный 7 3 4 23 2" xfId="19012"/>
    <cellStyle name="Обычный 7 3 4 23 3" xfId="19013"/>
    <cellStyle name="Обычный 7 3 4 24" xfId="19014"/>
    <cellStyle name="Обычный 7 3 4 24 2" xfId="19015"/>
    <cellStyle name="Обычный 7 3 4 24 3" xfId="19016"/>
    <cellStyle name="Обычный 7 3 4 25" xfId="19017"/>
    <cellStyle name="Обычный 7 3 4 25 2" xfId="19018"/>
    <cellStyle name="Обычный 7 3 4 25 3" xfId="19019"/>
    <cellStyle name="Обычный 7 3 4 26" xfId="19020"/>
    <cellStyle name="Обычный 7 3 4 26 2" xfId="19021"/>
    <cellStyle name="Обычный 7 3 4 26 3" xfId="19022"/>
    <cellStyle name="Обычный 7 3 4 27" xfId="19023"/>
    <cellStyle name="Обычный 7 3 4 27 2" xfId="19024"/>
    <cellStyle name="Обычный 7 3 4 27 3" xfId="19025"/>
    <cellStyle name="Обычный 7 3 4 28" xfId="19026"/>
    <cellStyle name="Обычный 7 3 4 28 2" xfId="19027"/>
    <cellStyle name="Обычный 7 3 4 28 3" xfId="19028"/>
    <cellStyle name="Обычный 7 3 4 29" xfId="19029"/>
    <cellStyle name="Обычный 7 3 4 29 2" xfId="19030"/>
    <cellStyle name="Обычный 7 3 4 29 3" xfId="19031"/>
    <cellStyle name="Обычный 7 3 4 3" xfId="19032"/>
    <cellStyle name="Обычный 7 3 4 3 2" xfId="19033"/>
    <cellStyle name="Обычный 7 3 4 3 3" xfId="19034"/>
    <cellStyle name="Обычный 7 3 4 30" xfId="19035"/>
    <cellStyle name="Обычный 7 3 4 30 2" xfId="19036"/>
    <cellStyle name="Обычный 7 3 4 30 3" xfId="19037"/>
    <cellStyle name="Обычный 7 3 4 31" xfId="19038"/>
    <cellStyle name="Обычный 7 3 4 31 2" xfId="19039"/>
    <cellStyle name="Обычный 7 3 4 31 3" xfId="19040"/>
    <cellStyle name="Обычный 7 3 4 32" xfId="19041"/>
    <cellStyle name="Обычный 7 3 4 32 2" xfId="19042"/>
    <cellStyle name="Обычный 7 3 4 32 3" xfId="19043"/>
    <cellStyle name="Обычный 7 3 4 33" xfId="19044"/>
    <cellStyle name="Обычный 7 3 4 33 2" xfId="19045"/>
    <cellStyle name="Обычный 7 3 4 33 3" xfId="19046"/>
    <cellStyle name="Обычный 7 3 4 34" xfId="19047"/>
    <cellStyle name="Обычный 7 3 4 34 2" xfId="19048"/>
    <cellStyle name="Обычный 7 3 4 34 3" xfId="19049"/>
    <cellStyle name="Обычный 7 3 4 35" xfId="19050"/>
    <cellStyle name="Обычный 7 3 4 35 2" xfId="19051"/>
    <cellStyle name="Обычный 7 3 4 35 3" xfId="19052"/>
    <cellStyle name="Обычный 7 3 4 36" xfId="19053"/>
    <cellStyle name="Обычный 7 3 4 36 2" xfId="19054"/>
    <cellStyle name="Обычный 7 3 4 36 3" xfId="19055"/>
    <cellStyle name="Обычный 7 3 4 37" xfId="19056"/>
    <cellStyle name="Обычный 7 3 4 37 2" xfId="19057"/>
    <cellStyle name="Обычный 7 3 4 37 3" xfId="19058"/>
    <cellStyle name="Обычный 7 3 4 38" xfId="19059"/>
    <cellStyle name="Обычный 7 3 4 38 2" xfId="19060"/>
    <cellStyle name="Обычный 7 3 4 38 3" xfId="19061"/>
    <cellStyle name="Обычный 7 3 4 39" xfId="19062"/>
    <cellStyle name="Обычный 7 3 4 39 2" xfId="19063"/>
    <cellStyle name="Обычный 7 3 4 39 3" xfId="19064"/>
    <cellStyle name="Обычный 7 3 4 4" xfId="19065"/>
    <cellStyle name="Обычный 7 3 4 4 2" xfId="19066"/>
    <cellStyle name="Обычный 7 3 4 4 3" xfId="19067"/>
    <cellStyle name="Обычный 7 3 4 40" xfId="19068"/>
    <cellStyle name="Обычный 7 3 4 40 2" xfId="19069"/>
    <cellStyle name="Обычный 7 3 4 40 3" xfId="19070"/>
    <cellStyle name="Обычный 7 3 4 41" xfId="19071"/>
    <cellStyle name="Обычный 7 3 4 41 2" xfId="19072"/>
    <cellStyle name="Обычный 7 3 4 41 3" xfId="19073"/>
    <cellStyle name="Обычный 7 3 4 42" xfId="19074"/>
    <cellStyle name="Обычный 7 3 4 42 2" xfId="19075"/>
    <cellStyle name="Обычный 7 3 4 42 3" xfId="19076"/>
    <cellStyle name="Обычный 7 3 4 43" xfId="19077"/>
    <cellStyle name="Обычный 7 3 4 43 2" xfId="19078"/>
    <cellStyle name="Обычный 7 3 4 43 3" xfId="19079"/>
    <cellStyle name="Обычный 7 3 4 44" xfId="19080"/>
    <cellStyle name="Обычный 7 3 4 44 2" xfId="19081"/>
    <cellStyle name="Обычный 7 3 4 44 3" xfId="19082"/>
    <cellStyle name="Обычный 7 3 4 45" xfId="19083"/>
    <cellStyle name="Обычный 7 3 4 45 2" xfId="19084"/>
    <cellStyle name="Обычный 7 3 4 45 3" xfId="19085"/>
    <cellStyle name="Обычный 7 3 4 46" xfId="19086"/>
    <cellStyle name="Обычный 7 3 4 46 2" xfId="19087"/>
    <cellStyle name="Обычный 7 3 4 46 3" xfId="19088"/>
    <cellStyle name="Обычный 7 3 4 47" xfId="19089"/>
    <cellStyle name="Обычный 7 3 4 47 2" xfId="19090"/>
    <cellStyle name="Обычный 7 3 4 47 3" xfId="19091"/>
    <cellStyle name="Обычный 7 3 4 48" xfId="19092"/>
    <cellStyle name="Обычный 7 3 4 48 2" xfId="19093"/>
    <cellStyle name="Обычный 7 3 4 48 3" xfId="19094"/>
    <cellStyle name="Обычный 7 3 4 49" xfId="19095"/>
    <cellStyle name="Обычный 7 3 4 49 2" xfId="19096"/>
    <cellStyle name="Обычный 7 3 4 49 3" xfId="19097"/>
    <cellStyle name="Обычный 7 3 4 5" xfId="19098"/>
    <cellStyle name="Обычный 7 3 4 5 2" xfId="19099"/>
    <cellStyle name="Обычный 7 3 4 5 3" xfId="19100"/>
    <cellStyle name="Обычный 7 3 4 50" xfId="19101"/>
    <cellStyle name="Обычный 7 3 4 50 2" xfId="19102"/>
    <cellStyle name="Обычный 7 3 4 50 3" xfId="19103"/>
    <cellStyle name="Обычный 7 3 4 51" xfId="19104"/>
    <cellStyle name="Обычный 7 3 4 51 2" xfId="19105"/>
    <cellStyle name="Обычный 7 3 4 51 3" xfId="19106"/>
    <cellStyle name="Обычный 7 3 4 52" xfId="19107"/>
    <cellStyle name="Обычный 7 3 4 52 2" xfId="19108"/>
    <cellStyle name="Обычный 7 3 4 52 3" xfId="19109"/>
    <cellStyle name="Обычный 7 3 4 53" xfId="19110"/>
    <cellStyle name="Обычный 7 3 4 53 2" xfId="19111"/>
    <cellStyle name="Обычный 7 3 4 53 3" xfId="19112"/>
    <cellStyle name="Обычный 7 3 4 54" xfId="19113"/>
    <cellStyle name="Обычный 7 3 4 54 2" xfId="19114"/>
    <cellStyle name="Обычный 7 3 4 54 3" xfId="19115"/>
    <cellStyle name="Обычный 7 3 4 55" xfId="19116"/>
    <cellStyle name="Обычный 7 3 4 55 2" xfId="19117"/>
    <cellStyle name="Обычный 7 3 4 55 3" xfId="19118"/>
    <cellStyle name="Обычный 7 3 4 56" xfId="19119"/>
    <cellStyle name="Обычный 7 3 4 56 2" xfId="19120"/>
    <cellStyle name="Обычный 7 3 4 56 3" xfId="19121"/>
    <cellStyle name="Обычный 7 3 4 57" xfId="19122"/>
    <cellStyle name="Обычный 7 3 4 57 2" xfId="19123"/>
    <cellStyle name="Обычный 7 3 4 57 3" xfId="19124"/>
    <cellStyle name="Обычный 7 3 4 58" xfId="19125"/>
    <cellStyle name="Обычный 7 3 4 58 2" xfId="19126"/>
    <cellStyle name="Обычный 7 3 4 58 3" xfId="19127"/>
    <cellStyle name="Обычный 7 3 4 59" xfId="19128"/>
    <cellStyle name="Обычный 7 3 4 59 2" xfId="19129"/>
    <cellStyle name="Обычный 7 3 4 59 3" xfId="19130"/>
    <cellStyle name="Обычный 7 3 4 6" xfId="19131"/>
    <cellStyle name="Обычный 7 3 4 6 2" xfId="19132"/>
    <cellStyle name="Обычный 7 3 4 6 3" xfId="19133"/>
    <cellStyle name="Обычный 7 3 4 60" xfId="19134"/>
    <cellStyle name="Обычный 7 3 4 60 2" xfId="19135"/>
    <cellStyle name="Обычный 7 3 4 60 3" xfId="19136"/>
    <cellStyle name="Обычный 7 3 4 61" xfId="19137"/>
    <cellStyle name="Обычный 7 3 4 61 2" xfId="19138"/>
    <cellStyle name="Обычный 7 3 4 61 3" xfId="19139"/>
    <cellStyle name="Обычный 7 3 4 62" xfId="19140"/>
    <cellStyle name="Обычный 7 3 4 62 2" xfId="19141"/>
    <cellStyle name="Обычный 7 3 4 62 3" xfId="19142"/>
    <cellStyle name="Обычный 7 3 4 63" xfId="19143"/>
    <cellStyle name="Обычный 7 3 4 63 2" xfId="19144"/>
    <cellStyle name="Обычный 7 3 4 63 3" xfId="19145"/>
    <cellStyle name="Обычный 7 3 4 64" xfId="19146"/>
    <cellStyle name="Обычный 7 3 4 65" xfId="19147"/>
    <cellStyle name="Обычный 7 3 4 7" xfId="19148"/>
    <cellStyle name="Обычный 7 3 4 7 2" xfId="19149"/>
    <cellStyle name="Обычный 7 3 4 7 3" xfId="19150"/>
    <cellStyle name="Обычный 7 3 4 8" xfId="19151"/>
    <cellStyle name="Обычный 7 3 4 8 2" xfId="19152"/>
    <cellStyle name="Обычный 7 3 4 8 3" xfId="19153"/>
    <cellStyle name="Обычный 7 3 4 9" xfId="19154"/>
    <cellStyle name="Обычный 7 3 4 9 2" xfId="19155"/>
    <cellStyle name="Обычный 7 3 4 9 3" xfId="19156"/>
    <cellStyle name="Обычный 7 3 40" xfId="19157"/>
    <cellStyle name="Обычный 7 3 40 2" xfId="19158"/>
    <cellStyle name="Обычный 7 3 40 3" xfId="19159"/>
    <cellStyle name="Обычный 7 3 41" xfId="19160"/>
    <cellStyle name="Обычный 7 3 41 2" xfId="19161"/>
    <cellStyle name="Обычный 7 3 41 3" xfId="19162"/>
    <cellStyle name="Обычный 7 3 42" xfId="19163"/>
    <cellStyle name="Обычный 7 3 42 2" xfId="19164"/>
    <cellStyle name="Обычный 7 3 42 3" xfId="19165"/>
    <cellStyle name="Обычный 7 3 43" xfId="19166"/>
    <cellStyle name="Обычный 7 3 43 2" xfId="19167"/>
    <cellStyle name="Обычный 7 3 43 3" xfId="19168"/>
    <cellStyle name="Обычный 7 3 44" xfId="19169"/>
    <cellStyle name="Обычный 7 3 44 2" xfId="19170"/>
    <cellStyle name="Обычный 7 3 44 3" xfId="19171"/>
    <cellStyle name="Обычный 7 3 45" xfId="19172"/>
    <cellStyle name="Обычный 7 3 45 2" xfId="19173"/>
    <cellStyle name="Обычный 7 3 45 3" xfId="19174"/>
    <cellStyle name="Обычный 7 3 46" xfId="19175"/>
    <cellStyle name="Обычный 7 3 46 2" xfId="19176"/>
    <cellStyle name="Обычный 7 3 46 3" xfId="19177"/>
    <cellStyle name="Обычный 7 3 47" xfId="19178"/>
    <cellStyle name="Обычный 7 3 47 2" xfId="19179"/>
    <cellStyle name="Обычный 7 3 47 3" xfId="19180"/>
    <cellStyle name="Обычный 7 3 48" xfId="19181"/>
    <cellStyle name="Обычный 7 3 48 2" xfId="19182"/>
    <cellStyle name="Обычный 7 3 48 3" xfId="19183"/>
    <cellStyle name="Обычный 7 3 49" xfId="19184"/>
    <cellStyle name="Обычный 7 3 49 2" xfId="19185"/>
    <cellStyle name="Обычный 7 3 49 3" xfId="19186"/>
    <cellStyle name="Обычный 7 3 5" xfId="19187"/>
    <cellStyle name="Обычный 7 3 5 10" xfId="19188"/>
    <cellStyle name="Обычный 7 3 5 10 2" xfId="19189"/>
    <cellStyle name="Обычный 7 3 5 10 3" xfId="19190"/>
    <cellStyle name="Обычный 7 3 5 11" xfId="19191"/>
    <cellStyle name="Обычный 7 3 5 11 2" xfId="19192"/>
    <cellStyle name="Обычный 7 3 5 11 3" xfId="19193"/>
    <cellStyle name="Обычный 7 3 5 12" xfId="19194"/>
    <cellStyle name="Обычный 7 3 5 12 2" xfId="19195"/>
    <cellStyle name="Обычный 7 3 5 12 3" xfId="19196"/>
    <cellStyle name="Обычный 7 3 5 13" xfId="19197"/>
    <cellStyle name="Обычный 7 3 5 13 2" xfId="19198"/>
    <cellStyle name="Обычный 7 3 5 13 3" xfId="19199"/>
    <cellStyle name="Обычный 7 3 5 14" xfId="19200"/>
    <cellStyle name="Обычный 7 3 5 14 2" xfId="19201"/>
    <cellStyle name="Обычный 7 3 5 14 3" xfId="19202"/>
    <cellStyle name="Обычный 7 3 5 15" xfId="19203"/>
    <cellStyle name="Обычный 7 3 5 15 2" xfId="19204"/>
    <cellStyle name="Обычный 7 3 5 15 3" xfId="19205"/>
    <cellStyle name="Обычный 7 3 5 16" xfId="19206"/>
    <cellStyle name="Обычный 7 3 5 16 2" xfId="19207"/>
    <cellStyle name="Обычный 7 3 5 16 3" xfId="19208"/>
    <cellStyle name="Обычный 7 3 5 17" xfId="19209"/>
    <cellStyle name="Обычный 7 3 5 17 2" xfId="19210"/>
    <cellStyle name="Обычный 7 3 5 17 3" xfId="19211"/>
    <cellStyle name="Обычный 7 3 5 18" xfId="19212"/>
    <cellStyle name="Обычный 7 3 5 18 2" xfId="19213"/>
    <cellStyle name="Обычный 7 3 5 18 3" xfId="19214"/>
    <cellStyle name="Обычный 7 3 5 19" xfId="19215"/>
    <cellStyle name="Обычный 7 3 5 19 2" xfId="19216"/>
    <cellStyle name="Обычный 7 3 5 19 3" xfId="19217"/>
    <cellStyle name="Обычный 7 3 5 2" xfId="19218"/>
    <cellStyle name="Обычный 7 3 5 2 2" xfId="19219"/>
    <cellStyle name="Обычный 7 3 5 2 3" xfId="19220"/>
    <cellStyle name="Обычный 7 3 5 20" xfId="19221"/>
    <cellStyle name="Обычный 7 3 5 20 2" xfId="19222"/>
    <cellStyle name="Обычный 7 3 5 20 3" xfId="19223"/>
    <cellStyle name="Обычный 7 3 5 21" xfId="19224"/>
    <cellStyle name="Обычный 7 3 5 21 2" xfId="19225"/>
    <cellStyle name="Обычный 7 3 5 21 3" xfId="19226"/>
    <cellStyle name="Обычный 7 3 5 22" xfId="19227"/>
    <cellStyle name="Обычный 7 3 5 22 2" xfId="19228"/>
    <cellStyle name="Обычный 7 3 5 22 3" xfId="19229"/>
    <cellStyle name="Обычный 7 3 5 23" xfId="19230"/>
    <cellStyle name="Обычный 7 3 5 23 2" xfId="19231"/>
    <cellStyle name="Обычный 7 3 5 23 3" xfId="19232"/>
    <cellStyle name="Обычный 7 3 5 24" xfId="19233"/>
    <cellStyle name="Обычный 7 3 5 24 2" xfId="19234"/>
    <cellStyle name="Обычный 7 3 5 24 3" xfId="19235"/>
    <cellStyle name="Обычный 7 3 5 25" xfId="19236"/>
    <cellStyle name="Обычный 7 3 5 25 2" xfId="19237"/>
    <cellStyle name="Обычный 7 3 5 25 3" xfId="19238"/>
    <cellStyle name="Обычный 7 3 5 26" xfId="19239"/>
    <cellStyle name="Обычный 7 3 5 26 2" xfId="19240"/>
    <cellStyle name="Обычный 7 3 5 26 3" xfId="19241"/>
    <cellStyle name="Обычный 7 3 5 27" xfId="19242"/>
    <cellStyle name="Обычный 7 3 5 27 2" xfId="19243"/>
    <cellStyle name="Обычный 7 3 5 27 3" xfId="19244"/>
    <cellStyle name="Обычный 7 3 5 28" xfId="19245"/>
    <cellStyle name="Обычный 7 3 5 28 2" xfId="19246"/>
    <cellStyle name="Обычный 7 3 5 28 3" xfId="19247"/>
    <cellStyle name="Обычный 7 3 5 29" xfId="19248"/>
    <cellStyle name="Обычный 7 3 5 29 2" xfId="19249"/>
    <cellStyle name="Обычный 7 3 5 29 3" xfId="19250"/>
    <cellStyle name="Обычный 7 3 5 3" xfId="19251"/>
    <cellStyle name="Обычный 7 3 5 3 2" xfId="19252"/>
    <cellStyle name="Обычный 7 3 5 3 3" xfId="19253"/>
    <cellStyle name="Обычный 7 3 5 30" xfId="19254"/>
    <cellStyle name="Обычный 7 3 5 30 2" xfId="19255"/>
    <cellStyle name="Обычный 7 3 5 30 3" xfId="19256"/>
    <cellStyle name="Обычный 7 3 5 31" xfId="19257"/>
    <cellStyle name="Обычный 7 3 5 31 2" xfId="19258"/>
    <cellStyle name="Обычный 7 3 5 31 3" xfId="19259"/>
    <cellStyle name="Обычный 7 3 5 32" xfId="19260"/>
    <cellStyle name="Обычный 7 3 5 32 2" xfId="19261"/>
    <cellStyle name="Обычный 7 3 5 32 3" xfId="19262"/>
    <cellStyle name="Обычный 7 3 5 33" xfId="19263"/>
    <cellStyle name="Обычный 7 3 5 33 2" xfId="19264"/>
    <cellStyle name="Обычный 7 3 5 33 3" xfId="19265"/>
    <cellStyle name="Обычный 7 3 5 34" xfId="19266"/>
    <cellStyle name="Обычный 7 3 5 34 2" xfId="19267"/>
    <cellStyle name="Обычный 7 3 5 34 3" xfId="19268"/>
    <cellStyle name="Обычный 7 3 5 35" xfId="19269"/>
    <cellStyle name="Обычный 7 3 5 35 2" xfId="19270"/>
    <cellStyle name="Обычный 7 3 5 35 3" xfId="19271"/>
    <cellStyle name="Обычный 7 3 5 36" xfId="19272"/>
    <cellStyle name="Обычный 7 3 5 36 2" xfId="19273"/>
    <cellStyle name="Обычный 7 3 5 36 3" xfId="19274"/>
    <cellStyle name="Обычный 7 3 5 37" xfId="19275"/>
    <cellStyle name="Обычный 7 3 5 37 2" xfId="19276"/>
    <cellStyle name="Обычный 7 3 5 37 3" xfId="19277"/>
    <cellStyle name="Обычный 7 3 5 38" xfId="19278"/>
    <cellStyle name="Обычный 7 3 5 38 2" xfId="19279"/>
    <cellStyle name="Обычный 7 3 5 38 3" xfId="19280"/>
    <cellStyle name="Обычный 7 3 5 39" xfId="19281"/>
    <cellStyle name="Обычный 7 3 5 39 2" xfId="19282"/>
    <cellStyle name="Обычный 7 3 5 39 3" xfId="19283"/>
    <cellStyle name="Обычный 7 3 5 4" xfId="19284"/>
    <cellStyle name="Обычный 7 3 5 4 2" xfId="19285"/>
    <cellStyle name="Обычный 7 3 5 4 3" xfId="19286"/>
    <cellStyle name="Обычный 7 3 5 40" xfId="19287"/>
    <cellStyle name="Обычный 7 3 5 40 2" xfId="19288"/>
    <cellStyle name="Обычный 7 3 5 40 3" xfId="19289"/>
    <cellStyle name="Обычный 7 3 5 41" xfId="19290"/>
    <cellStyle name="Обычный 7 3 5 41 2" xfId="19291"/>
    <cellStyle name="Обычный 7 3 5 41 3" xfId="19292"/>
    <cellStyle name="Обычный 7 3 5 42" xfId="19293"/>
    <cellStyle name="Обычный 7 3 5 42 2" xfId="19294"/>
    <cellStyle name="Обычный 7 3 5 42 3" xfId="19295"/>
    <cellStyle name="Обычный 7 3 5 43" xfId="19296"/>
    <cellStyle name="Обычный 7 3 5 43 2" xfId="19297"/>
    <cellStyle name="Обычный 7 3 5 43 3" xfId="19298"/>
    <cellStyle name="Обычный 7 3 5 44" xfId="19299"/>
    <cellStyle name="Обычный 7 3 5 44 2" xfId="19300"/>
    <cellStyle name="Обычный 7 3 5 44 3" xfId="19301"/>
    <cellStyle name="Обычный 7 3 5 45" xfId="19302"/>
    <cellStyle name="Обычный 7 3 5 45 2" xfId="19303"/>
    <cellStyle name="Обычный 7 3 5 45 3" xfId="19304"/>
    <cellStyle name="Обычный 7 3 5 46" xfId="19305"/>
    <cellStyle name="Обычный 7 3 5 46 2" xfId="19306"/>
    <cellStyle name="Обычный 7 3 5 46 3" xfId="19307"/>
    <cellStyle name="Обычный 7 3 5 47" xfId="19308"/>
    <cellStyle name="Обычный 7 3 5 47 2" xfId="19309"/>
    <cellStyle name="Обычный 7 3 5 47 3" xfId="19310"/>
    <cellStyle name="Обычный 7 3 5 48" xfId="19311"/>
    <cellStyle name="Обычный 7 3 5 48 2" xfId="19312"/>
    <cellStyle name="Обычный 7 3 5 48 3" xfId="19313"/>
    <cellStyle name="Обычный 7 3 5 49" xfId="19314"/>
    <cellStyle name="Обычный 7 3 5 49 2" xfId="19315"/>
    <cellStyle name="Обычный 7 3 5 49 3" xfId="19316"/>
    <cellStyle name="Обычный 7 3 5 5" xfId="19317"/>
    <cellStyle name="Обычный 7 3 5 5 2" xfId="19318"/>
    <cellStyle name="Обычный 7 3 5 5 3" xfId="19319"/>
    <cellStyle name="Обычный 7 3 5 50" xfId="19320"/>
    <cellStyle name="Обычный 7 3 5 50 2" xfId="19321"/>
    <cellStyle name="Обычный 7 3 5 50 3" xfId="19322"/>
    <cellStyle name="Обычный 7 3 5 51" xfId="19323"/>
    <cellStyle name="Обычный 7 3 5 51 2" xfId="19324"/>
    <cellStyle name="Обычный 7 3 5 51 3" xfId="19325"/>
    <cellStyle name="Обычный 7 3 5 52" xfId="19326"/>
    <cellStyle name="Обычный 7 3 5 52 2" xfId="19327"/>
    <cellStyle name="Обычный 7 3 5 52 3" xfId="19328"/>
    <cellStyle name="Обычный 7 3 5 53" xfId="19329"/>
    <cellStyle name="Обычный 7 3 5 53 2" xfId="19330"/>
    <cellStyle name="Обычный 7 3 5 53 3" xfId="19331"/>
    <cellStyle name="Обычный 7 3 5 54" xfId="19332"/>
    <cellStyle name="Обычный 7 3 5 54 2" xfId="19333"/>
    <cellStyle name="Обычный 7 3 5 54 3" xfId="19334"/>
    <cellStyle name="Обычный 7 3 5 55" xfId="19335"/>
    <cellStyle name="Обычный 7 3 5 55 2" xfId="19336"/>
    <cellStyle name="Обычный 7 3 5 55 3" xfId="19337"/>
    <cellStyle name="Обычный 7 3 5 56" xfId="19338"/>
    <cellStyle name="Обычный 7 3 5 56 2" xfId="19339"/>
    <cellStyle name="Обычный 7 3 5 56 3" xfId="19340"/>
    <cellStyle name="Обычный 7 3 5 57" xfId="19341"/>
    <cellStyle name="Обычный 7 3 5 57 2" xfId="19342"/>
    <cellStyle name="Обычный 7 3 5 57 3" xfId="19343"/>
    <cellStyle name="Обычный 7 3 5 58" xfId="19344"/>
    <cellStyle name="Обычный 7 3 5 58 2" xfId="19345"/>
    <cellStyle name="Обычный 7 3 5 58 3" xfId="19346"/>
    <cellStyle name="Обычный 7 3 5 59" xfId="19347"/>
    <cellStyle name="Обычный 7 3 5 59 2" xfId="19348"/>
    <cellStyle name="Обычный 7 3 5 59 3" xfId="19349"/>
    <cellStyle name="Обычный 7 3 5 6" xfId="19350"/>
    <cellStyle name="Обычный 7 3 5 6 2" xfId="19351"/>
    <cellStyle name="Обычный 7 3 5 6 3" xfId="19352"/>
    <cellStyle name="Обычный 7 3 5 60" xfId="19353"/>
    <cellStyle name="Обычный 7 3 5 60 2" xfId="19354"/>
    <cellStyle name="Обычный 7 3 5 60 3" xfId="19355"/>
    <cellStyle name="Обычный 7 3 5 61" xfId="19356"/>
    <cellStyle name="Обычный 7 3 5 61 2" xfId="19357"/>
    <cellStyle name="Обычный 7 3 5 61 3" xfId="19358"/>
    <cellStyle name="Обычный 7 3 5 62" xfId="19359"/>
    <cellStyle name="Обычный 7 3 5 62 2" xfId="19360"/>
    <cellStyle name="Обычный 7 3 5 62 3" xfId="19361"/>
    <cellStyle name="Обычный 7 3 5 63" xfId="19362"/>
    <cellStyle name="Обычный 7 3 5 63 2" xfId="19363"/>
    <cellStyle name="Обычный 7 3 5 63 3" xfId="19364"/>
    <cellStyle name="Обычный 7 3 5 64" xfId="19365"/>
    <cellStyle name="Обычный 7 3 5 65" xfId="19366"/>
    <cellStyle name="Обычный 7 3 5 7" xfId="19367"/>
    <cellStyle name="Обычный 7 3 5 7 2" xfId="19368"/>
    <cellStyle name="Обычный 7 3 5 7 3" xfId="19369"/>
    <cellStyle name="Обычный 7 3 5 8" xfId="19370"/>
    <cellStyle name="Обычный 7 3 5 8 2" xfId="19371"/>
    <cellStyle name="Обычный 7 3 5 8 3" xfId="19372"/>
    <cellStyle name="Обычный 7 3 5 9" xfId="19373"/>
    <cellStyle name="Обычный 7 3 5 9 2" xfId="19374"/>
    <cellStyle name="Обычный 7 3 5 9 3" xfId="19375"/>
    <cellStyle name="Обычный 7 3 50" xfId="19376"/>
    <cellStyle name="Обычный 7 3 50 2" xfId="19377"/>
    <cellStyle name="Обычный 7 3 50 3" xfId="19378"/>
    <cellStyle name="Обычный 7 3 51" xfId="19379"/>
    <cellStyle name="Обычный 7 3 51 2" xfId="19380"/>
    <cellStyle name="Обычный 7 3 51 3" xfId="19381"/>
    <cellStyle name="Обычный 7 3 52" xfId="19382"/>
    <cellStyle name="Обычный 7 3 52 2" xfId="19383"/>
    <cellStyle name="Обычный 7 3 52 3" xfId="19384"/>
    <cellStyle name="Обычный 7 3 53" xfId="19385"/>
    <cellStyle name="Обычный 7 3 53 2" xfId="19386"/>
    <cellStyle name="Обычный 7 3 53 3" xfId="19387"/>
    <cellStyle name="Обычный 7 3 54" xfId="19388"/>
    <cellStyle name="Обычный 7 3 54 2" xfId="19389"/>
    <cellStyle name="Обычный 7 3 54 3" xfId="19390"/>
    <cellStyle name="Обычный 7 3 55" xfId="19391"/>
    <cellStyle name="Обычный 7 3 55 2" xfId="19392"/>
    <cellStyle name="Обычный 7 3 55 3" xfId="19393"/>
    <cellStyle name="Обычный 7 3 56" xfId="19394"/>
    <cellStyle name="Обычный 7 3 56 2" xfId="19395"/>
    <cellStyle name="Обычный 7 3 56 3" xfId="19396"/>
    <cellStyle name="Обычный 7 3 57" xfId="19397"/>
    <cellStyle name="Обычный 7 3 57 2" xfId="19398"/>
    <cellStyle name="Обычный 7 3 57 3" xfId="19399"/>
    <cellStyle name="Обычный 7 3 58" xfId="19400"/>
    <cellStyle name="Обычный 7 3 58 2" xfId="19401"/>
    <cellStyle name="Обычный 7 3 58 3" xfId="19402"/>
    <cellStyle name="Обычный 7 3 59" xfId="19403"/>
    <cellStyle name="Обычный 7 3 59 2" xfId="19404"/>
    <cellStyle name="Обычный 7 3 59 3" xfId="19405"/>
    <cellStyle name="Обычный 7 3 6" xfId="19406"/>
    <cellStyle name="Обычный 7 3 6 10" xfId="19407"/>
    <cellStyle name="Обычный 7 3 6 10 2" xfId="19408"/>
    <cellStyle name="Обычный 7 3 6 10 3" xfId="19409"/>
    <cellStyle name="Обычный 7 3 6 11" xfId="19410"/>
    <cellStyle name="Обычный 7 3 6 11 2" xfId="19411"/>
    <cellStyle name="Обычный 7 3 6 11 3" xfId="19412"/>
    <cellStyle name="Обычный 7 3 6 12" xfId="19413"/>
    <cellStyle name="Обычный 7 3 6 12 2" xfId="19414"/>
    <cellStyle name="Обычный 7 3 6 12 3" xfId="19415"/>
    <cellStyle name="Обычный 7 3 6 13" xfId="19416"/>
    <cellStyle name="Обычный 7 3 6 13 2" xfId="19417"/>
    <cellStyle name="Обычный 7 3 6 13 3" xfId="19418"/>
    <cellStyle name="Обычный 7 3 6 14" xfId="19419"/>
    <cellStyle name="Обычный 7 3 6 14 2" xfId="19420"/>
    <cellStyle name="Обычный 7 3 6 14 3" xfId="19421"/>
    <cellStyle name="Обычный 7 3 6 15" xfId="19422"/>
    <cellStyle name="Обычный 7 3 6 15 2" xfId="19423"/>
    <cellStyle name="Обычный 7 3 6 15 3" xfId="19424"/>
    <cellStyle name="Обычный 7 3 6 16" xfId="19425"/>
    <cellStyle name="Обычный 7 3 6 16 2" xfId="19426"/>
    <cellStyle name="Обычный 7 3 6 16 3" xfId="19427"/>
    <cellStyle name="Обычный 7 3 6 17" xfId="19428"/>
    <cellStyle name="Обычный 7 3 6 17 2" xfId="19429"/>
    <cellStyle name="Обычный 7 3 6 17 3" xfId="19430"/>
    <cellStyle name="Обычный 7 3 6 18" xfId="19431"/>
    <cellStyle name="Обычный 7 3 6 18 2" xfId="19432"/>
    <cellStyle name="Обычный 7 3 6 18 3" xfId="19433"/>
    <cellStyle name="Обычный 7 3 6 19" xfId="19434"/>
    <cellStyle name="Обычный 7 3 6 19 2" xfId="19435"/>
    <cellStyle name="Обычный 7 3 6 19 3" xfId="19436"/>
    <cellStyle name="Обычный 7 3 6 2" xfId="19437"/>
    <cellStyle name="Обычный 7 3 6 2 2" xfId="19438"/>
    <cellStyle name="Обычный 7 3 6 2 3" xfId="19439"/>
    <cellStyle name="Обычный 7 3 6 20" xfId="19440"/>
    <cellStyle name="Обычный 7 3 6 20 2" xfId="19441"/>
    <cellStyle name="Обычный 7 3 6 20 3" xfId="19442"/>
    <cellStyle name="Обычный 7 3 6 21" xfId="19443"/>
    <cellStyle name="Обычный 7 3 6 21 2" xfId="19444"/>
    <cellStyle name="Обычный 7 3 6 21 3" xfId="19445"/>
    <cellStyle name="Обычный 7 3 6 22" xfId="19446"/>
    <cellStyle name="Обычный 7 3 6 22 2" xfId="19447"/>
    <cellStyle name="Обычный 7 3 6 22 3" xfId="19448"/>
    <cellStyle name="Обычный 7 3 6 23" xfId="19449"/>
    <cellStyle name="Обычный 7 3 6 23 2" xfId="19450"/>
    <cellStyle name="Обычный 7 3 6 23 3" xfId="19451"/>
    <cellStyle name="Обычный 7 3 6 24" xfId="19452"/>
    <cellStyle name="Обычный 7 3 6 24 2" xfId="19453"/>
    <cellStyle name="Обычный 7 3 6 24 3" xfId="19454"/>
    <cellStyle name="Обычный 7 3 6 25" xfId="19455"/>
    <cellStyle name="Обычный 7 3 6 25 2" xfId="19456"/>
    <cellStyle name="Обычный 7 3 6 25 3" xfId="19457"/>
    <cellStyle name="Обычный 7 3 6 26" xfId="19458"/>
    <cellStyle name="Обычный 7 3 6 26 2" xfId="19459"/>
    <cellStyle name="Обычный 7 3 6 26 3" xfId="19460"/>
    <cellStyle name="Обычный 7 3 6 27" xfId="19461"/>
    <cellStyle name="Обычный 7 3 6 27 2" xfId="19462"/>
    <cellStyle name="Обычный 7 3 6 27 3" xfId="19463"/>
    <cellStyle name="Обычный 7 3 6 28" xfId="19464"/>
    <cellStyle name="Обычный 7 3 6 28 2" xfId="19465"/>
    <cellStyle name="Обычный 7 3 6 28 3" xfId="19466"/>
    <cellStyle name="Обычный 7 3 6 29" xfId="19467"/>
    <cellStyle name="Обычный 7 3 6 29 2" xfId="19468"/>
    <cellStyle name="Обычный 7 3 6 29 3" xfId="19469"/>
    <cellStyle name="Обычный 7 3 6 3" xfId="19470"/>
    <cellStyle name="Обычный 7 3 6 3 2" xfId="19471"/>
    <cellStyle name="Обычный 7 3 6 3 3" xfId="19472"/>
    <cellStyle name="Обычный 7 3 6 30" xfId="19473"/>
    <cellStyle name="Обычный 7 3 6 30 2" xfId="19474"/>
    <cellStyle name="Обычный 7 3 6 30 3" xfId="19475"/>
    <cellStyle name="Обычный 7 3 6 31" xfId="19476"/>
    <cellStyle name="Обычный 7 3 6 31 2" xfId="19477"/>
    <cellStyle name="Обычный 7 3 6 31 3" xfId="19478"/>
    <cellStyle name="Обычный 7 3 6 32" xfId="19479"/>
    <cellStyle name="Обычный 7 3 6 32 2" xfId="19480"/>
    <cellStyle name="Обычный 7 3 6 32 3" xfId="19481"/>
    <cellStyle name="Обычный 7 3 6 33" xfId="19482"/>
    <cellStyle name="Обычный 7 3 6 33 2" xfId="19483"/>
    <cellStyle name="Обычный 7 3 6 33 3" xfId="19484"/>
    <cellStyle name="Обычный 7 3 6 34" xfId="19485"/>
    <cellStyle name="Обычный 7 3 6 34 2" xfId="19486"/>
    <cellStyle name="Обычный 7 3 6 34 3" xfId="19487"/>
    <cellStyle name="Обычный 7 3 6 35" xfId="19488"/>
    <cellStyle name="Обычный 7 3 6 35 2" xfId="19489"/>
    <cellStyle name="Обычный 7 3 6 35 3" xfId="19490"/>
    <cellStyle name="Обычный 7 3 6 36" xfId="19491"/>
    <cellStyle name="Обычный 7 3 6 36 2" xfId="19492"/>
    <cellStyle name="Обычный 7 3 6 36 3" xfId="19493"/>
    <cellStyle name="Обычный 7 3 6 37" xfId="19494"/>
    <cellStyle name="Обычный 7 3 6 37 2" xfId="19495"/>
    <cellStyle name="Обычный 7 3 6 37 3" xfId="19496"/>
    <cellStyle name="Обычный 7 3 6 38" xfId="19497"/>
    <cellStyle name="Обычный 7 3 6 38 2" xfId="19498"/>
    <cellStyle name="Обычный 7 3 6 38 3" xfId="19499"/>
    <cellStyle name="Обычный 7 3 6 39" xfId="19500"/>
    <cellStyle name="Обычный 7 3 6 39 2" xfId="19501"/>
    <cellStyle name="Обычный 7 3 6 39 3" xfId="19502"/>
    <cellStyle name="Обычный 7 3 6 4" xfId="19503"/>
    <cellStyle name="Обычный 7 3 6 4 2" xfId="19504"/>
    <cellStyle name="Обычный 7 3 6 4 3" xfId="19505"/>
    <cellStyle name="Обычный 7 3 6 40" xfId="19506"/>
    <cellStyle name="Обычный 7 3 6 40 2" xfId="19507"/>
    <cellStyle name="Обычный 7 3 6 40 3" xfId="19508"/>
    <cellStyle name="Обычный 7 3 6 41" xfId="19509"/>
    <cellStyle name="Обычный 7 3 6 41 2" xfId="19510"/>
    <cellStyle name="Обычный 7 3 6 41 3" xfId="19511"/>
    <cellStyle name="Обычный 7 3 6 42" xfId="19512"/>
    <cellStyle name="Обычный 7 3 6 42 2" xfId="19513"/>
    <cellStyle name="Обычный 7 3 6 42 3" xfId="19514"/>
    <cellStyle name="Обычный 7 3 6 43" xfId="19515"/>
    <cellStyle name="Обычный 7 3 6 43 2" xfId="19516"/>
    <cellStyle name="Обычный 7 3 6 43 3" xfId="19517"/>
    <cellStyle name="Обычный 7 3 6 44" xfId="19518"/>
    <cellStyle name="Обычный 7 3 6 44 2" xfId="19519"/>
    <cellStyle name="Обычный 7 3 6 44 3" xfId="19520"/>
    <cellStyle name="Обычный 7 3 6 45" xfId="19521"/>
    <cellStyle name="Обычный 7 3 6 45 2" xfId="19522"/>
    <cellStyle name="Обычный 7 3 6 45 3" xfId="19523"/>
    <cellStyle name="Обычный 7 3 6 46" xfId="19524"/>
    <cellStyle name="Обычный 7 3 6 46 2" xfId="19525"/>
    <cellStyle name="Обычный 7 3 6 46 3" xfId="19526"/>
    <cellStyle name="Обычный 7 3 6 47" xfId="19527"/>
    <cellStyle name="Обычный 7 3 6 47 2" xfId="19528"/>
    <cellStyle name="Обычный 7 3 6 47 3" xfId="19529"/>
    <cellStyle name="Обычный 7 3 6 48" xfId="19530"/>
    <cellStyle name="Обычный 7 3 6 48 2" xfId="19531"/>
    <cellStyle name="Обычный 7 3 6 48 3" xfId="19532"/>
    <cellStyle name="Обычный 7 3 6 49" xfId="19533"/>
    <cellStyle name="Обычный 7 3 6 49 2" xfId="19534"/>
    <cellStyle name="Обычный 7 3 6 49 3" xfId="19535"/>
    <cellStyle name="Обычный 7 3 6 5" xfId="19536"/>
    <cellStyle name="Обычный 7 3 6 5 2" xfId="19537"/>
    <cellStyle name="Обычный 7 3 6 5 3" xfId="19538"/>
    <cellStyle name="Обычный 7 3 6 50" xfId="19539"/>
    <cellStyle name="Обычный 7 3 6 50 2" xfId="19540"/>
    <cellStyle name="Обычный 7 3 6 50 3" xfId="19541"/>
    <cellStyle name="Обычный 7 3 6 51" xfId="19542"/>
    <cellStyle name="Обычный 7 3 6 51 2" xfId="19543"/>
    <cellStyle name="Обычный 7 3 6 51 3" xfId="19544"/>
    <cellStyle name="Обычный 7 3 6 52" xfId="19545"/>
    <cellStyle name="Обычный 7 3 6 52 2" xfId="19546"/>
    <cellStyle name="Обычный 7 3 6 52 3" xfId="19547"/>
    <cellStyle name="Обычный 7 3 6 53" xfId="19548"/>
    <cellStyle name="Обычный 7 3 6 53 2" xfId="19549"/>
    <cellStyle name="Обычный 7 3 6 53 3" xfId="19550"/>
    <cellStyle name="Обычный 7 3 6 54" xfId="19551"/>
    <cellStyle name="Обычный 7 3 6 54 2" xfId="19552"/>
    <cellStyle name="Обычный 7 3 6 54 3" xfId="19553"/>
    <cellStyle name="Обычный 7 3 6 55" xfId="19554"/>
    <cellStyle name="Обычный 7 3 6 55 2" xfId="19555"/>
    <cellStyle name="Обычный 7 3 6 55 3" xfId="19556"/>
    <cellStyle name="Обычный 7 3 6 56" xfId="19557"/>
    <cellStyle name="Обычный 7 3 6 56 2" xfId="19558"/>
    <cellStyle name="Обычный 7 3 6 56 3" xfId="19559"/>
    <cellStyle name="Обычный 7 3 6 57" xfId="19560"/>
    <cellStyle name="Обычный 7 3 6 57 2" xfId="19561"/>
    <cellStyle name="Обычный 7 3 6 57 3" xfId="19562"/>
    <cellStyle name="Обычный 7 3 6 58" xfId="19563"/>
    <cellStyle name="Обычный 7 3 6 58 2" xfId="19564"/>
    <cellStyle name="Обычный 7 3 6 58 3" xfId="19565"/>
    <cellStyle name="Обычный 7 3 6 59" xfId="19566"/>
    <cellStyle name="Обычный 7 3 6 59 2" xfId="19567"/>
    <cellStyle name="Обычный 7 3 6 59 3" xfId="19568"/>
    <cellStyle name="Обычный 7 3 6 6" xfId="19569"/>
    <cellStyle name="Обычный 7 3 6 6 2" xfId="19570"/>
    <cellStyle name="Обычный 7 3 6 6 3" xfId="19571"/>
    <cellStyle name="Обычный 7 3 6 60" xfId="19572"/>
    <cellStyle name="Обычный 7 3 6 60 2" xfId="19573"/>
    <cellStyle name="Обычный 7 3 6 60 3" xfId="19574"/>
    <cellStyle name="Обычный 7 3 6 61" xfId="19575"/>
    <cellStyle name="Обычный 7 3 6 61 2" xfId="19576"/>
    <cellStyle name="Обычный 7 3 6 61 3" xfId="19577"/>
    <cellStyle name="Обычный 7 3 6 62" xfId="19578"/>
    <cellStyle name="Обычный 7 3 6 62 2" xfId="19579"/>
    <cellStyle name="Обычный 7 3 6 62 3" xfId="19580"/>
    <cellStyle name="Обычный 7 3 6 63" xfId="19581"/>
    <cellStyle name="Обычный 7 3 6 63 2" xfId="19582"/>
    <cellStyle name="Обычный 7 3 6 63 3" xfId="19583"/>
    <cellStyle name="Обычный 7 3 6 64" xfId="19584"/>
    <cellStyle name="Обычный 7 3 6 65" xfId="19585"/>
    <cellStyle name="Обычный 7 3 6 7" xfId="19586"/>
    <cellStyle name="Обычный 7 3 6 7 2" xfId="19587"/>
    <cellStyle name="Обычный 7 3 6 7 3" xfId="19588"/>
    <cellStyle name="Обычный 7 3 6 8" xfId="19589"/>
    <cellStyle name="Обычный 7 3 6 8 2" xfId="19590"/>
    <cellStyle name="Обычный 7 3 6 8 3" xfId="19591"/>
    <cellStyle name="Обычный 7 3 6 9" xfId="19592"/>
    <cellStyle name="Обычный 7 3 6 9 2" xfId="19593"/>
    <cellStyle name="Обычный 7 3 6 9 3" xfId="19594"/>
    <cellStyle name="Обычный 7 3 60" xfId="19595"/>
    <cellStyle name="Обычный 7 3 60 2" xfId="19596"/>
    <cellStyle name="Обычный 7 3 60 3" xfId="19597"/>
    <cellStyle name="Обычный 7 3 61" xfId="19598"/>
    <cellStyle name="Обычный 7 3 61 2" xfId="19599"/>
    <cellStyle name="Обычный 7 3 61 3" xfId="19600"/>
    <cellStyle name="Обычный 7 3 62" xfId="19601"/>
    <cellStyle name="Обычный 7 3 62 2" xfId="19602"/>
    <cellStyle name="Обычный 7 3 62 3" xfId="19603"/>
    <cellStyle name="Обычный 7 3 63" xfId="19604"/>
    <cellStyle name="Обычный 7 3 63 2" xfId="19605"/>
    <cellStyle name="Обычный 7 3 63 3" xfId="19606"/>
    <cellStyle name="Обычный 7 3 64" xfId="19607"/>
    <cellStyle name="Обычный 7 3 64 2" xfId="19608"/>
    <cellStyle name="Обычный 7 3 64 3" xfId="19609"/>
    <cellStyle name="Обычный 7 3 65" xfId="19610"/>
    <cellStyle name="Обычный 7 3 65 2" xfId="19611"/>
    <cellStyle name="Обычный 7 3 65 3" xfId="19612"/>
    <cellStyle name="Обычный 7 3 66" xfId="19613"/>
    <cellStyle name="Обычный 7 3 66 2" xfId="19614"/>
    <cellStyle name="Обычный 7 3 66 3" xfId="19615"/>
    <cellStyle name="Обычный 7 3 67" xfId="19616"/>
    <cellStyle name="Обычный 7 3 67 2" xfId="19617"/>
    <cellStyle name="Обычный 7 3 67 3" xfId="19618"/>
    <cellStyle name="Обычный 7 3 68" xfId="19619"/>
    <cellStyle name="Обычный 7 3 68 2" xfId="19620"/>
    <cellStyle name="Обычный 7 3 68 3" xfId="19621"/>
    <cellStyle name="Обычный 7 3 69" xfId="19622"/>
    <cellStyle name="Обычный 7 3 69 2" xfId="19623"/>
    <cellStyle name="Обычный 7 3 69 3" xfId="19624"/>
    <cellStyle name="Обычный 7 3 7" xfId="19625"/>
    <cellStyle name="Обычный 7 3 7 10" xfId="19626"/>
    <cellStyle name="Обычный 7 3 7 10 2" xfId="19627"/>
    <cellStyle name="Обычный 7 3 7 10 3" xfId="19628"/>
    <cellStyle name="Обычный 7 3 7 11" xfId="19629"/>
    <cellStyle name="Обычный 7 3 7 11 2" xfId="19630"/>
    <cellStyle name="Обычный 7 3 7 11 3" xfId="19631"/>
    <cellStyle name="Обычный 7 3 7 12" xfId="19632"/>
    <cellStyle name="Обычный 7 3 7 12 2" xfId="19633"/>
    <cellStyle name="Обычный 7 3 7 12 3" xfId="19634"/>
    <cellStyle name="Обычный 7 3 7 13" xfId="19635"/>
    <cellStyle name="Обычный 7 3 7 13 2" xfId="19636"/>
    <cellStyle name="Обычный 7 3 7 13 3" xfId="19637"/>
    <cellStyle name="Обычный 7 3 7 14" xfId="19638"/>
    <cellStyle name="Обычный 7 3 7 14 2" xfId="19639"/>
    <cellStyle name="Обычный 7 3 7 14 3" xfId="19640"/>
    <cellStyle name="Обычный 7 3 7 15" xfId="19641"/>
    <cellStyle name="Обычный 7 3 7 15 2" xfId="19642"/>
    <cellStyle name="Обычный 7 3 7 15 3" xfId="19643"/>
    <cellStyle name="Обычный 7 3 7 16" xfId="19644"/>
    <cellStyle name="Обычный 7 3 7 16 2" xfId="19645"/>
    <cellStyle name="Обычный 7 3 7 16 3" xfId="19646"/>
    <cellStyle name="Обычный 7 3 7 17" xfId="19647"/>
    <cellStyle name="Обычный 7 3 7 17 2" xfId="19648"/>
    <cellStyle name="Обычный 7 3 7 17 3" xfId="19649"/>
    <cellStyle name="Обычный 7 3 7 18" xfId="19650"/>
    <cellStyle name="Обычный 7 3 7 18 2" xfId="19651"/>
    <cellStyle name="Обычный 7 3 7 18 3" xfId="19652"/>
    <cellStyle name="Обычный 7 3 7 19" xfId="19653"/>
    <cellStyle name="Обычный 7 3 7 19 2" xfId="19654"/>
    <cellStyle name="Обычный 7 3 7 19 3" xfId="19655"/>
    <cellStyle name="Обычный 7 3 7 2" xfId="19656"/>
    <cellStyle name="Обычный 7 3 7 2 2" xfId="19657"/>
    <cellStyle name="Обычный 7 3 7 2 3" xfId="19658"/>
    <cellStyle name="Обычный 7 3 7 20" xfId="19659"/>
    <cellStyle name="Обычный 7 3 7 20 2" xfId="19660"/>
    <cellStyle name="Обычный 7 3 7 20 3" xfId="19661"/>
    <cellStyle name="Обычный 7 3 7 21" xfId="19662"/>
    <cellStyle name="Обычный 7 3 7 21 2" xfId="19663"/>
    <cellStyle name="Обычный 7 3 7 21 3" xfId="19664"/>
    <cellStyle name="Обычный 7 3 7 22" xfId="19665"/>
    <cellStyle name="Обычный 7 3 7 22 2" xfId="19666"/>
    <cellStyle name="Обычный 7 3 7 22 3" xfId="19667"/>
    <cellStyle name="Обычный 7 3 7 23" xfId="19668"/>
    <cellStyle name="Обычный 7 3 7 23 2" xfId="19669"/>
    <cellStyle name="Обычный 7 3 7 23 3" xfId="19670"/>
    <cellStyle name="Обычный 7 3 7 24" xfId="19671"/>
    <cellStyle name="Обычный 7 3 7 24 2" xfId="19672"/>
    <cellStyle name="Обычный 7 3 7 24 3" xfId="19673"/>
    <cellStyle name="Обычный 7 3 7 25" xfId="19674"/>
    <cellStyle name="Обычный 7 3 7 25 2" xfId="19675"/>
    <cellStyle name="Обычный 7 3 7 25 3" xfId="19676"/>
    <cellStyle name="Обычный 7 3 7 26" xfId="19677"/>
    <cellStyle name="Обычный 7 3 7 26 2" xfId="19678"/>
    <cellStyle name="Обычный 7 3 7 26 3" xfId="19679"/>
    <cellStyle name="Обычный 7 3 7 27" xfId="19680"/>
    <cellStyle name="Обычный 7 3 7 27 2" xfId="19681"/>
    <cellStyle name="Обычный 7 3 7 27 3" xfId="19682"/>
    <cellStyle name="Обычный 7 3 7 28" xfId="19683"/>
    <cellStyle name="Обычный 7 3 7 28 2" xfId="19684"/>
    <cellStyle name="Обычный 7 3 7 28 3" xfId="19685"/>
    <cellStyle name="Обычный 7 3 7 29" xfId="19686"/>
    <cellStyle name="Обычный 7 3 7 29 2" xfId="19687"/>
    <cellStyle name="Обычный 7 3 7 29 3" xfId="19688"/>
    <cellStyle name="Обычный 7 3 7 3" xfId="19689"/>
    <cellStyle name="Обычный 7 3 7 3 2" xfId="19690"/>
    <cellStyle name="Обычный 7 3 7 3 3" xfId="19691"/>
    <cellStyle name="Обычный 7 3 7 30" xfId="19692"/>
    <cellStyle name="Обычный 7 3 7 30 2" xfId="19693"/>
    <cellStyle name="Обычный 7 3 7 30 3" xfId="19694"/>
    <cellStyle name="Обычный 7 3 7 31" xfId="19695"/>
    <cellStyle name="Обычный 7 3 7 31 2" xfId="19696"/>
    <cellStyle name="Обычный 7 3 7 31 3" xfId="19697"/>
    <cellStyle name="Обычный 7 3 7 32" xfId="19698"/>
    <cellStyle name="Обычный 7 3 7 32 2" xfId="19699"/>
    <cellStyle name="Обычный 7 3 7 32 3" xfId="19700"/>
    <cellStyle name="Обычный 7 3 7 33" xfId="19701"/>
    <cellStyle name="Обычный 7 3 7 33 2" xfId="19702"/>
    <cellStyle name="Обычный 7 3 7 33 3" xfId="19703"/>
    <cellStyle name="Обычный 7 3 7 34" xfId="19704"/>
    <cellStyle name="Обычный 7 3 7 34 2" xfId="19705"/>
    <cellStyle name="Обычный 7 3 7 34 3" xfId="19706"/>
    <cellStyle name="Обычный 7 3 7 35" xfId="19707"/>
    <cellStyle name="Обычный 7 3 7 35 2" xfId="19708"/>
    <cellStyle name="Обычный 7 3 7 35 3" xfId="19709"/>
    <cellStyle name="Обычный 7 3 7 36" xfId="19710"/>
    <cellStyle name="Обычный 7 3 7 36 2" xfId="19711"/>
    <cellStyle name="Обычный 7 3 7 36 3" xfId="19712"/>
    <cellStyle name="Обычный 7 3 7 37" xfId="19713"/>
    <cellStyle name="Обычный 7 3 7 37 2" xfId="19714"/>
    <cellStyle name="Обычный 7 3 7 37 3" xfId="19715"/>
    <cellStyle name="Обычный 7 3 7 38" xfId="19716"/>
    <cellStyle name="Обычный 7 3 7 38 2" xfId="19717"/>
    <cellStyle name="Обычный 7 3 7 38 3" xfId="19718"/>
    <cellStyle name="Обычный 7 3 7 39" xfId="19719"/>
    <cellStyle name="Обычный 7 3 7 39 2" xfId="19720"/>
    <cellStyle name="Обычный 7 3 7 39 3" xfId="19721"/>
    <cellStyle name="Обычный 7 3 7 4" xfId="19722"/>
    <cellStyle name="Обычный 7 3 7 4 2" xfId="19723"/>
    <cellStyle name="Обычный 7 3 7 4 3" xfId="19724"/>
    <cellStyle name="Обычный 7 3 7 40" xfId="19725"/>
    <cellStyle name="Обычный 7 3 7 40 2" xfId="19726"/>
    <cellStyle name="Обычный 7 3 7 40 3" xfId="19727"/>
    <cellStyle name="Обычный 7 3 7 41" xfId="19728"/>
    <cellStyle name="Обычный 7 3 7 41 2" xfId="19729"/>
    <cellStyle name="Обычный 7 3 7 41 3" xfId="19730"/>
    <cellStyle name="Обычный 7 3 7 42" xfId="19731"/>
    <cellStyle name="Обычный 7 3 7 42 2" xfId="19732"/>
    <cellStyle name="Обычный 7 3 7 42 3" xfId="19733"/>
    <cellStyle name="Обычный 7 3 7 43" xfId="19734"/>
    <cellStyle name="Обычный 7 3 7 43 2" xfId="19735"/>
    <cellStyle name="Обычный 7 3 7 43 3" xfId="19736"/>
    <cellStyle name="Обычный 7 3 7 44" xfId="19737"/>
    <cellStyle name="Обычный 7 3 7 44 2" xfId="19738"/>
    <cellStyle name="Обычный 7 3 7 44 3" xfId="19739"/>
    <cellStyle name="Обычный 7 3 7 45" xfId="19740"/>
    <cellStyle name="Обычный 7 3 7 45 2" xfId="19741"/>
    <cellStyle name="Обычный 7 3 7 45 3" xfId="19742"/>
    <cellStyle name="Обычный 7 3 7 46" xfId="19743"/>
    <cellStyle name="Обычный 7 3 7 46 2" xfId="19744"/>
    <cellStyle name="Обычный 7 3 7 46 3" xfId="19745"/>
    <cellStyle name="Обычный 7 3 7 47" xfId="19746"/>
    <cellStyle name="Обычный 7 3 7 47 2" xfId="19747"/>
    <cellStyle name="Обычный 7 3 7 47 3" xfId="19748"/>
    <cellStyle name="Обычный 7 3 7 48" xfId="19749"/>
    <cellStyle name="Обычный 7 3 7 48 2" xfId="19750"/>
    <cellStyle name="Обычный 7 3 7 48 3" xfId="19751"/>
    <cellStyle name="Обычный 7 3 7 49" xfId="19752"/>
    <cellStyle name="Обычный 7 3 7 49 2" xfId="19753"/>
    <cellStyle name="Обычный 7 3 7 49 3" xfId="19754"/>
    <cellStyle name="Обычный 7 3 7 5" xfId="19755"/>
    <cellStyle name="Обычный 7 3 7 5 2" xfId="19756"/>
    <cellStyle name="Обычный 7 3 7 5 3" xfId="19757"/>
    <cellStyle name="Обычный 7 3 7 50" xfId="19758"/>
    <cellStyle name="Обычный 7 3 7 50 2" xfId="19759"/>
    <cellStyle name="Обычный 7 3 7 50 3" xfId="19760"/>
    <cellStyle name="Обычный 7 3 7 51" xfId="19761"/>
    <cellStyle name="Обычный 7 3 7 51 2" xfId="19762"/>
    <cellStyle name="Обычный 7 3 7 51 3" xfId="19763"/>
    <cellStyle name="Обычный 7 3 7 52" xfId="19764"/>
    <cellStyle name="Обычный 7 3 7 52 2" xfId="19765"/>
    <cellStyle name="Обычный 7 3 7 52 3" xfId="19766"/>
    <cellStyle name="Обычный 7 3 7 53" xfId="19767"/>
    <cellStyle name="Обычный 7 3 7 53 2" xfId="19768"/>
    <cellStyle name="Обычный 7 3 7 53 3" xfId="19769"/>
    <cellStyle name="Обычный 7 3 7 54" xfId="19770"/>
    <cellStyle name="Обычный 7 3 7 54 2" xfId="19771"/>
    <cellStyle name="Обычный 7 3 7 54 3" xfId="19772"/>
    <cellStyle name="Обычный 7 3 7 55" xfId="19773"/>
    <cellStyle name="Обычный 7 3 7 55 2" xfId="19774"/>
    <cellStyle name="Обычный 7 3 7 55 3" xfId="19775"/>
    <cellStyle name="Обычный 7 3 7 56" xfId="19776"/>
    <cellStyle name="Обычный 7 3 7 56 2" xfId="19777"/>
    <cellStyle name="Обычный 7 3 7 56 3" xfId="19778"/>
    <cellStyle name="Обычный 7 3 7 57" xfId="19779"/>
    <cellStyle name="Обычный 7 3 7 57 2" xfId="19780"/>
    <cellStyle name="Обычный 7 3 7 57 3" xfId="19781"/>
    <cellStyle name="Обычный 7 3 7 58" xfId="19782"/>
    <cellStyle name="Обычный 7 3 7 58 2" xfId="19783"/>
    <cellStyle name="Обычный 7 3 7 58 3" xfId="19784"/>
    <cellStyle name="Обычный 7 3 7 59" xfId="19785"/>
    <cellStyle name="Обычный 7 3 7 59 2" xfId="19786"/>
    <cellStyle name="Обычный 7 3 7 59 3" xfId="19787"/>
    <cellStyle name="Обычный 7 3 7 6" xfId="19788"/>
    <cellStyle name="Обычный 7 3 7 6 2" xfId="19789"/>
    <cellStyle name="Обычный 7 3 7 6 3" xfId="19790"/>
    <cellStyle name="Обычный 7 3 7 60" xfId="19791"/>
    <cellStyle name="Обычный 7 3 7 60 2" xfId="19792"/>
    <cellStyle name="Обычный 7 3 7 60 3" xfId="19793"/>
    <cellStyle name="Обычный 7 3 7 61" xfId="19794"/>
    <cellStyle name="Обычный 7 3 7 61 2" xfId="19795"/>
    <cellStyle name="Обычный 7 3 7 61 3" xfId="19796"/>
    <cellStyle name="Обычный 7 3 7 62" xfId="19797"/>
    <cellStyle name="Обычный 7 3 7 62 2" xfId="19798"/>
    <cellStyle name="Обычный 7 3 7 62 3" xfId="19799"/>
    <cellStyle name="Обычный 7 3 7 63" xfId="19800"/>
    <cellStyle name="Обычный 7 3 7 63 2" xfId="19801"/>
    <cellStyle name="Обычный 7 3 7 63 3" xfId="19802"/>
    <cellStyle name="Обычный 7 3 7 64" xfId="19803"/>
    <cellStyle name="Обычный 7 3 7 65" xfId="19804"/>
    <cellStyle name="Обычный 7 3 7 7" xfId="19805"/>
    <cellStyle name="Обычный 7 3 7 7 2" xfId="19806"/>
    <cellStyle name="Обычный 7 3 7 7 3" xfId="19807"/>
    <cellStyle name="Обычный 7 3 7 8" xfId="19808"/>
    <cellStyle name="Обычный 7 3 7 8 2" xfId="19809"/>
    <cellStyle name="Обычный 7 3 7 8 3" xfId="19810"/>
    <cellStyle name="Обычный 7 3 7 9" xfId="19811"/>
    <cellStyle name="Обычный 7 3 7 9 2" xfId="19812"/>
    <cellStyle name="Обычный 7 3 7 9 3" xfId="19813"/>
    <cellStyle name="Обычный 7 3 70" xfId="19814"/>
    <cellStyle name="Обычный 7 3 70 2" xfId="19815"/>
    <cellStyle name="Обычный 7 3 70 3" xfId="19816"/>
    <cellStyle name="Обычный 7 3 71" xfId="19817"/>
    <cellStyle name="Обычный 7 3 72" xfId="19818"/>
    <cellStyle name="Обычный 7 3 8" xfId="19819"/>
    <cellStyle name="Обычный 7 3 8 10" xfId="19820"/>
    <cellStyle name="Обычный 7 3 8 10 2" xfId="19821"/>
    <cellStyle name="Обычный 7 3 8 10 3" xfId="19822"/>
    <cellStyle name="Обычный 7 3 8 11" xfId="19823"/>
    <cellStyle name="Обычный 7 3 8 11 2" xfId="19824"/>
    <cellStyle name="Обычный 7 3 8 11 3" xfId="19825"/>
    <cellStyle name="Обычный 7 3 8 12" xfId="19826"/>
    <cellStyle name="Обычный 7 3 8 12 2" xfId="19827"/>
    <cellStyle name="Обычный 7 3 8 12 3" xfId="19828"/>
    <cellStyle name="Обычный 7 3 8 13" xfId="19829"/>
    <cellStyle name="Обычный 7 3 8 13 2" xfId="19830"/>
    <cellStyle name="Обычный 7 3 8 13 3" xfId="19831"/>
    <cellStyle name="Обычный 7 3 8 14" xfId="19832"/>
    <cellStyle name="Обычный 7 3 8 14 2" xfId="19833"/>
    <cellStyle name="Обычный 7 3 8 14 3" xfId="19834"/>
    <cellStyle name="Обычный 7 3 8 15" xfId="19835"/>
    <cellStyle name="Обычный 7 3 8 15 2" xfId="19836"/>
    <cellStyle name="Обычный 7 3 8 15 3" xfId="19837"/>
    <cellStyle name="Обычный 7 3 8 16" xfId="19838"/>
    <cellStyle name="Обычный 7 3 8 16 2" xfId="19839"/>
    <cellStyle name="Обычный 7 3 8 16 3" xfId="19840"/>
    <cellStyle name="Обычный 7 3 8 17" xfId="19841"/>
    <cellStyle name="Обычный 7 3 8 17 2" xfId="19842"/>
    <cellStyle name="Обычный 7 3 8 17 3" xfId="19843"/>
    <cellStyle name="Обычный 7 3 8 18" xfId="19844"/>
    <cellStyle name="Обычный 7 3 8 18 2" xfId="19845"/>
    <cellStyle name="Обычный 7 3 8 18 3" xfId="19846"/>
    <cellStyle name="Обычный 7 3 8 19" xfId="19847"/>
    <cellStyle name="Обычный 7 3 8 19 2" xfId="19848"/>
    <cellStyle name="Обычный 7 3 8 19 3" xfId="19849"/>
    <cellStyle name="Обычный 7 3 8 2" xfId="19850"/>
    <cellStyle name="Обычный 7 3 8 2 2" xfId="19851"/>
    <cellStyle name="Обычный 7 3 8 2 3" xfId="19852"/>
    <cellStyle name="Обычный 7 3 8 20" xfId="19853"/>
    <cellStyle name="Обычный 7 3 8 20 2" xfId="19854"/>
    <cellStyle name="Обычный 7 3 8 20 3" xfId="19855"/>
    <cellStyle name="Обычный 7 3 8 21" xfId="19856"/>
    <cellStyle name="Обычный 7 3 8 21 2" xfId="19857"/>
    <cellStyle name="Обычный 7 3 8 21 3" xfId="19858"/>
    <cellStyle name="Обычный 7 3 8 22" xfId="19859"/>
    <cellStyle name="Обычный 7 3 8 22 2" xfId="19860"/>
    <cellStyle name="Обычный 7 3 8 22 3" xfId="19861"/>
    <cellStyle name="Обычный 7 3 8 23" xfId="19862"/>
    <cellStyle name="Обычный 7 3 8 23 2" xfId="19863"/>
    <cellStyle name="Обычный 7 3 8 23 3" xfId="19864"/>
    <cellStyle name="Обычный 7 3 8 24" xfId="19865"/>
    <cellStyle name="Обычный 7 3 8 24 2" xfId="19866"/>
    <cellStyle name="Обычный 7 3 8 24 3" xfId="19867"/>
    <cellStyle name="Обычный 7 3 8 25" xfId="19868"/>
    <cellStyle name="Обычный 7 3 8 25 2" xfId="19869"/>
    <cellStyle name="Обычный 7 3 8 25 3" xfId="19870"/>
    <cellStyle name="Обычный 7 3 8 26" xfId="19871"/>
    <cellStyle name="Обычный 7 3 8 26 2" xfId="19872"/>
    <cellStyle name="Обычный 7 3 8 26 3" xfId="19873"/>
    <cellStyle name="Обычный 7 3 8 27" xfId="19874"/>
    <cellStyle name="Обычный 7 3 8 27 2" xfId="19875"/>
    <cellStyle name="Обычный 7 3 8 27 3" xfId="19876"/>
    <cellStyle name="Обычный 7 3 8 28" xfId="19877"/>
    <cellStyle name="Обычный 7 3 8 28 2" xfId="19878"/>
    <cellStyle name="Обычный 7 3 8 28 3" xfId="19879"/>
    <cellStyle name="Обычный 7 3 8 29" xfId="19880"/>
    <cellStyle name="Обычный 7 3 8 29 2" xfId="19881"/>
    <cellStyle name="Обычный 7 3 8 29 3" xfId="19882"/>
    <cellStyle name="Обычный 7 3 8 3" xfId="19883"/>
    <cellStyle name="Обычный 7 3 8 3 2" xfId="19884"/>
    <cellStyle name="Обычный 7 3 8 3 3" xfId="19885"/>
    <cellStyle name="Обычный 7 3 8 30" xfId="19886"/>
    <cellStyle name="Обычный 7 3 8 30 2" xfId="19887"/>
    <cellStyle name="Обычный 7 3 8 30 3" xfId="19888"/>
    <cellStyle name="Обычный 7 3 8 31" xfId="19889"/>
    <cellStyle name="Обычный 7 3 8 31 2" xfId="19890"/>
    <cellStyle name="Обычный 7 3 8 31 3" xfId="19891"/>
    <cellStyle name="Обычный 7 3 8 32" xfId="19892"/>
    <cellStyle name="Обычный 7 3 8 32 2" xfId="19893"/>
    <cellStyle name="Обычный 7 3 8 32 3" xfId="19894"/>
    <cellStyle name="Обычный 7 3 8 33" xfId="19895"/>
    <cellStyle name="Обычный 7 3 8 33 2" xfId="19896"/>
    <cellStyle name="Обычный 7 3 8 33 3" xfId="19897"/>
    <cellStyle name="Обычный 7 3 8 34" xfId="19898"/>
    <cellStyle name="Обычный 7 3 8 34 2" xfId="19899"/>
    <cellStyle name="Обычный 7 3 8 34 3" xfId="19900"/>
    <cellStyle name="Обычный 7 3 8 35" xfId="19901"/>
    <cellStyle name="Обычный 7 3 8 35 2" xfId="19902"/>
    <cellStyle name="Обычный 7 3 8 35 3" xfId="19903"/>
    <cellStyle name="Обычный 7 3 8 36" xfId="19904"/>
    <cellStyle name="Обычный 7 3 8 36 2" xfId="19905"/>
    <cellStyle name="Обычный 7 3 8 36 3" xfId="19906"/>
    <cellStyle name="Обычный 7 3 8 37" xfId="19907"/>
    <cellStyle name="Обычный 7 3 8 37 2" xfId="19908"/>
    <cellStyle name="Обычный 7 3 8 37 3" xfId="19909"/>
    <cellStyle name="Обычный 7 3 8 38" xfId="19910"/>
    <cellStyle name="Обычный 7 3 8 38 2" xfId="19911"/>
    <cellStyle name="Обычный 7 3 8 38 3" xfId="19912"/>
    <cellStyle name="Обычный 7 3 8 39" xfId="19913"/>
    <cellStyle name="Обычный 7 3 8 39 2" xfId="19914"/>
    <cellStyle name="Обычный 7 3 8 39 3" xfId="19915"/>
    <cellStyle name="Обычный 7 3 8 4" xfId="19916"/>
    <cellStyle name="Обычный 7 3 8 4 2" xfId="19917"/>
    <cellStyle name="Обычный 7 3 8 4 3" xfId="19918"/>
    <cellStyle name="Обычный 7 3 8 40" xfId="19919"/>
    <cellStyle name="Обычный 7 3 8 40 2" xfId="19920"/>
    <cellStyle name="Обычный 7 3 8 40 3" xfId="19921"/>
    <cellStyle name="Обычный 7 3 8 41" xfId="19922"/>
    <cellStyle name="Обычный 7 3 8 41 2" xfId="19923"/>
    <cellStyle name="Обычный 7 3 8 41 3" xfId="19924"/>
    <cellStyle name="Обычный 7 3 8 42" xfId="19925"/>
    <cellStyle name="Обычный 7 3 8 42 2" xfId="19926"/>
    <cellStyle name="Обычный 7 3 8 42 3" xfId="19927"/>
    <cellStyle name="Обычный 7 3 8 43" xfId="19928"/>
    <cellStyle name="Обычный 7 3 8 43 2" xfId="19929"/>
    <cellStyle name="Обычный 7 3 8 43 3" xfId="19930"/>
    <cellStyle name="Обычный 7 3 8 44" xfId="19931"/>
    <cellStyle name="Обычный 7 3 8 44 2" xfId="19932"/>
    <cellStyle name="Обычный 7 3 8 44 3" xfId="19933"/>
    <cellStyle name="Обычный 7 3 8 45" xfId="19934"/>
    <cellStyle name="Обычный 7 3 8 45 2" xfId="19935"/>
    <cellStyle name="Обычный 7 3 8 45 3" xfId="19936"/>
    <cellStyle name="Обычный 7 3 8 46" xfId="19937"/>
    <cellStyle name="Обычный 7 3 8 46 2" xfId="19938"/>
    <cellStyle name="Обычный 7 3 8 46 3" xfId="19939"/>
    <cellStyle name="Обычный 7 3 8 47" xfId="19940"/>
    <cellStyle name="Обычный 7 3 8 47 2" xfId="19941"/>
    <cellStyle name="Обычный 7 3 8 47 3" xfId="19942"/>
    <cellStyle name="Обычный 7 3 8 48" xfId="19943"/>
    <cellStyle name="Обычный 7 3 8 48 2" xfId="19944"/>
    <cellStyle name="Обычный 7 3 8 48 3" xfId="19945"/>
    <cellStyle name="Обычный 7 3 8 49" xfId="19946"/>
    <cellStyle name="Обычный 7 3 8 49 2" xfId="19947"/>
    <cellStyle name="Обычный 7 3 8 49 3" xfId="19948"/>
    <cellStyle name="Обычный 7 3 8 5" xfId="19949"/>
    <cellStyle name="Обычный 7 3 8 5 2" xfId="19950"/>
    <cellStyle name="Обычный 7 3 8 5 3" xfId="19951"/>
    <cellStyle name="Обычный 7 3 8 50" xfId="19952"/>
    <cellStyle name="Обычный 7 3 8 50 2" xfId="19953"/>
    <cellStyle name="Обычный 7 3 8 50 3" xfId="19954"/>
    <cellStyle name="Обычный 7 3 8 51" xfId="19955"/>
    <cellStyle name="Обычный 7 3 8 51 2" xfId="19956"/>
    <cellStyle name="Обычный 7 3 8 51 3" xfId="19957"/>
    <cellStyle name="Обычный 7 3 8 52" xfId="19958"/>
    <cellStyle name="Обычный 7 3 8 52 2" xfId="19959"/>
    <cellStyle name="Обычный 7 3 8 52 3" xfId="19960"/>
    <cellStyle name="Обычный 7 3 8 53" xfId="19961"/>
    <cellStyle name="Обычный 7 3 8 53 2" xfId="19962"/>
    <cellStyle name="Обычный 7 3 8 53 3" xfId="19963"/>
    <cellStyle name="Обычный 7 3 8 54" xfId="19964"/>
    <cellStyle name="Обычный 7 3 8 54 2" xfId="19965"/>
    <cellStyle name="Обычный 7 3 8 54 3" xfId="19966"/>
    <cellStyle name="Обычный 7 3 8 55" xfId="19967"/>
    <cellStyle name="Обычный 7 3 8 55 2" xfId="19968"/>
    <cellStyle name="Обычный 7 3 8 55 3" xfId="19969"/>
    <cellStyle name="Обычный 7 3 8 56" xfId="19970"/>
    <cellStyle name="Обычный 7 3 8 56 2" xfId="19971"/>
    <cellStyle name="Обычный 7 3 8 56 3" xfId="19972"/>
    <cellStyle name="Обычный 7 3 8 57" xfId="19973"/>
    <cellStyle name="Обычный 7 3 8 57 2" xfId="19974"/>
    <cellStyle name="Обычный 7 3 8 57 3" xfId="19975"/>
    <cellStyle name="Обычный 7 3 8 58" xfId="19976"/>
    <cellStyle name="Обычный 7 3 8 58 2" xfId="19977"/>
    <cellStyle name="Обычный 7 3 8 58 3" xfId="19978"/>
    <cellStyle name="Обычный 7 3 8 59" xfId="19979"/>
    <cellStyle name="Обычный 7 3 8 59 2" xfId="19980"/>
    <cellStyle name="Обычный 7 3 8 59 3" xfId="19981"/>
    <cellStyle name="Обычный 7 3 8 6" xfId="19982"/>
    <cellStyle name="Обычный 7 3 8 6 2" xfId="19983"/>
    <cellStyle name="Обычный 7 3 8 6 3" xfId="19984"/>
    <cellStyle name="Обычный 7 3 8 60" xfId="19985"/>
    <cellStyle name="Обычный 7 3 8 60 2" xfId="19986"/>
    <cellStyle name="Обычный 7 3 8 60 3" xfId="19987"/>
    <cellStyle name="Обычный 7 3 8 61" xfId="19988"/>
    <cellStyle name="Обычный 7 3 8 61 2" xfId="19989"/>
    <cellStyle name="Обычный 7 3 8 61 3" xfId="19990"/>
    <cellStyle name="Обычный 7 3 8 62" xfId="19991"/>
    <cellStyle name="Обычный 7 3 8 62 2" xfId="19992"/>
    <cellStyle name="Обычный 7 3 8 62 3" xfId="19993"/>
    <cellStyle name="Обычный 7 3 8 63" xfId="19994"/>
    <cellStyle name="Обычный 7 3 8 63 2" xfId="19995"/>
    <cellStyle name="Обычный 7 3 8 63 3" xfId="19996"/>
    <cellStyle name="Обычный 7 3 8 64" xfId="19997"/>
    <cellStyle name="Обычный 7 3 8 65" xfId="19998"/>
    <cellStyle name="Обычный 7 3 8 7" xfId="19999"/>
    <cellStyle name="Обычный 7 3 8 7 2" xfId="20000"/>
    <cellStyle name="Обычный 7 3 8 7 3" xfId="20001"/>
    <cellStyle name="Обычный 7 3 8 8" xfId="20002"/>
    <cellStyle name="Обычный 7 3 8 8 2" xfId="20003"/>
    <cellStyle name="Обычный 7 3 8 8 3" xfId="20004"/>
    <cellStyle name="Обычный 7 3 8 9" xfId="20005"/>
    <cellStyle name="Обычный 7 3 8 9 2" xfId="20006"/>
    <cellStyle name="Обычный 7 3 8 9 3" xfId="20007"/>
    <cellStyle name="Обычный 7 3 9" xfId="20008"/>
    <cellStyle name="Обычный 7 3 9 2" xfId="20009"/>
    <cellStyle name="Обычный 7 3 9 3" xfId="20010"/>
    <cellStyle name="Обычный 7 30" xfId="20011"/>
    <cellStyle name="Обычный 7 30 2" xfId="20012"/>
    <cellStyle name="Обычный 7 30 3" xfId="20013"/>
    <cellStyle name="Обычный 7 31" xfId="20014"/>
    <cellStyle name="Обычный 7 31 2" xfId="20015"/>
    <cellStyle name="Обычный 7 31 3" xfId="20016"/>
    <cellStyle name="Обычный 7 32" xfId="20017"/>
    <cellStyle name="Обычный 7 32 2" xfId="20018"/>
    <cellStyle name="Обычный 7 32 3" xfId="20019"/>
    <cellStyle name="Обычный 7 33" xfId="20020"/>
    <cellStyle name="Обычный 7 33 2" xfId="20021"/>
    <cellStyle name="Обычный 7 33 3" xfId="20022"/>
    <cellStyle name="Обычный 7 34" xfId="20023"/>
    <cellStyle name="Обычный 7 34 2" xfId="20024"/>
    <cellStyle name="Обычный 7 34 3" xfId="20025"/>
    <cellStyle name="Обычный 7 35" xfId="20026"/>
    <cellStyle name="Обычный 7 35 2" xfId="20027"/>
    <cellStyle name="Обычный 7 35 3" xfId="20028"/>
    <cellStyle name="Обычный 7 36" xfId="20029"/>
    <cellStyle name="Обычный 7 36 2" xfId="20030"/>
    <cellStyle name="Обычный 7 36 3" xfId="20031"/>
    <cellStyle name="Обычный 7 37" xfId="20032"/>
    <cellStyle name="Обычный 7 37 2" xfId="20033"/>
    <cellStyle name="Обычный 7 37 3" xfId="20034"/>
    <cellStyle name="Обычный 7 38" xfId="20035"/>
    <cellStyle name="Обычный 7 38 2" xfId="20036"/>
    <cellStyle name="Обычный 7 38 3" xfId="20037"/>
    <cellStyle name="Обычный 7 39" xfId="20038"/>
    <cellStyle name="Обычный 7 39 2" xfId="20039"/>
    <cellStyle name="Обычный 7 39 3" xfId="20040"/>
    <cellStyle name="Обычный 7 4" xfId="120"/>
    <cellStyle name="Обычный 7 4 10" xfId="20041"/>
    <cellStyle name="Обычный 7 4 10 2" xfId="20042"/>
    <cellStyle name="Обычный 7 4 10 3" xfId="20043"/>
    <cellStyle name="Обычный 7 4 11" xfId="20044"/>
    <cellStyle name="Обычный 7 4 11 2" xfId="20045"/>
    <cellStyle name="Обычный 7 4 11 3" xfId="20046"/>
    <cellStyle name="Обычный 7 4 12" xfId="20047"/>
    <cellStyle name="Обычный 7 4 12 2" xfId="20048"/>
    <cellStyle name="Обычный 7 4 12 3" xfId="20049"/>
    <cellStyle name="Обычный 7 4 13" xfId="20050"/>
    <cellStyle name="Обычный 7 4 13 2" xfId="20051"/>
    <cellStyle name="Обычный 7 4 13 3" xfId="20052"/>
    <cellStyle name="Обычный 7 4 14" xfId="20053"/>
    <cellStyle name="Обычный 7 4 14 2" xfId="20054"/>
    <cellStyle name="Обычный 7 4 14 3" xfId="20055"/>
    <cellStyle name="Обычный 7 4 15" xfId="20056"/>
    <cellStyle name="Обычный 7 4 15 2" xfId="20057"/>
    <cellStyle name="Обычный 7 4 15 3" xfId="20058"/>
    <cellStyle name="Обычный 7 4 16" xfId="20059"/>
    <cellStyle name="Обычный 7 4 16 2" xfId="20060"/>
    <cellStyle name="Обычный 7 4 16 3" xfId="20061"/>
    <cellStyle name="Обычный 7 4 17" xfId="20062"/>
    <cellStyle name="Обычный 7 4 17 2" xfId="20063"/>
    <cellStyle name="Обычный 7 4 17 3" xfId="20064"/>
    <cellStyle name="Обычный 7 4 18" xfId="20065"/>
    <cellStyle name="Обычный 7 4 18 2" xfId="20066"/>
    <cellStyle name="Обычный 7 4 18 3" xfId="20067"/>
    <cellStyle name="Обычный 7 4 19" xfId="20068"/>
    <cellStyle name="Обычный 7 4 19 2" xfId="20069"/>
    <cellStyle name="Обычный 7 4 19 3" xfId="20070"/>
    <cellStyle name="Обычный 7 4 2" xfId="20071"/>
    <cellStyle name="Обычный 7 4 2 10" xfId="20072"/>
    <cellStyle name="Обычный 7 4 2 10 2" xfId="20073"/>
    <cellStyle name="Обычный 7 4 2 10 3" xfId="20074"/>
    <cellStyle name="Обычный 7 4 2 11" xfId="20075"/>
    <cellStyle name="Обычный 7 4 2 11 2" xfId="20076"/>
    <cellStyle name="Обычный 7 4 2 11 3" xfId="20077"/>
    <cellStyle name="Обычный 7 4 2 12" xfId="20078"/>
    <cellStyle name="Обычный 7 4 2 12 2" xfId="20079"/>
    <cellStyle name="Обычный 7 4 2 12 3" xfId="20080"/>
    <cellStyle name="Обычный 7 4 2 13" xfId="20081"/>
    <cellStyle name="Обычный 7 4 2 13 2" xfId="20082"/>
    <cellStyle name="Обычный 7 4 2 13 3" xfId="20083"/>
    <cellStyle name="Обычный 7 4 2 14" xfId="20084"/>
    <cellStyle name="Обычный 7 4 2 14 2" xfId="20085"/>
    <cellStyle name="Обычный 7 4 2 14 3" xfId="20086"/>
    <cellStyle name="Обычный 7 4 2 15" xfId="20087"/>
    <cellStyle name="Обычный 7 4 2 15 2" xfId="20088"/>
    <cellStyle name="Обычный 7 4 2 15 3" xfId="20089"/>
    <cellStyle name="Обычный 7 4 2 16" xfId="20090"/>
    <cellStyle name="Обычный 7 4 2 16 2" xfId="20091"/>
    <cellStyle name="Обычный 7 4 2 16 3" xfId="20092"/>
    <cellStyle name="Обычный 7 4 2 17" xfId="20093"/>
    <cellStyle name="Обычный 7 4 2 17 2" xfId="20094"/>
    <cellStyle name="Обычный 7 4 2 17 3" xfId="20095"/>
    <cellStyle name="Обычный 7 4 2 18" xfId="20096"/>
    <cellStyle name="Обычный 7 4 2 18 2" xfId="20097"/>
    <cellStyle name="Обычный 7 4 2 18 3" xfId="20098"/>
    <cellStyle name="Обычный 7 4 2 19" xfId="20099"/>
    <cellStyle name="Обычный 7 4 2 19 2" xfId="20100"/>
    <cellStyle name="Обычный 7 4 2 19 3" xfId="20101"/>
    <cellStyle name="Обычный 7 4 2 2" xfId="20102"/>
    <cellStyle name="Обычный 7 4 2 2 2" xfId="20103"/>
    <cellStyle name="Обычный 7 4 2 2 3" xfId="20104"/>
    <cellStyle name="Обычный 7 4 2 20" xfId="20105"/>
    <cellStyle name="Обычный 7 4 2 20 2" xfId="20106"/>
    <cellStyle name="Обычный 7 4 2 20 3" xfId="20107"/>
    <cellStyle name="Обычный 7 4 2 21" xfId="20108"/>
    <cellStyle name="Обычный 7 4 2 21 2" xfId="20109"/>
    <cellStyle name="Обычный 7 4 2 21 3" xfId="20110"/>
    <cellStyle name="Обычный 7 4 2 22" xfId="20111"/>
    <cellStyle name="Обычный 7 4 2 22 2" xfId="20112"/>
    <cellStyle name="Обычный 7 4 2 22 3" xfId="20113"/>
    <cellStyle name="Обычный 7 4 2 23" xfId="20114"/>
    <cellStyle name="Обычный 7 4 2 23 2" xfId="20115"/>
    <cellStyle name="Обычный 7 4 2 23 3" xfId="20116"/>
    <cellStyle name="Обычный 7 4 2 24" xfId="20117"/>
    <cellStyle name="Обычный 7 4 2 24 2" xfId="20118"/>
    <cellStyle name="Обычный 7 4 2 24 3" xfId="20119"/>
    <cellStyle name="Обычный 7 4 2 25" xfId="20120"/>
    <cellStyle name="Обычный 7 4 2 25 2" xfId="20121"/>
    <cellStyle name="Обычный 7 4 2 25 3" xfId="20122"/>
    <cellStyle name="Обычный 7 4 2 26" xfId="20123"/>
    <cellStyle name="Обычный 7 4 2 26 2" xfId="20124"/>
    <cellStyle name="Обычный 7 4 2 26 3" xfId="20125"/>
    <cellStyle name="Обычный 7 4 2 27" xfId="20126"/>
    <cellStyle name="Обычный 7 4 2 27 2" xfId="20127"/>
    <cellStyle name="Обычный 7 4 2 27 3" xfId="20128"/>
    <cellStyle name="Обычный 7 4 2 28" xfId="20129"/>
    <cellStyle name="Обычный 7 4 2 28 2" xfId="20130"/>
    <cellStyle name="Обычный 7 4 2 28 3" xfId="20131"/>
    <cellStyle name="Обычный 7 4 2 29" xfId="20132"/>
    <cellStyle name="Обычный 7 4 2 29 2" xfId="20133"/>
    <cellStyle name="Обычный 7 4 2 29 3" xfId="20134"/>
    <cellStyle name="Обычный 7 4 2 3" xfId="20135"/>
    <cellStyle name="Обычный 7 4 2 3 2" xfId="20136"/>
    <cellStyle name="Обычный 7 4 2 3 3" xfId="20137"/>
    <cellStyle name="Обычный 7 4 2 30" xfId="20138"/>
    <cellStyle name="Обычный 7 4 2 30 2" xfId="20139"/>
    <cellStyle name="Обычный 7 4 2 30 3" xfId="20140"/>
    <cellStyle name="Обычный 7 4 2 31" xfId="20141"/>
    <cellStyle name="Обычный 7 4 2 31 2" xfId="20142"/>
    <cellStyle name="Обычный 7 4 2 31 3" xfId="20143"/>
    <cellStyle name="Обычный 7 4 2 32" xfId="20144"/>
    <cellStyle name="Обычный 7 4 2 32 2" xfId="20145"/>
    <cellStyle name="Обычный 7 4 2 32 3" xfId="20146"/>
    <cellStyle name="Обычный 7 4 2 33" xfId="20147"/>
    <cellStyle name="Обычный 7 4 2 33 2" xfId="20148"/>
    <cellStyle name="Обычный 7 4 2 33 3" xfId="20149"/>
    <cellStyle name="Обычный 7 4 2 34" xfId="20150"/>
    <cellStyle name="Обычный 7 4 2 34 2" xfId="20151"/>
    <cellStyle name="Обычный 7 4 2 34 3" xfId="20152"/>
    <cellStyle name="Обычный 7 4 2 35" xfId="20153"/>
    <cellStyle name="Обычный 7 4 2 35 2" xfId="20154"/>
    <cellStyle name="Обычный 7 4 2 35 3" xfId="20155"/>
    <cellStyle name="Обычный 7 4 2 36" xfId="20156"/>
    <cellStyle name="Обычный 7 4 2 36 2" xfId="20157"/>
    <cellStyle name="Обычный 7 4 2 36 3" xfId="20158"/>
    <cellStyle name="Обычный 7 4 2 37" xfId="20159"/>
    <cellStyle name="Обычный 7 4 2 37 2" xfId="20160"/>
    <cellStyle name="Обычный 7 4 2 37 3" xfId="20161"/>
    <cellStyle name="Обычный 7 4 2 38" xfId="20162"/>
    <cellStyle name="Обычный 7 4 2 38 2" xfId="20163"/>
    <cellStyle name="Обычный 7 4 2 38 3" xfId="20164"/>
    <cellStyle name="Обычный 7 4 2 39" xfId="20165"/>
    <cellStyle name="Обычный 7 4 2 39 2" xfId="20166"/>
    <cellStyle name="Обычный 7 4 2 39 3" xfId="20167"/>
    <cellStyle name="Обычный 7 4 2 4" xfId="20168"/>
    <cellStyle name="Обычный 7 4 2 4 2" xfId="20169"/>
    <cellStyle name="Обычный 7 4 2 4 3" xfId="20170"/>
    <cellStyle name="Обычный 7 4 2 40" xfId="20171"/>
    <cellStyle name="Обычный 7 4 2 40 2" xfId="20172"/>
    <cellStyle name="Обычный 7 4 2 40 3" xfId="20173"/>
    <cellStyle name="Обычный 7 4 2 41" xfId="20174"/>
    <cellStyle name="Обычный 7 4 2 41 2" xfId="20175"/>
    <cellStyle name="Обычный 7 4 2 41 3" xfId="20176"/>
    <cellStyle name="Обычный 7 4 2 42" xfId="20177"/>
    <cellStyle name="Обычный 7 4 2 42 2" xfId="20178"/>
    <cellStyle name="Обычный 7 4 2 42 3" xfId="20179"/>
    <cellStyle name="Обычный 7 4 2 43" xfId="20180"/>
    <cellStyle name="Обычный 7 4 2 43 2" xfId="20181"/>
    <cellStyle name="Обычный 7 4 2 43 3" xfId="20182"/>
    <cellStyle name="Обычный 7 4 2 44" xfId="20183"/>
    <cellStyle name="Обычный 7 4 2 44 2" xfId="20184"/>
    <cellStyle name="Обычный 7 4 2 44 3" xfId="20185"/>
    <cellStyle name="Обычный 7 4 2 45" xfId="20186"/>
    <cellStyle name="Обычный 7 4 2 45 2" xfId="20187"/>
    <cellStyle name="Обычный 7 4 2 45 3" xfId="20188"/>
    <cellStyle name="Обычный 7 4 2 46" xfId="20189"/>
    <cellStyle name="Обычный 7 4 2 46 2" xfId="20190"/>
    <cellStyle name="Обычный 7 4 2 46 3" xfId="20191"/>
    <cellStyle name="Обычный 7 4 2 47" xfId="20192"/>
    <cellStyle name="Обычный 7 4 2 47 2" xfId="20193"/>
    <cellStyle name="Обычный 7 4 2 47 3" xfId="20194"/>
    <cellStyle name="Обычный 7 4 2 48" xfId="20195"/>
    <cellStyle name="Обычный 7 4 2 48 2" xfId="20196"/>
    <cellStyle name="Обычный 7 4 2 48 3" xfId="20197"/>
    <cellStyle name="Обычный 7 4 2 49" xfId="20198"/>
    <cellStyle name="Обычный 7 4 2 49 2" xfId="20199"/>
    <cellStyle name="Обычный 7 4 2 49 3" xfId="20200"/>
    <cellStyle name="Обычный 7 4 2 5" xfId="20201"/>
    <cellStyle name="Обычный 7 4 2 5 2" xfId="20202"/>
    <cellStyle name="Обычный 7 4 2 5 3" xfId="20203"/>
    <cellStyle name="Обычный 7 4 2 50" xfId="20204"/>
    <cellStyle name="Обычный 7 4 2 50 2" xfId="20205"/>
    <cellStyle name="Обычный 7 4 2 50 3" xfId="20206"/>
    <cellStyle name="Обычный 7 4 2 51" xfId="20207"/>
    <cellStyle name="Обычный 7 4 2 51 2" xfId="20208"/>
    <cellStyle name="Обычный 7 4 2 51 3" xfId="20209"/>
    <cellStyle name="Обычный 7 4 2 52" xfId="20210"/>
    <cellStyle name="Обычный 7 4 2 52 2" xfId="20211"/>
    <cellStyle name="Обычный 7 4 2 52 3" xfId="20212"/>
    <cellStyle name="Обычный 7 4 2 53" xfId="20213"/>
    <cellStyle name="Обычный 7 4 2 53 2" xfId="20214"/>
    <cellStyle name="Обычный 7 4 2 53 3" xfId="20215"/>
    <cellStyle name="Обычный 7 4 2 54" xfId="20216"/>
    <cellStyle name="Обычный 7 4 2 54 2" xfId="20217"/>
    <cellStyle name="Обычный 7 4 2 54 3" xfId="20218"/>
    <cellStyle name="Обычный 7 4 2 55" xfId="20219"/>
    <cellStyle name="Обычный 7 4 2 55 2" xfId="20220"/>
    <cellStyle name="Обычный 7 4 2 55 3" xfId="20221"/>
    <cellStyle name="Обычный 7 4 2 56" xfId="20222"/>
    <cellStyle name="Обычный 7 4 2 56 2" xfId="20223"/>
    <cellStyle name="Обычный 7 4 2 56 3" xfId="20224"/>
    <cellStyle name="Обычный 7 4 2 57" xfId="20225"/>
    <cellStyle name="Обычный 7 4 2 57 2" xfId="20226"/>
    <cellStyle name="Обычный 7 4 2 57 3" xfId="20227"/>
    <cellStyle name="Обычный 7 4 2 58" xfId="20228"/>
    <cellStyle name="Обычный 7 4 2 58 2" xfId="20229"/>
    <cellStyle name="Обычный 7 4 2 58 3" xfId="20230"/>
    <cellStyle name="Обычный 7 4 2 59" xfId="20231"/>
    <cellStyle name="Обычный 7 4 2 59 2" xfId="20232"/>
    <cellStyle name="Обычный 7 4 2 59 3" xfId="20233"/>
    <cellStyle name="Обычный 7 4 2 6" xfId="20234"/>
    <cellStyle name="Обычный 7 4 2 6 2" xfId="20235"/>
    <cellStyle name="Обычный 7 4 2 6 3" xfId="20236"/>
    <cellStyle name="Обычный 7 4 2 60" xfId="20237"/>
    <cellStyle name="Обычный 7 4 2 60 2" xfId="20238"/>
    <cellStyle name="Обычный 7 4 2 60 3" xfId="20239"/>
    <cellStyle name="Обычный 7 4 2 61" xfId="20240"/>
    <cellStyle name="Обычный 7 4 2 61 2" xfId="20241"/>
    <cellStyle name="Обычный 7 4 2 61 3" xfId="20242"/>
    <cellStyle name="Обычный 7 4 2 62" xfId="20243"/>
    <cellStyle name="Обычный 7 4 2 62 2" xfId="20244"/>
    <cellStyle name="Обычный 7 4 2 62 3" xfId="20245"/>
    <cellStyle name="Обычный 7 4 2 63" xfId="20246"/>
    <cellStyle name="Обычный 7 4 2 63 2" xfId="20247"/>
    <cellStyle name="Обычный 7 4 2 63 3" xfId="20248"/>
    <cellStyle name="Обычный 7 4 2 64" xfId="20249"/>
    <cellStyle name="Обычный 7 4 2 65" xfId="20250"/>
    <cellStyle name="Обычный 7 4 2 7" xfId="20251"/>
    <cellStyle name="Обычный 7 4 2 7 2" xfId="20252"/>
    <cellStyle name="Обычный 7 4 2 7 3" xfId="20253"/>
    <cellStyle name="Обычный 7 4 2 8" xfId="20254"/>
    <cellStyle name="Обычный 7 4 2 8 2" xfId="20255"/>
    <cellStyle name="Обычный 7 4 2 8 3" xfId="20256"/>
    <cellStyle name="Обычный 7 4 2 9" xfId="20257"/>
    <cellStyle name="Обычный 7 4 2 9 2" xfId="20258"/>
    <cellStyle name="Обычный 7 4 2 9 3" xfId="20259"/>
    <cellStyle name="Обычный 7 4 20" xfId="20260"/>
    <cellStyle name="Обычный 7 4 20 2" xfId="20261"/>
    <cellStyle name="Обычный 7 4 20 3" xfId="20262"/>
    <cellStyle name="Обычный 7 4 21" xfId="20263"/>
    <cellStyle name="Обычный 7 4 21 2" xfId="20264"/>
    <cellStyle name="Обычный 7 4 21 3" xfId="20265"/>
    <cellStyle name="Обычный 7 4 22" xfId="20266"/>
    <cellStyle name="Обычный 7 4 22 2" xfId="20267"/>
    <cellStyle name="Обычный 7 4 22 3" xfId="20268"/>
    <cellStyle name="Обычный 7 4 23" xfId="20269"/>
    <cellStyle name="Обычный 7 4 23 2" xfId="20270"/>
    <cellStyle name="Обычный 7 4 23 3" xfId="20271"/>
    <cellStyle name="Обычный 7 4 24" xfId="20272"/>
    <cellStyle name="Обычный 7 4 24 2" xfId="20273"/>
    <cellStyle name="Обычный 7 4 24 3" xfId="20274"/>
    <cellStyle name="Обычный 7 4 25" xfId="20275"/>
    <cellStyle name="Обычный 7 4 25 2" xfId="20276"/>
    <cellStyle name="Обычный 7 4 25 3" xfId="20277"/>
    <cellStyle name="Обычный 7 4 26" xfId="20278"/>
    <cellStyle name="Обычный 7 4 26 2" xfId="20279"/>
    <cellStyle name="Обычный 7 4 26 3" xfId="20280"/>
    <cellStyle name="Обычный 7 4 27" xfId="20281"/>
    <cellStyle name="Обычный 7 4 27 2" xfId="20282"/>
    <cellStyle name="Обычный 7 4 27 3" xfId="20283"/>
    <cellStyle name="Обычный 7 4 28" xfId="20284"/>
    <cellStyle name="Обычный 7 4 28 2" xfId="20285"/>
    <cellStyle name="Обычный 7 4 28 3" xfId="20286"/>
    <cellStyle name="Обычный 7 4 29" xfId="20287"/>
    <cellStyle name="Обычный 7 4 29 2" xfId="20288"/>
    <cellStyle name="Обычный 7 4 29 3" xfId="20289"/>
    <cellStyle name="Обычный 7 4 3" xfId="20290"/>
    <cellStyle name="Обычный 7 4 3 10" xfId="20291"/>
    <cellStyle name="Обычный 7 4 3 10 2" xfId="20292"/>
    <cellStyle name="Обычный 7 4 3 10 3" xfId="20293"/>
    <cellStyle name="Обычный 7 4 3 11" xfId="20294"/>
    <cellStyle name="Обычный 7 4 3 11 2" xfId="20295"/>
    <cellStyle name="Обычный 7 4 3 11 3" xfId="20296"/>
    <cellStyle name="Обычный 7 4 3 12" xfId="20297"/>
    <cellStyle name="Обычный 7 4 3 12 2" xfId="20298"/>
    <cellStyle name="Обычный 7 4 3 12 3" xfId="20299"/>
    <cellStyle name="Обычный 7 4 3 13" xfId="20300"/>
    <cellStyle name="Обычный 7 4 3 13 2" xfId="20301"/>
    <cellStyle name="Обычный 7 4 3 13 3" xfId="20302"/>
    <cellStyle name="Обычный 7 4 3 14" xfId="20303"/>
    <cellStyle name="Обычный 7 4 3 14 2" xfId="20304"/>
    <cellStyle name="Обычный 7 4 3 14 3" xfId="20305"/>
    <cellStyle name="Обычный 7 4 3 15" xfId="20306"/>
    <cellStyle name="Обычный 7 4 3 15 2" xfId="20307"/>
    <cellStyle name="Обычный 7 4 3 15 3" xfId="20308"/>
    <cellStyle name="Обычный 7 4 3 16" xfId="20309"/>
    <cellStyle name="Обычный 7 4 3 16 2" xfId="20310"/>
    <cellStyle name="Обычный 7 4 3 16 3" xfId="20311"/>
    <cellStyle name="Обычный 7 4 3 17" xfId="20312"/>
    <cellStyle name="Обычный 7 4 3 17 2" xfId="20313"/>
    <cellStyle name="Обычный 7 4 3 17 3" xfId="20314"/>
    <cellStyle name="Обычный 7 4 3 18" xfId="20315"/>
    <cellStyle name="Обычный 7 4 3 18 2" xfId="20316"/>
    <cellStyle name="Обычный 7 4 3 18 3" xfId="20317"/>
    <cellStyle name="Обычный 7 4 3 19" xfId="20318"/>
    <cellStyle name="Обычный 7 4 3 19 2" xfId="20319"/>
    <cellStyle name="Обычный 7 4 3 19 3" xfId="20320"/>
    <cellStyle name="Обычный 7 4 3 2" xfId="20321"/>
    <cellStyle name="Обычный 7 4 3 2 2" xfId="20322"/>
    <cellStyle name="Обычный 7 4 3 2 3" xfId="20323"/>
    <cellStyle name="Обычный 7 4 3 20" xfId="20324"/>
    <cellStyle name="Обычный 7 4 3 20 2" xfId="20325"/>
    <cellStyle name="Обычный 7 4 3 20 3" xfId="20326"/>
    <cellStyle name="Обычный 7 4 3 21" xfId="20327"/>
    <cellStyle name="Обычный 7 4 3 21 2" xfId="20328"/>
    <cellStyle name="Обычный 7 4 3 21 3" xfId="20329"/>
    <cellStyle name="Обычный 7 4 3 22" xfId="20330"/>
    <cellStyle name="Обычный 7 4 3 22 2" xfId="20331"/>
    <cellStyle name="Обычный 7 4 3 22 3" xfId="20332"/>
    <cellStyle name="Обычный 7 4 3 23" xfId="20333"/>
    <cellStyle name="Обычный 7 4 3 23 2" xfId="20334"/>
    <cellStyle name="Обычный 7 4 3 23 3" xfId="20335"/>
    <cellStyle name="Обычный 7 4 3 24" xfId="20336"/>
    <cellStyle name="Обычный 7 4 3 24 2" xfId="20337"/>
    <cellStyle name="Обычный 7 4 3 24 3" xfId="20338"/>
    <cellStyle name="Обычный 7 4 3 25" xfId="20339"/>
    <cellStyle name="Обычный 7 4 3 25 2" xfId="20340"/>
    <cellStyle name="Обычный 7 4 3 25 3" xfId="20341"/>
    <cellStyle name="Обычный 7 4 3 26" xfId="20342"/>
    <cellStyle name="Обычный 7 4 3 26 2" xfId="20343"/>
    <cellStyle name="Обычный 7 4 3 26 3" xfId="20344"/>
    <cellStyle name="Обычный 7 4 3 27" xfId="20345"/>
    <cellStyle name="Обычный 7 4 3 27 2" xfId="20346"/>
    <cellStyle name="Обычный 7 4 3 27 3" xfId="20347"/>
    <cellStyle name="Обычный 7 4 3 28" xfId="20348"/>
    <cellStyle name="Обычный 7 4 3 28 2" xfId="20349"/>
    <cellStyle name="Обычный 7 4 3 28 3" xfId="20350"/>
    <cellStyle name="Обычный 7 4 3 29" xfId="20351"/>
    <cellStyle name="Обычный 7 4 3 29 2" xfId="20352"/>
    <cellStyle name="Обычный 7 4 3 29 3" xfId="20353"/>
    <cellStyle name="Обычный 7 4 3 3" xfId="20354"/>
    <cellStyle name="Обычный 7 4 3 3 2" xfId="20355"/>
    <cellStyle name="Обычный 7 4 3 3 3" xfId="20356"/>
    <cellStyle name="Обычный 7 4 3 30" xfId="20357"/>
    <cellStyle name="Обычный 7 4 3 30 2" xfId="20358"/>
    <cellStyle name="Обычный 7 4 3 30 3" xfId="20359"/>
    <cellStyle name="Обычный 7 4 3 31" xfId="20360"/>
    <cellStyle name="Обычный 7 4 3 31 2" xfId="20361"/>
    <cellStyle name="Обычный 7 4 3 31 3" xfId="20362"/>
    <cellStyle name="Обычный 7 4 3 32" xfId="20363"/>
    <cellStyle name="Обычный 7 4 3 32 2" xfId="20364"/>
    <cellStyle name="Обычный 7 4 3 32 3" xfId="20365"/>
    <cellStyle name="Обычный 7 4 3 33" xfId="20366"/>
    <cellStyle name="Обычный 7 4 3 33 2" xfId="20367"/>
    <cellStyle name="Обычный 7 4 3 33 3" xfId="20368"/>
    <cellStyle name="Обычный 7 4 3 34" xfId="20369"/>
    <cellStyle name="Обычный 7 4 3 34 2" xfId="20370"/>
    <cellStyle name="Обычный 7 4 3 34 3" xfId="20371"/>
    <cellStyle name="Обычный 7 4 3 35" xfId="20372"/>
    <cellStyle name="Обычный 7 4 3 35 2" xfId="20373"/>
    <cellStyle name="Обычный 7 4 3 35 3" xfId="20374"/>
    <cellStyle name="Обычный 7 4 3 36" xfId="20375"/>
    <cellStyle name="Обычный 7 4 3 36 2" xfId="20376"/>
    <cellStyle name="Обычный 7 4 3 36 3" xfId="20377"/>
    <cellStyle name="Обычный 7 4 3 37" xfId="20378"/>
    <cellStyle name="Обычный 7 4 3 37 2" xfId="20379"/>
    <cellStyle name="Обычный 7 4 3 37 3" xfId="20380"/>
    <cellStyle name="Обычный 7 4 3 38" xfId="20381"/>
    <cellStyle name="Обычный 7 4 3 38 2" xfId="20382"/>
    <cellStyle name="Обычный 7 4 3 38 3" xfId="20383"/>
    <cellStyle name="Обычный 7 4 3 39" xfId="20384"/>
    <cellStyle name="Обычный 7 4 3 39 2" xfId="20385"/>
    <cellStyle name="Обычный 7 4 3 39 3" xfId="20386"/>
    <cellStyle name="Обычный 7 4 3 4" xfId="20387"/>
    <cellStyle name="Обычный 7 4 3 4 2" xfId="20388"/>
    <cellStyle name="Обычный 7 4 3 4 3" xfId="20389"/>
    <cellStyle name="Обычный 7 4 3 40" xfId="20390"/>
    <cellStyle name="Обычный 7 4 3 40 2" xfId="20391"/>
    <cellStyle name="Обычный 7 4 3 40 3" xfId="20392"/>
    <cellStyle name="Обычный 7 4 3 41" xfId="20393"/>
    <cellStyle name="Обычный 7 4 3 41 2" xfId="20394"/>
    <cellStyle name="Обычный 7 4 3 41 3" xfId="20395"/>
    <cellStyle name="Обычный 7 4 3 42" xfId="20396"/>
    <cellStyle name="Обычный 7 4 3 42 2" xfId="20397"/>
    <cellStyle name="Обычный 7 4 3 42 3" xfId="20398"/>
    <cellStyle name="Обычный 7 4 3 43" xfId="20399"/>
    <cellStyle name="Обычный 7 4 3 43 2" xfId="20400"/>
    <cellStyle name="Обычный 7 4 3 43 3" xfId="20401"/>
    <cellStyle name="Обычный 7 4 3 44" xfId="20402"/>
    <cellStyle name="Обычный 7 4 3 44 2" xfId="20403"/>
    <cellStyle name="Обычный 7 4 3 44 3" xfId="20404"/>
    <cellStyle name="Обычный 7 4 3 45" xfId="20405"/>
    <cellStyle name="Обычный 7 4 3 45 2" xfId="20406"/>
    <cellStyle name="Обычный 7 4 3 45 3" xfId="20407"/>
    <cellStyle name="Обычный 7 4 3 46" xfId="20408"/>
    <cellStyle name="Обычный 7 4 3 46 2" xfId="20409"/>
    <cellStyle name="Обычный 7 4 3 46 3" xfId="20410"/>
    <cellStyle name="Обычный 7 4 3 47" xfId="20411"/>
    <cellStyle name="Обычный 7 4 3 47 2" xfId="20412"/>
    <cellStyle name="Обычный 7 4 3 47 3" xfId="20413"/>
    <cellStyle name="Обычный 7 4 3 48" xfId="20414"/>
    <cellStyle name="Обычный 7 4 3 48 2" xfId="20415"/>
    <cellStyle name="Обычный 7 4 3 48 3" xfId="20416"/>
    <cellStyle name="Обычный 7 4 3 49" xfId="20417"/>
    <cellStyle name="Обычный 7 4 3 49 2" xfId="20418"/>
    <cellStyle name="Обычный 7 4 3 49 3" xfId="20419"/>
    <cellStyle name="Обычный 7 4 3 5" xfId="20420"/>
    <cellStyle name="Обычный 7 4 3 5 2" xfId="20421"/>
    <cellStyle name="Обычный 7 4 3 5 3" xfId="20422"/>
    <cellStyle name="Обычный 7 4 3 50" xfId="20423"/>
    <cellStyle name="Обычный 7 4 3 50 2" xfId="20424"/>
    <cellStyle name="Обычный 7 4 3 50 3" xfId="20425"/>
    <cellStyle name="Обычный 7 4 3 51" xfId="20426"/>
    <cellStyle name="Обычный 7 4 3 51 2" xfId="20427"/>
    <cellStyle name="Обычный 7 4 3 51 3" xfId="20428"/>
    <cellStyle name="Обычный 7 4 3 52" xfId="20429"/>
    <cellStyle name="Обычный 7 4 3 52 2" xfId="20430"/>
    <cellStyle name="Обычный 7 4 3 52 3" xfId="20431"/>
    <cellStyle name="Обычный 7 4 3 53" xfId="20432"/>
    <cellStyle name="Обычный 7 4 3 53 2" xfId="20433"/>
    <cellStyle name="Обычный 7 4 3 53 3" xfId="20434"/>
    <cellStyle name="Обычный 7 4 3 54" xfId="20435"/>
    <cellStyle name="Обычный 7 4 3 54 2" xfId="20436"/>
    <cellStyle name="Обычный 7 4 3 54 3" xfId="20437"/>
    <cellStyle name="Обычный 7 4 3 55" xfId="20438"/>
    <cellStyle name="Обычный 7 4 3 55 2" xfId="20439"/>
    <cellStyle name="Обычный 7 4 3 55 3" xfId="20440"/>
    <cellStyle name="Обычный 7 4 3 56" xfId="20441"/>
    <cellStyle name="Обычный 7 4 3 56 2" xfId="20442"/>
    <cellStyle name="Обычный 7 4 3 56 3" xfId="20443"/>
    <cellStyle name="Обычный 7 4 3 57" xfId="20444"/>
    <cellStyle name="Обычный 7 4 3 57 2" xfId="20445"/>
    <cellStyle name="Обычный 7 4 3 57 3" xfId="20446"/>
    <cellStyle name="Обычный 7 4 3 58" xfId="20447"/>
    <cellStyle name="Обычный 7 4 3 58 2" xfId="20448"/>
    <cellStyle name="Обычный 7 4 3 58 3" xfId="20449"/>
    <cellStyle name="Обычный 7 4 3 59" xfId="20450"/>
    <cellStyle name="Обычный 7 4 3 59 2" xfId="20451"/>
    <cellStyle name="Обычный 7 4 3 59 3" xfId="20452"/>
    <cellStyle name="Обычный 7 4 3 6" xfId="20453"/>
    <cellStyle name="Обычный 7 4 3 6 2" xfId="20454"/>
    <cellStyle name="Обычный 7 4 3 6 3" xfId="20455"/>
    <cellStyle name="Обычный 7 4 3 60" xfId="20456"/>
    <cellStyle name="Обычный 7 4 3 60 2" xfId="20457"/>
    <cellStyle name="Обычный 7 4 3 60 3" xfId="20458"/>
    <cellStyle name="Обычный 7 4 3 61" xfId="20459"/>
    <cellStyle name="Обычный 7 4 3 61 2" xfId="20460"/>
    <cellStyle name="Обычный 7 4 3 61 3" xfId="20461"/>
    <cellStyle name="Обычный 7 4 3 62" xfId="20462"/>
    <cellStyle name="Обычный 7 4 3 62 2" xfId="20463"/>
    <cellStyle name="Обычный 7 4 3 62 3" xfId="20464"/>
    <cellStyle name="Обычный 7 4 3 63" xfId="20465"/>
    <cellStyle name="Обычный 7 4 3 63 2" xfId="20466"/>
    <cellStyle name="Обычный 7 4 3 63 3" xfId="20467"/>
    <cellStyle name="Обычный 7 4 3 64" xfId="20468"/>
    <cellStyle name="Обычный 7 4 3 65" xfId="20469"/>
    <cellStyle name="Обычный 7 4 3 7" xfId="20470"/>
    <cellStyle name="Обычный 7 4 3 7 2" xfId="20471"/>
    <cellStyle name="Обычный 7 4 3 7 3" xfId="20472"/>
    <cellStyle name="Обычный 7 4 3 8" xfId="20473"/>
    <cellStyle name="Обычный 7 4 3 8 2" xfId="20474"/>
    <cellStyle name="Обычный 7 4 3 8 3" xfId="20475"/>
    <cellStyle name="Обычный 7 4 3 9" xfId="20476"/>
    <cellStyle name="Обычный 7 4 3 9 2" xfId="20477"/>
    <cellStyle name="Обычный 7 4 3 9 3" xfId="20478"/>
    <cellStyle name="Обычный 7 4 30" xfId="20479"/>
    <cellStyle name="Обычный 7 4 30 2" xfId="20480"/>
    <cellStyle name="Обычный 7 4 30 3" xfId="20481"/>
    <cellStyle name="Обычный 7 4 31" xfId="20482"/>
    <cellStyle name="Обычный 7 4 31 2" xfId="20483"/>
    <cellStyle name="Обычный 7 4 31 3" xfId="20484"/>
    <cellStyle name="Обычный 7 4 32" xfId="20485"/>
    <cellStyle name="Обычный 7 4 32 2" xfId="20486"/>
    <cellStyle name="Обычный 7 4 32 3" xfId="20487"/>
    <cellStyle name="Обычный 7 4 33" xfId="20488"/>
    <cellStyle name="Обычный 7 4 33 2" xfId="20489"/>
    <cellStyle name="Обычный 7 4 33 3" xfId="20490"/>
    <cellStyle name="Обычный 7 4 34" xfId="20491"/>
    <cellStyle name="Обычный 7 4 34 2" xfId="20492"/>
    <cellStyle name="Обычный 7 4 34 3" xfId="20493"/>
    <cellStyle name="Обычный 7 4 35" xfId="20494"/>
    <cellStyle name="Обычный 7 4 35 2" xfId="20495"/>
    <cellStyle name="Обычный 7 4 35 3" xfId="20496"/>
    <cellStyle name="Обычный 7 4 36" xfId="20497"/>
    <cellStyle name="Обычный 7 4 36 2" xfId="20498"/>
    <cellStyle name="Обычный 7 4 36 3" xfId="20499"/>
    <cellStyle name="Обычный 7 4 37" xfId="20500"/>
    <cellStyle name="Обычный 7 4 37 2" xfId="20501"/>
    <cellStyle name="Обычный 7 4 37 3" xfId="20502"/>
    <cellStyle name="Обычный 7 4 38" xfId="20503"/>
    <cellStyle name="Обычный 7 4 38 2" xfId="20504"/>
    <cellStyle name="Обычный 7 4 38 3" xfId="20505"/>
    <cellStyle name="Обычный 7 4 39" xfId="20506"/>
    <cellStyle name="Обычный 7 4 39 2" xfId="20507"/>
    <cellStyle name="Обычный 7 4 39 3" xfId="20508"/>
    <cellStyle name="Обычный 7 4 4" xfId="20509"/>
    <cellStyle name="Обычный 7 4 4 10" xfId="20510"/>
    <cellStyle name="Обычный 7 4 4 10 2" xfId="20511"/>
    <cellStyle name="Обычный 7 4 4 10 3" xfId="20512"/>
    <cellStyle name="Обычный 7 4 4 11" xfId="20513"/>
    <cellStyle name="Обычный 7 4 4 11 2" xfId="20514"/>
    <cellStyle name="Обычный 7 4 4 11 3" xfId="20515"/>
    <cellStyle name="Обычный 7 4 4 12" xfId="20516"/>
    <cellStyle name="Обычный 7 4 4 12 2" xfId="20517"/>
    <cellStyle name="Обычный 7 4 4 12 3" xfId="20518"/>
    <cellStyle name="Обычный 7 4 4 13" xfId="20519"/>
    <cellStyle name="Обычный 7 4 4 13 2" xfId="20520"/>
    <cellStyle name="Обычный 7 4 4 13 3" xfId="20521"/>
    <cellStyle name="Обычный 7 4 4 14" xfId="20522"/>
    <cellStyle name="Обычный 7 4 4 14 2" xfId="20523"/>
    <cellStyle name="Обычный 7 4 4 14 3" xfId="20524"/>
    <cellStyle name="Обычный 7 4 4 15" xfId="20525"/>
    <cellStyle name="Обычный 7 4 4 15 2" xfId="20526"/>
    <cellStyle name="Обычный 7 4 4 15 3" xfId="20527"/>
    <cellStyle name="Обычный 7 4 4 16" xfId="20528"/>
    <cellStyle name="Обычный 7 4 4 16 2" xfId="20529"/>
    <cellStyle name="Обычный 7 4 4 16 3" xfId="20530"/>
    <cellStyle name="Обычный 7 4 4 17" xfId="20531"/>
    <cellStyle name="Обычный 7 4 4 17 2" xfId="20532"/>
    <cellStyle name="Обычный 7 4 4 17 3" xfId="20533"/>
    <cellStyle name="Обычный 7 4 4 18" xfId="20534"/>
    <cellStyle name="Обычный 7 4 4 18 2" xfId="20535"/>
    <cellStyle name="Обычный 7 4 4 18 3" xfId="20536"/>
    <cellStyle name="Обычный 7 4 4 19" xfId="20537"/>
    <cellStyle name="Обычный 7 4 4 19 2" xfId="20538"/>
    <cellStyle name="Обычный 7 4 4 19 3" xfId="20539"/>
    <cellStyle name="Обычный 7 4 4 2" xfId="20540"/>
    <cellStyle name="Обычный 7 4 4 2 2" xfId="20541"/>
    <cellStyle name="Обычный 7 4 4 2 3" xfId="20542"/>
    <cellStyle name="Обычный 7 4 4 20" xfId="20543"/>
    <cellStyle name="Обычный 7 4 4 20 2" xfId="20544"/>
    <cellStyle name="Обычный 7 4 4 20 3" xfId="20545"/>
    <cellStyle name="Обычный 7 4 4 21" xfId="20546"/>
    <cellStyle name="Обычный 7 4 4 21 2" xfId="20547"/>
    <cellStyle name="Обычный 7 4 4 21 3" xfId="20548"/>
    <cellStyle name="Обычный 7 4 4 22" xfId="20549"/>
    <cellStyle name="Обычный 7 4 4 22 2" xfId="20550"/>
    <cellStyle name="Обычный 7 4 4 22 3" xfId="20551"/>
    <cellStyle name="Обычный 7 4 4 23" xfId="20552"/>
    <cellStyle name="Обычный 7 4 4 23 2" xfId="20553"/>
    <cellStyle name="Обычный 7 4 4 23 3" xfId="20554"/>
    <cellStyle name="Обычный 7 4 4 24" xfId="20555"/>
    <cellStyle name="Обычный 7 4 4 24 2" xfId="20556"/>
    <cellStyle name="Обычный 7 4 4 24 3" xfId="20557"/>
    <cellStyle name="Обычный 7 4 4 25" xfId="20558"/>
    <cellStyle name="Обычный 7 4 4 25 2" xfId="20559"/>
    <cellStyle name="Обычный 7 4 4 25 3" xfId="20560"/>
    <cellStyle name="Обычный 7 4 4 26" xfId="20561"/>
    <cellStyle name="Обычный 7 4 4 26 2" xfId="20562"/>
    <cellStyle name="Обычный 7 4 4 26 3" xfId="20563"/>
    <cellStyle name="Обычный 7 4 4 27" xfId="20564"/>
    <cellStyle name="Обычный 7 4 4 27 2" xfId="20565"/>
    <cellStyle name="Обычный 7 4 4 27 3" xfId="20566"/>
    <cellStyle name="Обычный 7 4 4 28" xfId="20567"/>
    <cellStyle name="Обычный 7 4 4 28 2" xfId="20568"/>
    <cellStyle name="Обычный 7 4 4 28 3" xfId="20569"/>
    <cellStyle name="Обычный 7 4 4 29" xfId="20570"/>
    <cellStyle name="Обычный 7 4 4 29 2" xfId="20571"/>
    <cellStyle name="Обычный 7 4 4 29 3" xfId="20572"/>
    <cellStyle name="Обычный 7 4 4 3" xfId="20573"/>
    <cellStyle name="Обычный 7 4 4 3 2" xfId="20574"/>
    <cellStyle name="Обычный 7 4 4 3 3" xfId="20575"/>
    <cellStyle name="Обычный 7 4 4 30" xfId="20576"/>
    <cellStyle name="Обычный 7 4 4 30 2" xfId="20577"/>
    <cellStyle name="Обычный 7 4 4 30 3" xfId="20578"/>
    <cellStyle name="Обычный 7 4 4 31" xfId="20579"/>
    <cellStyle name="Обычный 7 4 4 31 2" xfId="20580"/>
    <cellStyle name="Обычный 7 4 4 31 3" xfId="20581"/>
    <cellStyle name="Обычный 7 4 4 32" xfId="20582"/>
    <cellStyle name="Обычный 7 4 4 32 2" xfId="20583"/>
    <cellStyle name="Обычный 7 4 4 32 3" xfId="20584"/>
    <cellStyle name="Обычный 7 4 4 33" xfId="20585"/>
    <cellStyle name="Обычный 7 4 4 33 2" xfId="20586"/>
    <cellStyle name="Обычный 7 4 4 33 3" xfId="20587"/>
    <cellStyle name="Обычный 7 4 4 34" xfId="20588"/>
    <cellStyle name="Обычный 7 4 4 34 2" xfId="20589"/>
    <cellStyle name="Обычный 7 4 4 34 3" xfId="20590"/>
    <cellStyle name="Обычный 7 4 4 35" xfId="20591"/>
    <cellStyle name="Обычный 7 4 4 35 2" xfId="20592"/>
    <cellStyle name="Обычный 7 4 4 35 3" xfId="20593"/>
    <cellStyle name="Обычный 7 4 4 36" xfId="20594"/>
    <cellStyle name="Обычный 7 4 4 36 2" xfId="20595"/>
    <cellStyle name="Обычный 7 4 4 36 3" xfId="20596"/>
    <cellStyle name="Обычный 7 4 4 37" xfId="20597"/>
    <cellStyle name="Обычный 7 4 4 37 2" xfId="20598"/>
    <cellStyle name="Обычный 7 4 4 37 3" xfId="20599"/>
    <cellStyle name="Обычный 7 4 4 38" xfId="20600"/>
    <cellStyle name="Обычный 7 4 4 38 2" xfId="20601"/>
    <cellStyle name="Обычный 7 4 4 38 3" xfId="20602"/>
    <cellStyle name="Обычный 7 4 4 39" xfId="20603"/>
    <cellStyle name="Обычный 7 4 4 39 2" xfId="20604"/>
    <cellStyle name="Обычный 7 4 4 39 3" xfId="20605"/>
    <cellStyle name="Обычный 7 4 4 4" xfId="20606"/>
    <cellStyle name="Обычный 7 4 4 4 2" xfId="20607"/>
    <cellStyle name="Обычный 7 4 4 4 3" xfId="20608"/>
    <cellStyle name="Обычный 7 4 4 40" xfId="20609"/>
    <cellStyle name="Обычный 7 4 4 40 2" xfId="20610"/>
    <cellStyle name="Обычный 7 4 4 40 3" xfId="20611"/>
    <cellStyle name="Обычный 7 4 4 41" xfId="20612"/>
    <cellStyle name="Обычный 7 4 4 41 2" xfId="20613"/>
    <cellStyle name="Обычный 7 4 4 41 3" xfId="20614"/>
    <cellStyle name="Обычный 7 4 4 42" xfId="20615"/>
    <cellStyle name="Обычный 7 4 4 42 2" xfId="20616"/>
    <cellStyle name="Обычный 7 4 4 42 3" xfId="20617"/>
    <cellStyle name="Обычный 7 4 4 43" xfId="20618"/>
    <cellStyle name="Обычный 7 4 4 43 2" xfId="20619"/>
    <cellStyle name="Обычный 7 4 4 43 3" xfId="20620"/>
    <cellStyle name="Обычный 7 4 4 44" xfId="20621"/>
    <cellStyle name="Обычный 7 4 4 44 2" xfId="20622"/>
    <cellStyle name="Обычный 7 4 4 44 3" xfId="20623"/>
    <cellStyle name="Обычный 7 4 4 45" xfId="20624"/>
    <cellStyle name="Обычный 7 4 4 45 2" xfId="20625"/>
    <cellStyle name="Обычный 7 4 4 45 3" xfId="20626"/>
    <cellStyle name="Обычный 7 4 4 46" xfId="20627"/>
    <cellStyle name="Обычный 7 4 4 46 2" xfId="20628"/>
    <cellStyle name="Обычный 7 4 4 46 3" xfId="20629"/>
    <cellStyle name="Обычный 7 4 4 47" xfId="20630"/>
    <cellStyle name="Обычный 7 4 4 47 2" xfId="20631"/>
    <cellStyle name="Обычный 7 4 4 47 3" xfId="20632"/>
    <cellStyle name="Обычный 7 4 4 48" xfId="20633"/>
    <cellStyle name="Обычный 7 4 4 48 2" xfId="20634"/>
    <cellStyle name="Обычный 7 4 4 48 3" xfId="20635"/>
    <cellStyle name="Обычный 7 4 4 49" xfId="20636"/>
    <cellStyle name="Обычный 7 4 4 49 2" xfId="20637"/>
    <cellStyle name="Обычный 7 4 4 49 3" xfId="20638"/>
    <cellStyle name="Обычный 7 4 4 5" xfId="20639"/>
    <cellStyle name="Обычный 7 4 4 5 2" xfId="20640"/>
    <cellStyle name="Обычный 7 4 4 5 3" xfId="20641"/>
    <cellStyle name="Обычный 7 4 4 50" xfId="20642"/>
    <cellStyle name="Обычный 7 4 4 50 2" xfId="20643"/>
    <cellStyle name="Обычный 7 4 4 50 3" xfId="20644"/>
    <cellStyle name="Обычный 7 4 4 51" xfId="20645"/>
    <cellStyle name="Обычный 7 4 4 51 2" xfId="20646"/>
    <cellStyle name="Обычный 7 4 4 51 3" xfId="20647"/>
    <cellStyle name="Обычный 7 4 4 52" xfId="20648"/>
    <cellStyle name="Обычный 7 4 4 52 2" xfId="20649"/>
    <cellStyle name="Обычный 7 4 4 52 3" xfId="20650"/>
    <cellStyle name="Обычный 7 4 4 53" xfId="20651"/>
    <cellStyle name="Обычный 7 4 4 53 2" xfId="20652"/>
    <cellStyle name="Обычный 7 4 4 53 3" xfId="20653"/>
    <cellStyle name="Обычный 7 4 4 54" xfId="20654"/>
    <cellStyle name="Обычный 7 4 4 54 2" xfId="20655"/>
    <cellStyle name="Обычный 7 4 4 54 3" xfId="20656"/>
    <cellStyle name="Обычный 7 4 4 55" xfId="20657"/>
    <cellStyle name="Обычный 7 4 4 55 2" xfId="20658"/>
    <cellStyle name="Обычный 7 4 4 55 3" xfId="20659"/>
    <cellStyle name="Обычный 7 4 4 56" xfId="20660"/>
    <cellStyle name="Обычный 7 4 4 56 2" xfId="20661"/>
    <cellStyle name="Обычный 7 4 4 56 3" xfId="20662"/>
    <cellStyle name="Обычный 7 4 4 57" xfId="20663"/>
    <cellStyle name="Обычный 7 4 4 57 2" xfId="20664"/>
    <cellStyle name="Обычный 7 4 4 57 3" xfId="20665"/>
    <cellStyle name="Обычный 7 4 4 58" xfId="20666"/>
    <cellStyle name="Обычный 7 4 4 58 2" xfId="20667"/>
    <cellStyle name="Обычный 7 4 4 58 3" xfId="20668"/>
    <cellStyle name="Обычный 7 4 4 59" xfId="20669"/>
    <cellStyle name="Обычный 7 4 4 59 2" xfId="20670"/>
    <cellStyle name="Обычный 7 4 4 59 3" xfId="20671"/>
    <cellStyle name="Обычный 7 4 4 6" xfId="20672"/>
    <cellStyle name="Обычный 7 4 4 6 2" xfId="20673"/>
    <cellStyle name="Обычный 7 4 4 6 3" xfId="20674"/>
    <cellStyle name="Обычный 7 4 4 60" xfId="20675"/>
    <cellStyle name="Обычный 7 4 4 60 2" xfId="20676"/>
    <cellStyle name="Обычный 7 4 4 60 3" xfId="20677"/>
    <cellStyle name="Обычный 7 4 4 61" xfId="20678"/>
    <cellStyle name="Обычный 7 4 4 61 2" xfId="20679"/>
    <cellStyle name="Обычный 7 4 4 61 3" xfId="20680"/>
    <cellStyle name="Обычный 7 4 4 62" xfId="20681"/>
    <cellStyle name="Обычный 7 4 4 62 2" xfId="20682"/>
    <cellStyle name="Обычный 7 4 4 62 3" xfId="20683"/>
    <cellStyle name="Обычный 7 4 4 63" xfId="20684"/>
    <cellStyle name="Обычный 7 4 4 63 2" xfId="20685"/>
    <cellStyle name="Обычный 7 4 4 63 3" xfId="20686"/>
    <cellStyle name="Обычный 7 4 4 64" xfId="20687"/>
    <cellStyle name="Обычный 7 4 4 65" xfId="20688"/>
    <cellStyle name="Обычный 7 4 4 7" xfId="20689"/>
    <cellStyle name="Обычный 7 4 4 7 2" xfId="20690"/>
    <cellStyle name="Обычный 7 4 4 7 3" xfId="20691"/>
    <cellStyle name="Обычный 7 4 4 8" xfId="20692"/>
    <cellStyle name="Обычный 7 4 4 8 2" xfId="20693"/>
    <cellStyle name="Обычный 7 4 4 8 3" xfId="20694"/>
    <cellStyle name="Обычный 7 4 4 9" xfId="20695"/>
    <cellStyle name="Обычный 7 4 4 9 2" xfId="20696"/>
    <cellStyle name="Обычный 7 4 4 9 3" xfId="20697"/>
    <cellStyle name="Обычный 7 4 40" xfId="20698"/>
    <cellStyle name="Обычный 7 4 40 2" xfId="20699"/>
    <cellStyle name="Обычный 7 4 40 3" xfId="20700"/>
    <cellStyle name="Обычный 7 4 41" xfId="20701"/>
    <cellStyle name="Обычный 7 4 41 2" xfId="20702"/>
    <cellStyle name="Обычный 7 4 41 3" xfId="20703"/>
    <cellStyle name="Обычный 7 4 42" xfId="20704"/>
    <cellStyle name="Обычный 7 4 42 2" xfId="20705"/>
    <cellStyle name="Обычный 7 4 42 3" xfId="20706"/>
    <cellStyle name="Обычный 7 4 43" xfId="20707"/>
    <cellStyle name="Обычный 7 4 43 2" xfId="20708"/>
    <cellStyle name="Обычный 7 4 43 3" xfId="20709"/>
    <cellStyle name="Обычный 7 4 44" xfId="20710"/>
    <cellStyle name="Обычный 7 4 44 2" xfId="20711"/>
    <cellStyle name="Обычный 7 4 44 3" xfId="20712"/>
    <cellStyle name="Обычный 7 4 45" xfId="20713"/>
    <cellStyle name="Обычный 7 4 45 2" xfId="20714"/>
    <cellStyle name="Обычный 7 4 45 3" xfId="20715"/>
    <cellStyle name="Обычный 7 4 46" xfId="20716"/>
    <cellStyle name="Обычный 7 4 46 2" xfId="20717"/>
    <cellStyle name="Обычный 7 4 46 3" xfId="20718"/>
    <cellStyle name="Обычный 7 4 47" xfId="20719"/>
    <cellStyle name="Обычный 7 4 47 2" xfId="20720"/>
    <cellStyle name="Обычный 7 4 47 3" xfId="20721"/>
    <cellStyle name="Обычный 7 4 48" xfId="20722"/>
    <cellStyle name="Обычный 7 4 48 2" xfId="20723"/>
    <cellStyle name="Обычный 7 4 48 3" xfId="20724"/>
    <cellStyle name="Обычный 7 4 49" xfId="20725"/>
    <cellStyle name="Обычный 7 4 49 2" xfId="20726"/>
    <cellStyle name="Обычный 7 4 49 3" xfId="20727"/>
    <cellStyle name="Обычный 7 4 5" xfId="20728"/>
    <cellStyle name="Обычный 7 4 5 10" xfId="20729"/>
    <cellStyle name="Обычный 7 4 5 10 2" xfId="20730"/>
    <cellStyle name="Обычный 7 4 5 10 3" xfId="20731"/>
    <cellStyle name="Обычный 7 4 5 11" xfId="20732"/>
    <cellStyle name="Обычный 7 4 5 11 2" xfId="20733"/>
    <cellStyle name="Обычный 7 4 5 11 3" xfId="20734"/>
    <cellStyle name="Обычный 7 4 5 12" xfId="20735"/>
    <cellStyle name="Обычный 7 4 5 12 2" xfId="20736"/>
    <cellStyle name="Обычный 7 4 5 12 3" xfId="20737"/>
    <cellStyle name="Обычный 7 4 5 13" xfId="20738"/>
    <cellStyle name="Обычный 7 4 5 13 2" xfId="20739"/>
    <cellStyle name="Обычный 7 4 5 13 3" xfId="20740"/>
    <cellStyle name="Обычный 7 4 5 14" xfId="20741"/>
    <cellStyle name="Обычный 7 4 5 14 2" xfId="20742"/>
    <cellStyle name="Обычный 7 4 5 14 3" xfId="20743"/>
    <cellStyle name="Обычный 7 4 5 15" xfId="20744"/>
    <cellStyle name="Обычный 7 4 5 15 2" xfId="20745"/>
    <cellStyle name="Обычный 7 4 5 15 3" xfId="20746"/>
    <cellStyle name="Обычный 7 4 5 16" xfId="20747"/>
    <cellStyle name="Обычный 7 4 5 16 2" xfId="20748"/>
    <cellStyle name="Обычный 7 4 5 16 3" xfId="20749"/>
    <cellStyle name="Обычный 7 4 5 17" xfId="20750"/>
    <cellStyle name="Обычный 7 4 5 17 2" xfId="20751"/>
    <cellStyle name="Обычный 7 4 5 17 3" xfId="20752"/>
    <cellStyle name="Обычный 7 4 5 18" xfId="20753"/>
    <cellStyle name="Обычный 7 4 5 18 2" xfId="20754"/>
    <cellStyle name="Обычный 7 4 5 18 3" xfId="20755"/>
    <cellStyle name="Обычный 7 4 5 19" xfId="20756"/>
    <cellStyle name="Обычный 7 4 5 19 2" xfId="20757"/>
    <cellStyle name="Обычный 7 4 5 19 3" xfId="20758"/>
    <cellStyle name="Обычный 7 4 5 2" xfId="20759"/>
    <cellStyle name="Обычный 7 4 5 2 2" xfId="20760"/>
    <cellStyle name="Обычный 7 4 5 2 3" xfId="20761"/>
    <cellStyle name="Обычный 7 4 5 20" xfId="20762"/>
    <cellStyle name="Обычный 7 4 5 20 2" xfId="20763"/>
    <cellStyle name="Обычный 7 4 5 20 3" xfId="20764"/>
    <cellStyle name="Обычный 7 4 5 21" xfId="20765"/>
    <cellStyle name="Обычный 7 4 5 21 2" xfId="20766"/>
    <cellStyle name="Обычный 7 4 5 21 3" xfId="20767"/>
    <cellStyle name="Обычный 7 4 5 22" xfId="20768"/>
    <cellStyle name="Обычный 7 4 5 22 2" xfId="20769"/>
    <cellStyle name="Обычный 7 4 5 22 3" xfId="20770"/>
    <cellStyle name="Обычный 7 4 5 23" xfId="20771"/>
    <cellStyle name="Обычный 7 4 5 23 2" xfId="20772"/>
    <cellStyle name="Обычный 7 4 5 23 3" xfId="20773"/>
    <cellStyle name="Обычный 7 4 5 24" xfId="20774"/>
    <cellStyle name="Обычный 7 4 5 24 2" xfId="20775"/>
    <cellStyle name="Обычный 7 4 5 24 3" xfId="20776"/>
    <cellStyle name="Обычный 7 4 5 25" xfId="20777"/>
    <cellStyle name="Обычный 7 4 5 25 2" xfId="20778"/>
    <cellStyle name="Обычный 7 4 5 25 3" xfId="20779"/>
    <cellStyle name="Обычный 7 4 5 26" xfId="20780"/>
    <cellStyle name="Обычный 7 4 5 26 2" xfId="20781"/>
    <cellStyle name="Обычный 7 4 5 26 3" xfId="20782"/>
    <cellStyle name="Обычный 7 4 5 27" xfId="20783"/>
    <cellStyle name="Обычный 7 4 5 27 2" xfId="20784"/>
    <cellStyle name="Обычный 7 4 5 27 3" xfId="20785"/>
    <cellStyle name="Обычный 7 4 5 28" xfId="20786"/>
    <cellStyle name="Обычный 7 4 5 28 2" xfId="20787"/>
    <cellStyle name="Обычный 7 4 5 28 3" xfId="20788"/>
    <cellStyle name="Обычный 7 4 5 29" xfId="20789"/>
    <cellStyle name="Обычный 7 4 5 29 2" xfId="20790"/>
    <cellStyle name="Обычный 7 4 5 29 3" xfId="20791"/>
    <cellStyle name="Обычный 7 4 5 3" xfId="20792"/>
    <cellStyle name="Обычный 7 4 5 3 2" xfId="20793"/>
    <cellStyle name="Обычный 7 4 5 3 3" xfId="20794"/>
    <cellStyle name="Обычный 7 4 5 30" xfId="20795"/>
    <cellStyle name="Обычный 7 4 5 30 2" xfId="20796"/>
    <cellStyle name="Обычный 7 4 5 30 3" xfId="20797"/>
    <cellStyle name="Обычный 7 4 5 31" xfId="20798"/>
    <cellStyle name="Обычный 7 4 5 31 2" xfId="20799"/>
    <cellStyle name="Обычный 7 4 5 31 3" xfId="20800"/>
    <cellStyle name="Обычный 7 4 5 32" xfId="20801"/>
    <cellStyle name="Обычный 7 4 5 32 2" xfId="20802"/>
    <cellStyle name="Обычный 7 4 5 32 3" xfId="20803"/>
    <cellStyle name="Обычный 7 4 5 33" xfId="20804"/>
    <cellStyle name="Обычный 7 4 5 33 2" xfId="20805"/>
    <cellStyle name="Обычный 7 4 5 33 3" xfId="20806"/>
    <cellStyle name="Обычный 7 4 5 34" xfId="20807"/>
    <cellStyle name="Обычный 7 4 5 34 2" xfId="20808"/>
    <cellStyle name="Обычный 7 4 5 34 3" xfId="20809"/>
    <cellStyle name="Обычный 7 4 5 35" xfId="20810"/>
    <cellStyle name="Обычный 7 4 5 35 2" xfId="20811"/>
    <cellStyle name="Обычный 7 4 5 35 3" xfId="20812"/>
    <cellStyle name="Обычный 7 4 5 36" xfId="20813"/>
    <cellStyle name="Обычный 7 4 5 36 2" xfId="20814"/>
    <cellStyle name="Обычный 7 4 5 36 3" xfId="20815"/>
    <cellStyle name="Обычный 7 4 5 37" xfId="20816"/>
    <cellStyle name="Обычный 7 4 5 37 2" xfId="20817"/>
    <cellStyle name="Обычный 7 4 5 37 3" xfId="20818"/>
    <cellStyle name="Обычный 7 4 5 38" xfId="20819"/>
    <cellStyle name="Обычный 7 4 5 38 2" xfId="20820"/>
    <cellStyle name="Обычный 7 4 5 38 3" xfId="20821"/>
    <cellStyle name="Обычный 7 4 5 39" xfId="20822"/>
    <cellStyle name="Обычный 7 4 5 39 2" xfId="20823"/>
    <cellStyle name="Обычный 7 4 5 39 3" xfId="20824"/>
    <cellStyle name="Обычный 7 4 5 4" xfId="20825"/>
    <cellStyle name="Обычный 7 4 5 4 2" xfId="20826"/>
    <cellStyle name="Обычный 7 4 5 4 3" xfId="20827"/>
    <cellStyle name="Обычный 7 4 5 40" xfId="20828"/>
    <cellStyle name="Обычный 7 4 5 40 2" xfId="20829"/>
    <cellStyle name="Обычный 7 4 5 40 3" xfId="20830"/>
    <cellStyle name="Обычный 7 4 5 41" xfId="20831"/>
    <cellStyle name="Обычный 7 4 5 41 2" xfId="20832"/>
    <cellStyle name="Обычный 7 4 5 41 3" xfId="20833"/>
    <cellStyle name="Обычный 7 4 5 42" xfId="20834"/>
    <cellStyle name="Обычный 7 4 5 42 2" xfId="20835"/>
    <cellStyle name="Обычный 7 4 5 42 3" xfId="20836"/>
    <cellStyle name="Обычный 7 4 5 43" xfId="20837"/>
    <cellStyle name="Обычный 7 4 5 43 2" xfId="20838"/>
    <cellStyle name="Обычный 7 4 5 43 3" xfId="20839"/>
    <cellStyle name="Обычный 7 4 5 44" xfId="20840"/>
    <cellStyle name="Обычный 7 4 5 44 2" xfId="20841"/>
    <cellStyle name="Обычный 7 4 5 44 3" xfId="20842"/>
    <cellStyle name="Обычный 7 4 5 45" xfId="20843"/>
    <cellStyle name="Обычный 7 4 5 45 2" xfId="20844"/>
    <cellStyle name="Обычный 7 4 5 45 3" xfId="20845"/>
    <cellStyle name="Обычный 7 4 5 46" xfId="20846"/>
    <cellStyle name="Обычный 7 4 5 46 2" xfId="20847"/>
    <cellStyle name="Обычный 7 4 5 46 3" xfId="20848"/>
    <cellStyle name="Обычный 7 4 5 47" xfId="20849"/>
    <cellStyle name="Обычный 7 4 5 47 2" xfId="20850"/>
    <cellStyle name="Обычный 7 4 5 47 3" xfId="20851"/>
    <cellStyle name="Обычный 7 4 5 48" xfId="20852"/>
    <cellStyle name="Обычный 7 4 5 48 2" xfId="20853"/>
    <cellStyle name="Обычный 7 4 5 48 3" xfId="20854"/>
    <cellStyle name="Обычный 7 4 5 49" xfId="20855"/>
    <cellStyle name="Обычный 7 4 5 49 2" xfId="20856"/>
    <cellStyle name="Обычный 7 4 5 49 3" xfId="20857"/>
    <cellStyle name="Обычный 7 4 5 5" xfId="20858"/>
    <cellStyle name="Обычный 7 4 5 5 2" xfId="20859"/>
    <cellStyle name="Обычный 7 4 5 5 3" xfId="20860"/>
    <cellStyle name="Обычный 7 4 5 50" xfId="20861"/>
    <cellStyle name="Обычный 7 4 5 50 2" xfId="20862"/>
    <cellStyle name="Обычный 7 4 5 50 3" xfId="20863"/>
    <cellStyle name="Обычный 7 4 5 51" xfId="20864"/>
    <cellStyle name="Обычный 7 4 5 51 2" xfId="20865"/>
    <cellStyle name="Обычный 7 4 5 51 3" xfId="20866"/>
    <cellStyle name="Обычный 7 4 5 52" xfId="20867"/>
    <cellStyle name="Обычный 7 4 5 52 2" xfId="20868"/>
    <cellStyle name="Обычный 7 4 5 52 3" xfId="20869"/>
    <cellStyle name="Обычный 7 4 5 53" xfId="20870"/>
    <cellStyle name="Обычный 7 4 5 53 2" xfId="20871"/>
    <cellStyle name="Обычный 7 4 5 53 3" xfId="20872"/>
    <cellStyle name="Обычный 7 4 5 54" xfId="20873"/>
    <cellStyle name="Обычный 7 4 5 54 2" xfId="20874"/>
    <cellStyle name="Обычный 7 4 5 54 3" xfId="20875"/>
    <cellStyle name="Обычный 7 4 5 55" xfId="20876"/>
    <cellStyle name="Обычный 7 4 5 55 2" xfId="20877"/>
    <cellStyle name="Обычный 7 4 5 55 3" xfId="20878"/>
    <cellStyle name="Обычный 7 4 5 56" xfId="20879"/>
    <cellStyle name="Обычный 7 4 5 56 2" xfId="20880"/>
    <cellStyle name="Обычный 7 4 5 56 3" xfId="20881"/>
    <cellStyle name="Обычный 7 4 5 57" xfId="20882"/>
    <cellStyle name="Обычный 7 4 5 57 2" xfId="20883"/>
    <cellStyle name="Обычный 7 4 5 57 3" xfId="20884"/>
    <cellStyle name="Обычный 7 4 5 58" xfId="20885"/>
    <cellStyle name="Обычный 7 4 5 58 2" xfId="20886"/>
    <cellStyle name="Обычный 7 4 5 58 3" xfId="20887"/>
    <cellStyle name="Обычный 7 4 5 59" xfId="20888"/>
    <cellStyle name="Обычный 7 4 5 59 2" xfId="20889"/>
    <cellStyle name="Обычный 7 4 5 59 3" xfId="20890"/>
    <cellStyle name="Обычный 7 4 5 6" xfId="20891"/>
    <cellStyle name="Обычный 7 4 5 6 2" xfId="20892"/>
    <cellStyle name="Обычный 7 4 5 6 3" xfId="20893"/>
    <cellStyle name="Обычный 7 4 5 60" xfId="20894"/>
    <cellStyle name="Обычный 7 4 5 60 2" xfId="20895"/>
    <cellStyle name="Обычный 7 4 5 60 3" xfId="20896"/>
    <cellStyle name="Обычный 7 4 5 61" xfId="20897"/>
    <cellStyle name="Обычный 7 4 5 61 2" xfId="20898"/>
    <cellStyle name="Обычный 7 4 5 61 3" xfId="20899"/>
    <cellStyle name="Обычный 7 4 5 62" xfId="20900"/>
    <cellStyle name="Обычный 7 4 5 62 2" xfId="20901"/>
    <cellStyle name="Обычный 7 4 5 62 3" xfId="20902"/>
    <cellStyle name="Обычный 7 4 5 63" xfId="20903"/>
    <cellStyle name="Обычный 7 4 5 63 2" xfId="20904"/>
    <cellStyle name="Обычный 7 4 5 63 3" xfId="20905"/>
    <cellStyle name="Обычный 7 4 5 64" xfId="20906"/>
    <cellStyle name="Обычный 7 4 5 65" xfId="20907"/>
    <cellStyle name="Обычный 7 4 5 7" xfId="20908"/>
    <cellStyle name="Обычный 7 4 5 7 2" xfId="20909"/>
    <cellStyle name="Обычный 7 4 5 7 3" xfId="20910"/>
    <cellStyle name="Обычный 7 4 5 8" xfId="20911"/>
    <cellStyle name="Обычный 7 4 5 8 2" xfId="20912"/>
    <cellStyle name="Обычный 7 4 5 8 3" xfId="20913"/>
    <cellStyle name="Обычный 7 4 5 9" xfId="20914"/>
    <cellStyle name="Обычный 7 4 5 9 2" xfId="20915"/>
    <cellStyle name="Обычный 7 4 5 9 3" xfId="20916"/>
    <cellStyle name="Обычный 7 4 50" xfId="20917"/>
    <cellStyle name="Обычный 7 4 50 2" xfId="20918"/>
    <cellStyle name="Обычный 7 4 50 3" xfId="20919"/>
    <cellStyle name="Обычный 7 4 51" xfId="20920"/>
    <cellStyle name="Обычный 7 4 51 2" xfId="20921"/>
    <cellStyle name="Обычный 7 4 51 3" xfId="20922"/>
    <cellStyle name="Обычный 7 4 52" xfId="20923"/>
    <cellStyle name="Обычный 7 4 52 2" xfId="20924"/>
    <cellStyle name="Обычный 7 4 52 3" xfId="20925"/>
    <cellStyle name="Обычный 7 4 53" xfId="20926"/>
    <cellStyle name="Обычный 7 4 53 2" xfId="20927"/>
    <cellStyle name="Обычный 7 4 53 3" xfId="20928"/>
    <cellStyle name="Обычный 7 4 54" xfId="20929"/>
    <cellStyle name="Обычный 7 4 54 2" xfId="20930"/>
    <cellStyle name="Обычный 7 4 54 3" xfId="20931"/>
    <cellStyle name="Обычный 7 4 55" xfId="20932"/>
    <cellStyle name="Обычный 7 4 55 2" xfId="20933"/>
    <cellStyle name="Обычный 7 4 55 3" xfId="20934"/>
    <cellStyle name="Обычный 7 4 56" xfId="20935"/>
    <cellStyle name="Обычный 7 4 56 2" xfId="20936"/>
    <cellStyle name="Обычный 7 4 56 3" xfId="20937"/>
    <cellStyle name="Обычный 7 4 57" xfId="20938"/>
    <cellStyle name="Обычный 7 4 57 2" xfId="20939"/>
    <cellStyle name="Обычный 7 4 57 3" xfId="20940"/>
    <cellStyle name="Обычный 7 4 58" xfId="20941"/>
    <cellStyle name="Обычный 7 4 58 2" xfId="20942"/>
    <cellStyle name="Обычный 7 4 58 3" xfId="20943"/>
    <cellStyle name="Обычный 7 4 59" xfId="20944"/>
    <cellStyle name="Обычный 7 4 59 2" xfId="20945"/>
    <cellStyle name="Обычный 7 4 59 3" xfId="20946"/>
    <cellStyle name="Обычный 7 4 6" xfId="20947"/>
    <cellStyle name="Обычный 7 4 6 10" xfId="20948"/>
    <cellStyle name="Обычный 7 4 6 10 2" xfId="20949"/>
    <cellStyle name="Обычный 7 4 6 10 3" xfId="20950"/>
    <cellStyle name="Обычный 7 4 6 11" xfId="20951"/>
    <cellStyle name="Обычный 7 4 6 11 2" xfId="20952"/>
    <cellStyle name="Обычный 7 4 6 11 3" xfId="20953"/>
    <cellStyle name="Обычный 7 4 6 12" xfId="20954"/>
    <cellStyle name="Обычный 7 4 6 12 2" xfId="20955"/>
    <cellStyle name="Обычный 7 4 6 12 3" xfId="20956"/>
    <cellStyle name="Обычный 7 4 6 13" xfId="20957"/>
    <cellStyle name="Обычный 7 4 6 13 2" xfId="20958"/>
    <cellStyle name="Обычный 7 4 6 13 3" xfId="20959"/>
    <cellStyle name="Обычный 7 4 6 14" xfId="20960"/>
    <cellStyle name="Обычный 7 4 6 14 2" xfId="20961"/>
    <cellStyle name="Обычный 7 4 6 14 3" xfId="20962"/>
    <cellStyle name="Обычный 7 4 6 15" xfId="20963"/>
    <cellStyle name="Обычный 7 4 6 15 2" xfId="20964"/>
    <cellStyle name="Обычный 7 4 6 15 3" xfId="20965"/>
    <cellStyle name="Обычный 7 4 6 16" xfId="20966"/>
    <cellStyle name="Обычный 7 4 6 16 2" xfId="20967"/>
    <cellStyle name="Обычный 7 4 6 16 3" xfId="20968"/>
    <cellStyle name="Обычный 7 4 6 17" xfId="20969"/>
    <cellStyle name="Обычный 7 4 6 17 2" xfId="20970"/>
    <cellStyle name="Обычный 7 4 6 17 3" xfId="20971"/>
    <cellStyle name="Обычный 7 4 6 18" xfId="20972"/>
    <cellStyle name="Обычный 7 4 6 18 2" xfId="20973"/>
    <cellStyle name="Обычный 7 4 6 18 3" xfId="20974"/>
    <cellStyle name="Обычный 7 4 6 19" xfId="20975"/>
    <cellStyle name="Обычный 7 4 6 19 2" xfId="20976"/>
    <cellStyle name="Обычный 7 4 6 19 3" xfId="20977"/>
    <cellStyle name="Обычный 7 4 6 2" xfId="20978"/>
    <cellStyle name="Обычный 7 4 6 2 2" xfId="20979"/>
    <cellStyle name="Обычный 7 4 6 2 3" xfId="20980"/>
    <cellStyle name="Обычный 7 4 6 20" xfId="20981"/>
    <cellStyle name="Обычный 7 4 6 20 2" xfId="20982"/>
    <cellStyle name="Обычный 7 4 6 20 3" xfId="20983"/>
    <cellStyle name="Обычный 7 4 6 21" xfId="20984"/>
    <cellStyle name="Обычный 7 4 6 21 2" xfId="20985"/>
    <cellStyle name="Обычный 7 4 6 21 3" xfId="20986"/>
    <cellStyle name="Обычный 7 4 6 22" xfId="20987"/>
    <cellStyle name="Обычный 7 4 6 22 2" xfId="20988"/>
    <cellStyle name="Обычный 7 4 6 22 3" xfId="20989"/>
    <cellStyle name="Обычный 7 4 6 23" xfId="20990"/>
    <cellStyle name="Обычный 7 4 6 23 2" xfId="20991"/>
    <cellStyle name="Обычный 7 4 6 23 3" xfId="20992"/>
    <cellStyle name="Обычный 7 4 6 24" xfId="20993"/>
    <cellStyle name="Обычный 7 4 6 24 2" xfId="20994"/>
    <cellStyle name="Обычный 7 4 6 24 3" xfId="20995"/>
    <cellStyle name="Обычный 7 4 6 25" xfId="20996"/>
    <cellStyle name="Обычный 7 4 6 25 2" xfId="20997"/>
    <cellStyle name="Обычный 7 4 6 25 3" xfId="20998"/>
    <cellStyle name="Обычный 7 4 6 26" xfId="20999"/>
    <cellStyle name="Обычный 7 4 6 26 2" xfId="21000"/>
    <cellStyle name="Обычный 7 4 6 26 3" xfId="21001"/>
    <cellStyle name="Обычный 7 4 6 27" xfId="21002"/>
    <cellStyle name="Обычный 7 4 6 27 2" xfId="21003"/>
    <cellStyle name="Обычный 7 4 6 27 3" xfId="21004"/>
    <cellStyle name="Обычный 7 4 6 28" xfId="21005"/>
    <cellStyle name="Обычный 7 4 6 28 2" xfId="21006"/>
    <cellStyle name="Обычный 7 4 6 28 3" xfId="21007"/>
    <cellStyle name="Обычный 7 4 6 29" xfId="21008"/>
    <cellStyle name="Обычный 7 4 6 29 2" xfId="21009"/>
    <cellStyle name="Обычный 7 4 6 29 3" xfId="21010"/>
    <cellStyle name="Обычный 7 4 6 3" xfId="21011"/>
    <cellStyle name="Обычный 7 4 6 3 2" xfId="21012"/>
    <cellStyle name="Обычный 7 4 6 3 3" xfId="21013"/>
    <cellStyle name="Обычный 7 4 6 30" xfId="21014"/>
    <cellStyle name="Обычный 7 4 6 30 2" xfId="21015"/>
    <cellStyle name="Обычный 7 4 6 30 3" xfId="21016"/>
    <cellStyle name="Обычный 7 4 6 31" xfId="21017"/>
    <cellStyle name="Обычный 7 4 6 31 2" xfId="21018"/>
    <cellStyle name="Обычный 7 4 6 31 3" xfId="21019"/>
    <cellStyle name="Обычный 7 4 6 32" xfId="21020"/>
    <cellStyle name="Обычный 7 4 6 32 2" xfId="21021"/>
    <cellStyle name="Обычный 7 4 6 32 3" xfId="21022"/>
    <cellStyle name="Обычный 7 4 6 33" xfId="21023"/>
    <cellStyle name="Обычный 7 4 6 33 2" xfId="21024"/>
    <cellStyle name="Обычный 7 4 6 33 3" xfId="21025"/>
    <cellStyle name="Обычный 7 4 6 34" xfId="21026"/>
    <cellStyle name="Обычный 7 4 6 34 2" xfId="21027"/>
    <cellStyle name="Обычный 7 4 6 34 3" xfId="21028"/>
    <cellStyle name="Обычный 7 4 6 35" xfId="21029"/>
    <cellStyle name="Обычный 7 4 6 35 2" xfId="21030"/>
    <cellStyle name="Обычный 7 4 6 35 3" xfId="21031"/>
    <cellStyle name="Обычный 7 4 6 36" xfId="21032"/>
    <cellStyle name="Обычный 7 4 6 36 2" xfId="21033"/>
    <cellStyle name="Обычный 7 4 6 36 3" xfId="21034"/>
    <cellStyle name="Обычный 7 4 6 37" xfId="21035"/>
    <cellStyle name="Обычный 7 4 6 37 2" xfId="21036"/>
    <cellStyle name="Обычный 7 4 6 37 3" xfId="21037"/>
    <cellStyle name="Обычный 7 4 6 38" xfId="21038"/>
    <cellStyle name="Обычный 7 4 6 38 2" xfId="21039"/>
    <cellStyle name="Обычный 7 4 6 38 3" xfId="21040"/>
    <cellStyle name="Обычный 7 4 6 39" xfId="21041"/>
    <cellStyle name="Обычный 7 4 6 39 2" xfId="21042"/>
    <cellStyle name="Обычный 7 4 6 39 3" xfId="21043"/>
    <cellStyle name="Обычный 7 4 6 4" xfId="21044"/>
    <cellStyle name="Обычный 7 4 6 4 2" xfId="21045"/>
    <cellStyle name="Обычный 7 4 6 4 3" xfId="21046"/>
    <cellStyle name="Обычный 7 4 6 40" xfId="21047"/>
    <cellStyle name="Обычный 7 4 6 40 2" xfId="21048"/>
    <cellStyle name="Обычный 7 4 6 40 3" xfId="21049"/>
    <cellStyle name="Обычный 7 4 6 41" xfId="21050"/>
    <cellStyle name="Обычный 7 4 6 41 2" xfId="21051"/>
    <cellStyle name="Обычный 7 4 6 41 3" xfId="21052"/>
    <cellStyle name="Обычный 7 4 6 42" xfId="21053"/>
    <cellStyle name="Обычный 7 4 6 42 2" xfId="21054"/>
    <cellStyle name="Обычный 7 4 6 42 3" xfId="21055"/>
    <cellStyle name="Обычный 7 4 6 43" xfId="21056"/>
    <cellStyle name="Обычный 7 4 6 43 2" xfId="21057"/>
    <cellStyle name="Обычный 7 4 6 43 3" xfId="21058"/>
    <cellStyle name="Обычный 7 4 6 44" xfId="21059"/>
    <cellStyle name="Обычный 7 4 6 44 2" xfId="21060"/>
    <cellStyle name="Обычный 7 4 6 44 3" xfId="21061"/>
    <cellStyle name="Обычный 7 4 6 45" xfId="21062"/>
    <cellStyle name="Обычный 7 4 6 45 2" xfId="21063"/>
    <cellStyle name="Обычный 7 4 6 45 3" xfId="21064"/>
    <cellStyle name="Обычный 7 4 6 46" xfId="21065"/>
    <cellStyle name="Обычный 7 4 6 46 2" xfId="21066"/>
    <cellStyle name="Обычный 7 4 6 46 3" xfId="21067"/>
    <cellStyle name="Обычный 7 4 6 47" xfId="21068"/>
    <cellStyle name="Обычный 7 4 6 47 2" xfId="21069"/>
    <cellStyle name="Обычный 7 4 6 47 3" xfId="21070"/>
    <cellStyle name="Обычный 7 4 6 48" xfId="21071"/>
    <cellStyle name="Обычный 7 4 6 48 2" xfId="21072"/>
    <cellStyle name="Обычный 7 4 6 48 3" xfId="21073"/>
    <cellStyle name="Обычный 7 4 6 49" xfId="21074"/>
    <cellStyle name="Обычный 7 4 6 49 2" xfId="21075"/>
    <cellStyle name="Обычный 7 4 6 49 3" xfId="21076"/>
    <cellStyle name="Обычный 7 4 6 5" xfId="21077"/>
    <cellStyle name="Обычный 7 4 6 5 2" xfId="21078"/>
    <cellStyle name="Обычный 7 4 6 5 3" xfId="21079"/>
    <cellStyle name="Обычный 7 4 6 50" xfId="21080"/>
    <cellStyle name="Обычный 7 4 6 50 2" xfId="21081"/>
    <cellStyle name="Обычный 7 4 6 50 3" xfId="21082"/>
    <cellStyle name="Обычный 7 4 6 51" xfId="21083"/>
    <cellStyle name="Обычный 7 4 6 51 2" xfId="21084"/>
    <cellStyle name="Обычный 7 4 6 51 3" xfId="21085"/>
    <cellStyle name="Обычный 7 4 6 52" xfId="21086"/>
    <cellStyle name="Обычный 7 4 6 52 2" xfId="21087"/>
    <cellStyle name="Обычный 7 4 6 52 3" xfId="21088"/>
    <cellStyle name="Обычный 7 4 6 53" xfId="21089"/>
    <cellStyle name="Обычный 7 4 6 53 2" xfId="21090"/>
    <cellStyle name="Обычный 7 4 6 53 3" xfId="21091"/>
    <cellStyle name="Обычный 7 4 6 54" xfId="21092"/>
    <cellStyle name="Обычный 7 4 6 54 2" xfId="21093"/>
    <cellStyle name="Обычный 7 4 6 54 3" xfId="21094"/>
    <cellStyle name="Обычный 7 4 6 55" xfId="21095"/>
    <cellStyle name="Обычный 7 4 6 55 2" xfId="21096"/>
    <cellStyle name="Обычный 7 4 6 55 3" xfId="21097"/>
    <cellStyle name="Обычный 7 4 6 56" xfId="21098"/>
    <cellStyle name="Обычный 7 4 6 56 2" xfId="21099"/>
    <cellStyle name="Обычный 7 4 6 56 3" xfId="21100"/>
    <cellStyle name="Обычный 7 4 6 57" xfId="21101"/>
    <cellStyle name="Обычный 7 4 6 57 2" xfId="21102"/>
    <cellStyle name="Обычный 7 4 6 57 3" xfId="21103"/>
    <cellStyle name="Обычный 7 4 6 58" xfId="21104"/>
    <cellStyle name="Обычный 7 4 6 58 2" xfId="21105"/>
    <cellStyle name="Обычный 7 4 6 58 3" xfId="21106"/>
    <cellStyle name="Обычный 7 4 6 59" xfId="21107"/>
    <cellStyle name="Обычный 7 4 6 59 2" xfId="21108"/>
    <cellStyle name="Обычный 7 4 6 59 3" xfId="21109"/>
    <cellStyle name="Обычный 7 4 6 6" xfId="21110"/>
    <cellStyle name="Обычный 7 4 6 6 2" xfId="21111"/>
    <cellStyle name="Обычный 7 4 6 6 3" xfId="21112"/>
    <cellStyle name="Обычный 7 4 6 60" xfId="21113"/>
    <cellStyle name="Обычный 7 4 6 60 2" xfId="21114"/>
    <cellStyle name="Обычный 7 4 6 60 3" xfId="21115"/>
    <cellStyle name="Обычный 7 4 6 61" xfId="21116"/>
    <cellStyle name="Обычный 7 4 6 61 2" xfId="21117"/>
    <cellStyle name="Обычный 7 4 6 61 3" xfId="21118"/>
    <cellStyle name="Обычный 7 4 6 62" xfId="21119"/>
    <cellStyle name="Обычный 7 4 6 62 2" xfId="21120"/>
    <cellStyle name="Обычный 7 4 6 62 3" xfId="21121"/>
    <cellStyle name="Обычный 7 4 6 63" xfId="21122"/>
    <cellStyle name="Обычный 7 4 6 63 2" xfId="21123"/>
    <cellStyle name="Обычный 7 4 6 63 3" xfId="21124"/>
    <cellStyle name="Обычный 7 4 6 64" xfId="21125"/>
    <cellStyle name="Обычный 7 4 6 65" xfId="21126"/>
    <cellStyle name="Обычный 7 4 6 7" xfId="21127"/>
    <cellStyle name="Обычный 7 4 6 7 2" xfId="21128"/>
    <cellStyle name="Обычный 7 4 6 7 3" xfId="21129"/>
    <cellStyle name="Обычный 7 4 6 8" xfId="21130"/>
    <cellStyle name="Обычный 7 4 6 8 2" xfId="21131"/>
    <cellStyle name="Обычный 7 4 6 8 3" xfId="21132"/>
    <cellStyle name="Обычный 7 4 6 9" xfId="21133"/>
    <cellStyle name="Обычный 7 4 6 9 2" xfId="21134"/>
    <cellStyle name="Обычный 7 4 6 9 3" xfId="21135"/>
    <cellStyle name="Обычный 7 4 60" xfId="21136"/>
    <cellStyle name="Обычный 7 4 60 2" xfId="21137"/>
    <cellStyle name="Обычный 7 4 60 3" xfId="21138"/>
    <cellStyle name="Обычный 7 4 61" xfId="21139"/>
    <cellStyle name="Обычный 7 4 61 2" xfId="21140"/>
    <cellStyle name="Обычный 7 4 61 3" xfId="21141"/>
    <cellStyle name="Обычный 7 4 62" xfId="21142"/>
    <cellStyle name="Обычный 7 4 62 2" xfId="21143"/>
    <cellStyle name="Обычный 7 4 62 3" xfId="21144"/>
    <cellStyle name="Обычный 7 4 63" xfId="21145"/>
    <cellStyle name="Обычный 7 4 63 2" xfId="21146"/>
    <cellStyle name="Обычный 7 4 63 3" xfId="21147"/>
    <cellStyle name="Обычный 7 4 64" xfId="21148"/>
    <cellStyle name="Обычный 7 4 64 2" xfId="21149"/>
    <cellStyle name="Обычный 7 4 64 3" xfId="21150"/>
    <cellStyle name="Обычный 7 4 65" xfId="21151"/>
    <cellStyle name="Обычный 7 4 65 2" xfId="21152"/>
    <cellStyle name="Обычный 7 4 65 3" xfId="21153"/>
    <cellStyle name="Обычный 7 4 66" xfId="21154"/>
    <cellStyle name="Обычный 7 4 66 2" xfId="21155"/>
    <cellStyle name="Обычный 7 4 66 3" xfId="21156"/>
    <cellStyle name="Обычный 7 4 67" xfId="21157"/>
    <cellStyle name="Обычный 7 4 67 2" xfId="21158"/>
    <cellStyle name="Обычный 7 4 67 3" xfId="21159"/>
    <cellStyle name="Обычный 7 4 68" xfId="21160"/>
    <cellStyle name="Обычный 7 4 68 2" xfId="21161"/>
    <cellStyle name="Обычный 7 4 68 3" xfId="21162"/>
    <cellStyle name="Обычный 7 4 69" xfId="21163"/>
    <cellStyle name="Обычный 7 4 69 2" xfId="21164"/>
    <cellStyle name="Обычный 7 4 69 3" xfId="21165"/>
    <cellStyle name="Обычный 7 4 7" xfId="21166"/>
    <cellStyle name="Обычный 7 4 7 10" xfId="21167"/>
    <cellStyle name="Обычный 7 4 7 10 2" xfId="21168"/>
    <cellStyle name="Обычный 7 4 7 10 3" xfId="21169"/>
    <cellStyle name="Обычный 7 4 7 11" xfId="21170"/>
    <cellStyle name="Обычный 7 4 7 11 2" xfId="21171"/>
    <cellStyle name="Обычный 7 4 7 11 3" xfId="21172"/>
    <cellStyle name="Обычный 7 4 7 12" xfId="21173"/>
    <cellStyle name="Обычный 7 4 7 12 2" xfId="21174"/>
    <cellStyle name="Обычный 7 4 7 12 3" xfId="21175"/>
    <cellStyle name="Обычный 7 4 7 13" xfId="21176"/>
    <cellStyle name="Обычный 7 4 7 13 2" xfId="21177"/>
    <cellStyle name="Обычный 7 4 7 13 3" xfId="21178"/>
    <cellStyle name="Обычный 7 4 7 14" xfId="21179"/>
    <cellStyle name="Обычный 7 4 7 14 2" xfId="21180"/>
    <cellStyle name="Обычный 7 4 7 14 3" xfId="21181"/>
    <cellStyle name="Обычный 7 4 7 15" xfId="21182"/>
    <cellStyle name="Обычный 7 4 7 15 2" xfId="21183"/>
    <cellStyle name="Обычный 7 4 7 15 3" xfId="21184"/>
    <cellStyle name="Обычный 7 4 7 16" xfId="21185"/>
    <cellStyle name="Обычный 7 4 7 16 2" xfId="21186"/>
    <cellStyle name="Обычный 7 4 7 16 3" xfId="21187"/>
    <cellStyle name="Обычный 7 4 7 17" xfId="21188"/>
    <cellStyle name="Обычный 7 4 7 17 2" xfId="21189"/>
    <cellStyle name="Обычный 7 4 7 17 3" xfId="21190"/>
    <cellStyle name="Обычный 7 4 7 18" xfId="21191"/>
    <cellStyle name="Обычный 7 4 7 18 2" xfId="21192"/>
    <cellStyle name="Обычный 7 4 7 18 3" xfId="21193"/>
    <cellStyle name="Обычный 7 4 7 19" xfId="21194"/>
    <cellStyle name="Обычный 7 4 7 19 2" xfId="21195"/>
    <cellStyle name="Обычный 7 4 7 19 3" xfId="21196"/>
    <cellStyle name="Обычный 7 4 7 2" xfId="21197"/>
    <cellStyle name="Обычный 7 4 7 2 2" xfId="21198"/>
    <cellStyle name="Обычный 7 4 7 2 3" xfId="21199"/>
    <cellStyle name="Обычный 7 4 7 20" xfId="21200"/>
    <cellStyle name="Обычный 7 4 7 20 2" xfId="21201"/>
    <cellStyle name="Обычный 7 4 7 20 3" xfId="21202"/>
    <cellStyle name="Обычный 7 4 7 21" xfId="21203"/>
    <cellStyle name="Обычный 7 4 7 21 2" xfId="21204"/>
    <cellStyle name="Обычный 7 4 7 21 3" xfId="21205"/>
    <cellStyle name="Обычный 7 4 7 22" xfId="21206"/>
    <cellStyle name="Обычный 7 4 7 22 2" xfId="21207"/>
    <cellStyle name="Обычный 7 4 7 22 3" xfId="21208"/>
    <cellStyle name="Обычный 7 4 7 23" xfId="21209"/>
    <cellStyle name="Обычный 7 4 7 23 2" xfId="21210"/>
    <cellStyle name="Обычный 7 4 7 23 3" xfId="21211"/>
    <cellStyle name="Обычный 7 4 7 24" xfId="21212"/>
    <cellStyle name="Обычный 7 4 7 24 2" xfId="21213"/>
    <cellStyle name="Обычный 7 4 7 24 3" xfId="21214"/>
    <cellStyle name="Обычный 7 4 7 25" xfId="21215"/>
    <cellStyle name="Обычный 7 4 7 25 2" xfId="21216"/>
    <cellStyle name="Обычный 7 4 7 25 3" xfId="21217"/>
    <cellStyle name="Обычный 7 4 7 26" xfId="21218"/>
    <cellStyle name="Обычный 7 4 7 26 2" xfId="21219"/>
    <cellStyle name="Обычный 7 4 7 26 3" xfId="21220"/>
    <cellStyle name="Обычный 7 4 7 27" xfId="21221"/>
    <cellStyle name="Обычный 7 4 7 27 2" xfId="21222"/>
    <cellStyle name="Обычный 7 4 7 27 3" xfId="21223"/>
    <cellStyle name="Обычный 7 4 7 28" xfId="21224"/>
    <cellStyle name="Обычный 7 4 7 28 2" xfId="21225"/>
    <cellStyle name="Обычный 7 4 7 28 3" xfId="21226"/>
    <cellStyle name="Обычный 7 4 7 29" xfId="21227"/>
    <cellStyle name="Обычный 7 4 7 29 2" xfId="21228"/>
    <cellStyle name="Обычный 7 4 7 29 3" xfId="21229"/>
    <cellStyle name="Обычный 7 4 7 3" xfId="21230"/>
    <cellStyle name="Обычный 7 4 7 3 2" xfId="21231"/>
    <cellStyle name="Обычный 7 4 7 3 3" xfId="21232"/>
    <cellStyle name="Обычный 7 4 7 30" xfId="21233"/>
    <cellStyle name="Обычный 7 4 7 30 2" xfId="21234"/>
    <cellStyle name="Обычный 7 4 7 30 3" xfId="21235"/>
    <cellStyle name="Обычный 7 4 7 31" xfId="21236"/>
    <cellStyle name="Обычный 7 4 7 31 2" xfId="21237"/>
    <cellStyle name="Обычный 7 4 7 31 3" xfId="21238"/>
    <cellStyle name="Обычный 7 4 7 32" xfId="21239"/>
    <cellStyle name="Обычный 7 4 7 32 2" xfId="21240"/>
    <cellStyle name="Обычный 7 4 7 32 3" xfId="21241"/>
    <cellStyle name="Обычный 7 4 7 33" xfId="21242"/>
    <cellStyle name="Обычный 7 4 7 33 2" xfId="21243"/>
    <cellStyle name="Обычный 7 4 7 33 3" xfId="21244"/>
    <cellStyle name="Обычный 7 4 7 34" xfId="21245"/>
    <cellStyle name="Обычный 7 4 7 34 2" xfId="21246"/>
    <cellStyle name="Обычный 7 4 7 34 3" xfId="21247"/>
    <cellStyle name="Обычный 7 4 7 35" xfId="21248"/>
    <cellStyle name="Обычный 7 4 7 35 2" xfId="21249"/>
    <cellStyle name="Обычный 7 4 7 35 3" xfId="21250"/>
    <cellStyle name="Обычный 7 4 7 36" xfId="21251"/>
    <cellStyle name="Обычный 7 4 7 36 2" xfId="21252"/>
    <cellStyle name="Обычный 7 4 7 36 3" xfId="21253"/>
    <cellStyle name="Обычный 7 4 7 37" xfId="21254"/>
    <cellStyle name="Обычный 7 4 7 37 2" xfId="21255"/>
    <cellStyle name="Обычный 7 4 7 37 3" xfId="21256"/>
    <cellStyle name="Обычный 7 4 7 38" xfId="21257"/>
    <cellStyle name="Обычный 7 4 7 38 2" xfId="21258"/>
    <cellStyle name="Обычный 7 4 7 38 3" xfId="21259"/>
    <cellStyle name="Обычный 7 4 7 39" xfId="21260"/>
    <cellStyle name="Обычный 7 4 7 39 2" xfId="21261"/>
    <cellStyle name="Обычный 7 4 7 39 3" xfId="21262"/>
    <cellStyle name="Обычный 7 4 7 4" xfId="21263"/>
    <cellStyle name="Обычный 7 4 7 4 2" xfId="21264"/>
    <cellStyle name="Обычный 7 4 7 4 3" xfId="21265"/>
    <cellStyle name="Обычный 7 4 7 40" xfId="21266"/>
    <cellStyle name="Обычный 7 4 7 40 2" xfId="21267"/>
    <cellStyle name="Обычный 7 4 7 40 3" xfId="21268"/>
    <cellStyle name="Обычный 7 4 7 41" xfId="21269"/>
    <cellStyle name="Обычный 7 4 7 41 2" xfId="21270"/>
    <cellStyle name="Обычный 7 4 7 41 3" xfId="21271"/>
    <cellStyle name="Обычный 7 4 7 42" xfId="21272"/>
    <cellStyle name="Обычный 7 4 7 42 2" xfId="21273"/>
    <cellStyle name="Обычный 7 4 7 42 3" xfId="21274"/>
    <cellStyle name="Обычный 7 4 7 43" xfId="21275"/>
    <cellStyle name="Обычный 7 4 7 43 2" xfId="21276"/>
    <cellStyle name="Обычный 7 4 7 43 3" xfId="21277"/>
    <cellStyle name="Обычный 7 4 7 44" xfId="21278"/>
    <cellStyle name="Обычный 7 4 7 44 2" xfId="21279"/>
    <cellStyle name="Обычный 7 4 7 44 3" xfId="21280"/>
    <cellStyle name="Обычный 7 4 7 45" xfId="21281"/>
    <cellStyle name="Обычный 7 4 7 45 2" xfId="21282"/>
    <cellStyle name="Обычный 7 4 7 45 3" xfId="21283"/>
    <cellStyle name="Обычный 7 4 7 46" xfId="21284"/>
    <cellStyle name="Обычный 7 4 7 46 2" xfId="21285"/>
    <cellStyle name="Обычный 7 4 7 46 3" xfId="21286"/>
    <cellStyle name="Обычный 7 4 7 47" xfId="21287"/>
    <cellStyle name="Обычный 7 4 7 47 2" xfId="21288"/>
    <cellStyle name="Обычный 7 4 7 47 3" xfId="21289"/>
    <cellStyle name="Обычный 7 4 7 48" xfId="21290"/>
    <cellStyle name="Обычный 7 4 7 48 2" xfId="21291"/>
    <cellStyle name="Обычный 7 4 7 48 3" xfId="21292"/>
    <cellStyle name="Обычный 7 4 7 49" xfId="21293"/>
    <cellStyle name="Обычный 7 4 7 49 2" xfId="21294"/>
    <cellStyle name="Обычный 7 4 7 49 3" xfId="21295"/>
    <cellStyle name="Обычный 7 4 7 5" xfId="21296"/>
    <cellStyle name="Обычный 7 4 7 5 2" xfId="21297"/>
    <cellStyle name="Обычный 7 4 7 5 3" xfId="21298"/>
    <cellStyle name="Обычный 7 4 7 50" xfId="21299"/>
    <cellStyle name="Обычный 7 4 7 50 2" xfId="21300"/>
    <cellStyle name="Обычный 7 4 7 50 3" xfId="21301"/>
    <cellStyle name="Обычный 7 4 7 51" xfId="21302"/>
    <cellStyle name="Обычный 7 4 7 51 2" xfId="21303"/>
    <cellStyle name="Обычный 7 4 7 51 3" xfId="21304"/>
    <cellStyle name="Обычный 7 4 7 52" xfId="21305"/>
    <cellStyle name="Обычный 7 4 7 52 2" xfId="21306"/>
    <cellStyle name="Обычный 7 4 7 52 3" xfId="21307"/>
    <cellStyle name="Обычный 7 4 7 53" xfId="21308"/>
    <cellStyle name="Обычный 7 4 7 53 2" xfId="21309"/>
    <cellStyle name="Обычный 7 4 7 53 3" xfId="21310"/>
    <cellStyle name="Обычный 7 4 7 54" xfId="21311"/>
    <cellStyle name="Обычный 7 4 7 54 2" xfId="21312"/>
    <cellStyle name="Обычный 7 4 7 54 3" xfId="21313"/>
    <cellStyle name="Обычный 7 4 7 55" xfId="21314"/>
    <cellStyle name="Обычный 7 4 7 55 2" xfId="21315"/>
    <cellStyle name="Обычный 7 4 7 55 3" xfId="21316"/>
    <cellStyle name="Обычный 7 4 7 56" xfId="21317"/>
    <cellStyle name="Обычный 7 4 7 56 2" xfId="21318"/>
    <cellStyle name="Обычный 7 4 7 56 3" xfId="21319"/>
    <cellStyle name="Обычный 7 4 7 57" xfId="21320"/>
    <cellStyle name="Обычный 7 4 7 57 2" xfId="21321"/>
    <cellStyle name="Обычный 7 4 7 57 3" xfId="21322"/>
    <cellStyle name="Обычный 7 4 7 58" xfId="21323"/>
    <cellStyle name="Обычный 7 4 7 58 2" xfId="21324"/>
    <cellStyle name="Обычный 7 4 7 58 3" xfId="21325"/>
    <cellStyle name="Обычный 7 4 7 59" xfId="21326"/>
    <cellStyle name="Обычный 7 4 7 59 2" xfId="21327"/>
    <cellStyle name="Обычный 7 4 7 59 3" xfId="21328"/>
    <cellStyle name="Обычный 7 4 7 6" xfId="21329"/>
    <cellStyle name="Обычный 7 4 7 6 2" xfId="21330"/>
    <cellStyle name="Обычный 7 4 7 6 3" xfId="21331"/>
    <cellStyle name="Обычный 7 4 7 60" xfId="21332"/>
    <cellStyle name="Обычный 7 4 7 60 2" xfId="21333"/>
    <cellStyle name="Обычный 7 4 7 60 3" xfId="21334"/>
    <cellStyle name="Обычный 7 4 7 61" xfId="21335"/>
    <cellStyle name="Обычный 7 4 7 61 2" xfId="21336"/>
    <cellStyle name="Обычный 7 4 7 61 3" xfId="21337"/>
    <cellStyle name="Обычный 7 4 7 62" xfId="21338"/>
    <cellStyle name="Обычный 7 4 7 62 2" xfId="21339"/>
    <cellStyle name="Обычный 7 4 7 62 3" xfId="21340"/>
    <cellStyle name="Обычный 7 4 7 63" xfId="21341"/>
    <cellStyle name="Обычный 7 4 7 63 2" xfId="21342"/>
    <cellStyle name="Обычный 7 4 7 63 3" xfId="21343"/>
    <cellStyle name="Обычный 7 4 7 64" xfId="21344"/>
    <cellStyle name="Обычный 7 4 7 65" xfId="21345"/>
    <cellStyle name="Обычный 7 4 7 7" xfId="21346"/>
    <cellStyle name="Обычный 7 4 7 7 2" xfId="21347"/>
    <cellStyle name="Обычный 7 4 7 7 3" xfId="21348"/>
    <cellStyle name="Обычный 7 4 7 8" xfId="21349"/>
    <cellStyle name="Обычный 7 4 7 8 2" xfId="21350"/>
    <cellStyle name="Обычный 7 4 7 8 3" xfId="21351"/>
    <cellStyle name="Обычный 7 4 7 9" xfId="21352"/>
    <cellStyle name="Обычный 7 4 7 9 2" xfId="21353"/>
    <cellStyle name="Обычный 7 4 7 9 3" xfId="21354"/>
    <cellStyle name="Обычный 7 4 70" xfId="21355"/>
    <cellStyle name="Обычный 7 4 70 2" xfId="21356"/>
    <cellStyle name="Обычный 7 4 70 3" xfId="21357"/>
    <cellStyle name="Обычный 7 4 71" xfId="21358"/>
    <cellStyle name="Обычный 7 4 72" xfId="21359"/>
    <cellStyle name="Обычный 7 4 8" xfId="21360"/>
    <cellStyle name="Обычный 7 4 8 10" xfId="21361"/>
    <cellStyle name="Обычный 7 4 8 10 2" xfId="21362"/>
    <cellStyle name="Обычный 7 4 8 10 3" xfId="21363"/>
    <cellStyle name="Обычный 7 4 8 11" xfId="21364"/>
    <cellStyle name="Обычный 7 4 8 11 2" xfId="21365"/>
    <cellStyle name="Обычный 7 4 8 11 3" xfId="21366"/>
    <cellStyle name="Обычный 7 4 8 12" xfId="21367"/>
    <cellStyle name="Обычный 7 4 8 12 2" xfId="21368"/>
    <cellStyle name="Обычный 7 4 8 12 3" xfId="21369"/>
    <cellStyle name="Обычный 7 4 8 13" xfId="21370"/>
    <cellStyle name="Обычный 7 4 8 13 2" xfId="21371"/>
    <cellStyle name="Обычный 7 4 8 13 3" xfId="21372"/>
    <cellStyle name="Обычный 7 4 8 14" xfId="21373"/>
    <cellStyle name="Обычный 7 4 8 14 2" xfId="21374"/>
    <cellStyle name="Обычный 7 4 8 14 3" xfId="21375"/>
    <cellStyle name="Обычный 7 4 8 15" xfId="21376"/>
    <cellStyle name="Обычный 7 4 8 15 2" xfId="21377"/>
    <cellStyle name="Обычный 7 4 8 15 3" xfId="21378"/>
    <cellStyle name="Обычный 7 4 8 16" xfId="21379"/>
    <cellStyle name="Обычный 7 4 8 16 2" xfId="21380"/>
    <cellStyle name="Обычный 7 4 8 16 3" xfId="21381"/>
    <cellStyle name="Обычный 7 4 8 17" xfId="21382"/>
    <cellStyle name="Обычный 7 4 8 17 2" xfId="21383"/>
    <cellStyle name="Обычный 7 4 8 17 3" xfId="21384"/>
    <cellStyle name="Обычный 7 4 8 18" xfId="21385"/>
    <cellStyle name="Обычный 7 4 8 18 2" xfId="21386"/>
    <cellStyle name="Обычный 7 4 8 18 3" xfId="21387"/>
    <cellStyle name="Обычный 7 4 8 19" xfId="21388"/>
    <cellStyle name="Обычный 7 4 8 19 2" xfId="21389"/>
    <cellStyle name="Обычный 7 4 8 19 3" xfId="21390"/>
    <cellStyle name="Обычный 7 4 8 2" xfId="21391"/>
    <cellStyle name="Обычный 7 4 8 2 2" xfId="21392"/>
    <cellStyle name="Обычный 7 4 8 2 3" xfId="21393"/>
    <cellStyle name="Обычный 7 4 8 20" xfId="21394"/>
    <cellStyle name="Обычный 7 4 8 20 2" xfId="21395"/>
    <cellStyle name="Обычный 7 4 8 20 3" xfId="21396"/>
    <cellStyle name="Обычный 7 4 8 21" xfId="21397"/>
    <cellStyle name="Обычный 7 4 8 21 2" xfId="21398"/>
    <cellStyle name="Обычный 7 4 8 21 3" xfId="21399"/>
    <cellStyle name="Обычный 7 4 8 22" xfId="21400"/>
    <cellStyle name="Обычный 7 4 8 22 2" xfId="21401"/>
    <cellStyle name="Обычный 7 4 8 22 3" xfId="21402"/>
    <cellStyle name="Обычный 7 4 8 23" xfId="21403"/>
    <cellStyle name="Обычный 7 4 8 23 2" xfId="21404"/>
    <cellStyle name="Обычный 7 4 8 23 3" xfId="21405"/>
    <cellStyle name="Обычный 7 4 8 24" xfId="21406"/>
    <cellStyle name="Обычный 7 4 8 24 2" xfId="21407"/>
    <cellStyle name="Обычный 7 4 8 24 3" xfId="21408"/>
    <cellStyle name="Обычный 7 4 8 25" xfId="21409"/>
    <cellStyle name="Обычный 7 4 8 25 2" xfId="21410"/>
    <cellStyle name="Обычный 7 4 8 25 3" xfId="21411"/>
    <cellStyle name="Обычный 7 4 8 26" xfId="21412"/>
    <cellStyle name="Обычный 7 4 8 26 2" xfId="21413"/>
    <cellStyle name="Обычный 7 4 8 26 3" xfId="21414"/>
    <cellStyle name="Обычный 7 4 8 27" xfId="21415"/>
    <cellStyle name="Обычный 7 4 8 27 2" xfId="21416"/>
    <cellStyle name="Обычный 7 4 8 27 3" xfId="21417"/>
    <cellStyle name="Обычный 7 4 8 28" xfId="21418"/>
    <cellStyle name="Обычный 7 4 8 28 2" xfId="21419"/>
    <cellStyle name="Обычный 7 4 8 28 3" xfId="21420"/>
    <cellStyle name="Обычный 7 4 8 29" xfId="21421"/>
    <cellStyle name="Обычный 7 4 8 29 2" xfId="21422"/>
    <cellStyle name="Обычный 7 4 8 29 3" xfId="21423"/>
    <cellStyle name="Обычный 7 4 8 3" xfId="21424"/>
    <cellStyle name="Обычный 7 4 8 3 2" xfId="21425"/>
    <cellStyle name="Обычный 7 4 8 3 3" xfId="21426"/>
    <cellStyle name="Обычный 7 4 8 30" xfId="21427"/>
    <cellStyle name="Обычный 7 4 8 30 2" xfId="21428"/>
    <cellStyle name="Обычный 7 4 8 30 3" xfId="21429"/>
    <cellStyle name="Обычный 7 4 8 31" xfId="21430"/>
    <cellStyle name="Обычный 7 4 8 31 2" xfId="21431"/>
    <cellStyle name="Обычный 7 4 8 31 3" xfId="21432"/>
    <cellStyle name="Обычный 7 4 8 32" xfId="21433"/>
    <cellStyle name="Обычный 7 4 8 32 2" xfId="21434"/>
    <cellStyle name="Обычный 7 4 8 32 3" xfId="21435"/>
    <cellStyle name="Обычный 7 4 8 33" xfId="21436"/>
    <cellStyle name="Обычный 7 4 8 33 2" xfId="21437"/>
    <cellStyle name="Обычный 7 4 8 33 3" xfId="21438"/>
    <cellStyle name="Обычный 7 4 8 34" xfId="21439"/>
    <cellStyle name="Обычный 7 4 8 34 2" xfId="21440"/>
    <cellStyle name="Обычный 7 4 8 34 3" xfId="21441"/>
    <cellStyle name="Обычный 7 4 8 35" xfId="21442"/>
    <cellStyle name="Обычный 7 4 8 35 2" xfId="21443"/>
    <cellStyle name="Обычный 7 4 8 35 3" xfId="21444"/>
    <cellStyle name="Обычный 7 4 8 36" xfId="21445"/>
    <cellStyle name="Обычный 7 4 8 36 2" xfId="21446"/>
    <cellStyle name="Обычный 7 4 8 36 3" xfId="21447"/>
    <cellStyle name="Обычный 7 4 8 37" xfId="21448"/>
    <cellStyle name="Обычный 7 4 8 37 2" xfId="21449"/>
    <cellStyle name="Обычный 7 4 8 37 3" xfId="21450"/>
    <cellStyle name="Обычный 7 4 8 38" xfId="21451"/>
    <cellStyle name="Обычный 7 4 8 38 2" xfId="21452"/>
    <cellStyle name="Обычный 7 4 8 38 3" xfId="21453"/>
    <cellStyle name="Обычный 7 4 8 39" xfId="21454"/>
    <cellStyle name="Обычный 7 4 8 39 2" xfId="21455"/>
    <cellStyle name="Обычный 7 4 8 39 3" xfId="21456"/>
    <cellStyle name="Обычный 7 4 8 4" xfId="21457"/>
    <cellStyle name="Обычный 7 4 8 4 2" xfId="21458"/>
    <cellStyle name="Обычный 7 4 8 4 3" xfId="21459"/>
    <cellStyle name="Обычный 7 4 8 40" xfId="21460"/>
    <cellStyle name="Обычный 7 4 8 40 2" xfId="21461"/>
    <cellStyle name="Обычный 7 4 8 40 3" xfId="21462"/>
    <cellStyle name="Обычный 7 4 8 41" xfId="21463"/>
    <cellStyle name="Обычный 7 4 8 41 2" xfId="21464"/>
    <cellStyle name="Обычный 7 4 8 41 3" xfId="21465"/>
    <cellStyle name="Обычный 7 4 8 42" xfId="21466"/>
    <cellStyle name="Обычный 7 4 8 42 2" xfId="21467"/>
    <cellStyle name="Обычный 7 4 8 42 3" xfId="21468"/>
    <cellStyle name="Обычный 7 4 8 43" xfId="21469"/>
    <cellStyle name="Обычный 7 4 8 43 2" xfId="21470"/>
    <cellStyle name="Обычный 7 4 8 43 3" xfId="21471"/>
    <cellStyle name="Обычный 7 4 8 44" xfId="21472"/>
    <cellStyle name="Обычный 7 4 8 44 2" xfId="21473"/>
    <cellStyle name="Обычный 7 4 8 44 3" xfId="21474"/>
    <cellStyle name="Обычный 7 4 8 45" xfId="21475"/>
    <cellStyle name="Обычный 7 4 8 45 2" xfId="21476"/>
    <cellStyle name="Обычный 7 4 8 45 3" xfId="21477"/>
    <cellStyle name="Обычный 7 4 8 46" xfId="21478"/>
    <cellStyle name="Обычный 7 4 8 46 2" xfId="21479"/>
    <cellStyle name="Обычный 7 4 8 46 3" xfId="21480"/>
    <cellStyle name="Обычный 7 4 8 47" xfId="21481"/>
    <cellStyle name="Обычный 7 4 8 47 2" xfId="21482"/>
    <cellStyle name="Обычный 7 4 8 47 3" xfId="21483"/>
    <cellStyle name="Обычный 7 4 8 48" xfId="21484"/>
    <cellStyle name="Обычный 7 4 8 48 2" xfId="21485"/>
    <cellStyle name="Обычный 7 4 8 48 3" xfId="21486"/>
    <cellStyle name="Обычный 7 4 8 49" xfId="21487"/>
    <cellStyle name="Обычный 7 4 8 49 2" xfId="21488"/>
    <cellStyle name="Обычный 7 4 8 49 3" xfId="21489"/>
    <cellStyle name="Обычный 7 4 8 5" xfId="21490"/>
    <cellStyle name="Обычный 7 4 8 5 2" xfId="21491"/>
    <cellStyle name="Обычный 7 4 8 5 3" xfId="21492"/>
    <cellStyle name="Обычный 7 4 8 50" xfId="21493"/>
    <cellStyle name="Обычный 7 4 8 50 2" xfId="21494"/>
    <cellStyle name="Обычный 7 4 8 50 3" xfId="21495"/>
    <cellStyle name="Обычный 7 4 8 51" xfId="21496"/>
    <cellStyle name="Обычный 7 4 8 51 2" xfId="21497"/>
    <cellStyle name="Обычный 7 4 8 51 3" xfId="21498"/>
    <cellStyle name="Обычный 7 4 8 52" xfId="21499"/>
    <cellStyle name="Обычный 7 4 8 52 2" xfId="21500"/>
    <cellStyle name="Обычный 7 4 8 52 3" xfId="21501"/>
    <cellStyle name="Обычный 7 4 8 53" xfId="21502"/>
    <cellStyle name="Обычный 7 4 8 53 2" xfId="21503"/>
    <cellStyle name="Обычный 7 4 8 53 3" xfId="21504"/>
    <cellStyle name="Обычный 7 4 8 54" xfId="21505"/>
    <cellStyle name="Обычный 7 4 8 54 2" xfId="21506"/>
    <cellStyle name="Обычный 7 4 8 54 3" xfId="21507"/>
    <cellStyle name="Обычный 7 4 8 55" xfId="21508"/>
    <cellStyle name="Обычный 7 4 8 55 2" xfId="21509"/>
    <cellStyle name="Обычный 7 4 8 55 3" xfId="21510"/>
    <cellStyle name="Обычный 7 4 8 56" xfId="21511"/>
    <cellStyle name="Обычный 7 4 8 56 2" xfId="21512"/>
    <cellStyle name="Обычный 7 4 8 56 3" xfId="21513"/>
    <cellStyle name="Обычный 7 4 8 57" xfId="21514"/>
    <cellStyle name="Обычный 7 4 8 57 2" xfId="21515"/>
    <cellStyle name="Обычный 7 4 8 57 3" xfId="21516"/>
    <cellStyle name="Обычный 7 4 8 58" xfId="21517"/>
    <cellStyle name="Обычный 7 4 8 58 2" xfId="21518"/>
    <cellStyle name="Обычный 7 4 8 58 3" xfId="21519"/>
    <cellStyle name="Обычный 7 4 8 59" xfId="21520"/>
    <cellStyle name="Обычный 7 4 8 59 2" xfId="21521"/>
    <cellStyle name="Обычный 7 4 8 59 3" xfId="21522"/>
    <cellStyle name="Обычный 7 4 8 6" xfId="21523"/>
    <cellStyle name="Обычный 7 4 8 6 2" xfId="21524"/>
    <cellStyle name="Обычный 7 4 8 6 3" xfId="21525"/>
    <cellStyle name="Обычный 7 4 8 60" xfId="21526"/>
    <cellStyle name="Обычный 7 4 8 60 2" xfId="21527"/>
    <cellStyle name="Обычный 7 4 8 60 3" xfId="21528"/>
    <cellStyle name="Обычный 7 4 8 61" xfId="21529"/>
    <cellStyle name="Обычный 7 4 8 61 2" xfId="21530"/>
    <cellStyle name="Обычный 7 4 8 61 3" xfId="21531"/>
    <cellStyle name="Обычный 7 4 8 62" xfId="21532"/>
    <cellStyle name="Обычный 7 4 8 62 2" xfId="21533"/>
    <cellStyle name="Обычный 7 4 8 62 3" xfId="21534"/>
    <cellStyle name="Обычный 7 4 8 63" xfId="21535"/>
    <cellStyle name="Обычный 7 4 8 63 2" xfId="21536"/>
    <cellStyle name="Обычный 7 4 8 63 3" xfId="21537"/>
    <cellStyle name="Обычный 7 4 8 64" xfId="21538"/>
    <cellStyle name="Обычный 7 4 8 65" xfId="21539"/>
    <cellStyle name="Обычный 7 4 8 7" xfId="21540"/>
    <cellStyle name="Обычный 7 4 8 7 2" xfId="21541"/>
    <cellStyle name="Обычный 7 4 8 7 3" xfId="21542"/>
    <cellStyle name="Обычный 7 4 8 8" xfId="21543"/>
    <cellStyle name="Обычный 7 4 8 8 2" xfId="21544"/>
    <cellStyle name="Обычный 7 4 8 8 3" xfId="21545"/>
    <cellStyle name="Обычный 7 4 8 9" xfId="21546"/>
    <cellStyle name="Обычный 7 4 8 9 2" xfId="21547"/>
    <cellStyle name="Обычный 7 4 8 9 3" xfId="21548"/>
    <cellStyle name="Обычный 7 4 9" xfId="21549"/>
    <cellStyle name="Обычный 7 4 9 2" xfId="21550"/>
    <cellStyle name="Обычный 7 4 9 3" xfId="21551"/>
    <cellStyle name="Обычный 7 40" xfId="21552"/>
    <cellStyle name="Обычный 7 40 2" xfId="21553"/>
    <cellStyle name="Обычный 7 40 3" xfId="21554"/>
    <cellStyle name="Обычный 7 41" xfId="21555"/>
    <cellStyle name="Обычный 7 41 2" xfId="21556"/>
    <cellStyle name="Обычный 7 41 3" xfId="21557"/>
    <cellStyle name="Обычный 7 42" xfId="21558"/>
    <cellStyle name="Обычный 7 42 2" xfId="21559"/>
    <cellStyle name="Обычный 7 42 3" xfId="21560"/>
    <cellStyle name="Обычный 7 43" xfId="21561"/>
    <cellStyle name="Обычный 7 43 2" xfId="21562"/>
    <cellStyle name="Обычный 7 43 3" xfId="21563"/>
    <cellStyle name="Обычный 7 44" xfId="21564"/>
    <cellStyle name="Обычный 7 44 2" xfId="21565"/>
    <cellStyle name="Обычный 7 44 3" xfId="21566"/>
    <cellStyle name="Обычный 7 45" xfId="21567"/>
    <cellStyle name="Обычный 7 45 2" xfId="21568"/>
    <cellStyle name="Обычный 7 45 3" xfId="21569"/>
    <cellStyle name="Обычный 7 46" xfId="21570"/>
    <cellStyle name="Обычный 7 46 2" xfId="21571"/>
    <cellStyle name="Обычный 7 46 3" xfId="21572"/>
    <cellStyle name="Обычный 7 47" xfId="21573"/>
    <cellStyle name="Обычный 7 47 2" xfId="21574"/>
    <cellStyle name="Обычный 7 47 3" xfId="21575"/>
    <cellStyle name="Обычный 7 48" xfId="21576"/>
    <cellStyle name="Обычный 7 48 2" xfId="21577"/>
    <cellStyle name="Обычный 7 48 3" xfId="21578"/>
    <cellStyle name="Обычный 7 49" xfId="21579"/>
    <cellStyle name="Обычный 7 49 2" xfId="21580"/>
    <cellStyle name="Обычный 7 49 3" xfId="21581"/>
    <cellStyle name="Обычный 7 5" xfId="21582"/>
    <cellStyle name="Обычный 7 5 10" xfId="21583"/>
    <cellStyle name="Обычный 7 5 10 2" xfId="21584"/>
    <cellStyle name="Обычный 7 5 10 3" xfId="21585"/>
    <cellStyle name="Обычный 7 5 11" xfId="21586"/>
    <cellStyle name="Обычный 7 5 11 2" xfId="21587"/>
    <cellStyle name="Обычный 7 5 11 3" xfId="21588"/>
    <cellStyle name="Обычный 7 5 12" xfId="21589"/>
    <cellStyle name="Обычный 7 5 12 2" xfId="21590"/>
    <cellStyle name="Обычный 7 5 12 3" xfId="21591"/>
    <cellStyle name="Обычный 7 5 13" xfId="21592"/>
    <cellStyle name="Обычный 7 5 13 2" xfId="21593"/>
    <cellStyle name="Обычный 7 5 13 3" xfId="21594"/>
    <cellStyle name="Обычный 7 5 14" xfId="21595"/>
    <cellStyle name="Обычный 7 5 14 2" xfId="21596"/>
    <cellStyle name="Обычный 7 5 14 3" xfId="21597"/>
    <cellStyle name="Обычный 7 5 15" xfId="21598"/>
    <cellStyle name="Обычный 7 5 15 2" xfId="21599"/>
    <cellStyle name="Обычный 7 5 15 3" xfId="21600"/>
    <cellStyle name="Обычный 7 5 16" xfId="21601"/>
    <cellStyle name="Обычный 7 5 16 2" xfId="21602"/>
    <cellStyle name="Обычный 7 5 16 3" xfId="21603"/>
    <cellStyle name="Обычный 7 5 17" xfId="21604"/>
    <cellStyle name="Обычный 7 5 17 2" xfId="21605"/>
    <cellStyle name="Обычный 7 5 17 3" xfId="21606"/>
    <cellStyle name="Обычный 7 5 18" xfId="21607"/>
    <cellStyle name="Обычный 7 5 18 2" xfId="21608"/>
    <cellStyle name="Обычный 7 5 18 3" xfId="21609"/>
    <cellStyle name="Обычный 7 5 19" xfId="21610"/>
    <cellStyle name="Обычный 7 5 19 2" xfId="21611"/>
    <cellStyle name="Обычный 7 5 19 3" xfId="21612"/>
    <cellStyle name="Обычный 7 5 2" xfId="21613"/>
    <cellStyle name="Обычный 7 5 2 10" xfId="21614"/>
    <cellStyle name="Обычный 7 5 2 10 2" xfId="21615"/>
    <cellStyle name="Обычный 7 5 2 10 3" xfId="21616"/>
    <cellStyle name="Обычный 7 5 2 11" xfId="21617"/>
    <cellStyle name="Обычный 7 5 2 11 2" xfId="21618"/>
    <cellStyle name="Обычный 7 5 2 11 3" xfId="21619"/>
    <cellStyle name="Обычный 7 5 2 12" xfId="21620"/>
    <cellStyle name="Обычный 7 5 2 12 2" xfId="21621"/>
    <cellStyle name="Обычный 7 5 2 12 3" xfId="21622"/>
    <cellStyle name="Обычный 7 5 2 13" xfId="21623"/>
    <cellStyle name="Обычный 7 5 2 13 2" xfId="21624"/>
    <cellStyle name="Обычный 7 5 2 13 3" xfId="21625"/>
    <cellStyle name="Обычный 7 5 2 14" xfId="21626"/>
    <cellStyle name="Обычный 7 5 2 14 2" xfId="21627"/>
    <cellStyle name="Обычный 7 5 2 14 3" xfId="21628"/>
    <cellStyle name="Обычный 7 5 2 15" xfId="21629"/>
    <cellStyle name="Обычный 7 5 2 15 2" xfId="21630"/>
    <cellStyle name="Обычный 7 5 2 15 3" xfId="21631"/>
    <cellStyle name="Обычный 7 5 2 16" xfId="21632"/>
    <cellStyle name="Обычный 7 5 2 16 2" xfId="21633"/>
    <cellStyle name="Обычный 7 5 2 16 3" xfId="21634"/>
    <cellStyle name="Обычный 7 5 2 17" xfId="21635"/>
    <cellStyle name="Обычный 7 5 2 17 2" xfId="21636"/>
    <cellStyle name="Обычный 7 5 2 17 3" xfId="21637"/>
    <cellStyle name="Обычный 7 5 2 18" xfId="21638"/>
    <cellStyle name="Обычный 7 5 2 18 2" xfId="21639"/>
    <cellStyle name="Обычный 7 5 2 18 3" xfId="21640"/>
    <cellStyle name="Обычный 7 5 2 19" xfId="21641"/>
    <cellStyle name="Обычный 7 5 2 19 2" xfId="21642"/>
    <cellStyle name="Обычный 7 5 2 19 3" xfId="21643"/>
    <cellStyle name="Обычный 7 5 2 2" xfId="21644"/>
    <cellStyle name="Обычный 7 5 2 2 2" xfId="21645"/>
    <cellStyle name="Обычный 7 5 2 2 3" xfId="21646"/>
    <cellStyle name="Обычный 7 5 2 20" xfId="21647"/>
    <cellStyle name="Обычный 7 5 2 20 2" xfId="21648"/>
    <cellStyle name="Обычный 7 5 2 20 3" xfId="21649"/>
    <cellStyle name="Обычный 7 5 2 21" xfId="21650"/>
    <cellStyle name="Обычный 7 5 2 21 2" xfId="21651"/>
    <cellStyle name="Обычный 7 5 2 21 3" xfId="21652"/>
    <cellStyle name="Обычный 7 5 2 22" xfId="21653"/>
    <cellStyle name="Обычный 7 5 2 22 2" xfId="21654"/>
    <cellStyle name="Обычный 7 5 2 22 3" xfId="21655"/>
    <cellStyle name="Обычный 7 5 2 23" xfId="21656"/>
    <cellStyle name="Обычный 7 5 2 23 2" xfId="21657"/>
    <cellStyle name="Обычный 7 5 2 23 3" xfId="21658"/>
    <cellStyle name="Обычный 7 5 2 24" xfId="21659"/>
    <cellStyle name="Обычный 7 5 2 24 2" xfId="21660"/>
    <cellStyle name="Обычный 7 5 2 24 3" xfId="21661"/>
    <cellStyle name="Обычный 7 5 2 25" xfId="21662"/>
    <cellStyle name="Обычный 7 5 2 25 2" xfId="21663"/>
    <cellStyle name="Обычный 7 5 2 25 3" xfId="21664"/>
    <cellStyle name="Обычный 7 5 2 26" xfId="21665"/>
    <cellStyle name="Обычный 7 5 2 26 2" xfId="21666"/>
    <cellStyle name="Обычный 7 5 2 26 3" xfId="21667"/>
    <cellStyle name="Обычный 7 5 2 27" xfId="21668"/>
    <cellStyle name="Обычный 7 5 2 27 2" xfId="21669"/>
    <cellStyle name="Обычный 7 5 2 27 3" xfId="21670"/>
    <cellStyle name="Обычный 7 5 2 28" xfId="21671"/>
    <cellStyle name="Обычный 7 5 2 28 2" xfId="21672"/>
    <cellStyle name="Обычный 7 5 2 28 3" xfId="21673"/>
    <cellStyle name="Обычный 7 5 2 29" xfId="21674"/>
    <cellStyle name="Обычный 7 5 2 29 2" xfId="21675"/>
    <cellStyle name="Обычный 7 5 2 29 3" xfId="21676"/>
    <cellStyle name="Обычный 7 5 2 3" xfId="21677"/>
    <cellStyle name="Обычный 7 5 2 3 2" xfId="21678"/>
    <cellStyle name="Обычный 7 5 2 3 3" xfId="21679"/>
    <cellStyle name="Обычный 7 5 2 30" xfId="21680"/>
    <cellStyle name="Обычный 7 5 2 30 2" xfId="21681"/>
    <cellStyle name="Обычный 7 5 2 30 3" xfId="21682"/>
    <cellStyle name="Обычный 7 5 2 31" xfId="21683"/>
    <cellStyle name="Обычный 7 5 2 31 2" xfId="21684"/>
    <cellStyle name="Обычный 7 5 2 31 3" xfId="21685"/>
    <cellStyle name="Обычный 7 5 2 32" xfId="21686"/>
    <cellStyle name="Обычный 7 5 2 32 2" xfId="21687"/>
    <cellStyle name="Обычный 7 5 2 32 3" xfId="21688"/>
    <cellStyle name="Обычный 7 5 2 33" xfId="21689"/>
    <cellStyle name="Обычный 7 5 2 33 2" xfId="21690"/>
    <cellStyle name="Обычный 7 5 2 33 3" xfId="21691"/>
    <cellStyle name="Обычный 7 5 2 34" xfId="21692"/>
    <cellStyle name="Обычный 7 5 2 34 2" xfId="21693"/>
    <cellStyle name="Обычный 7 5 2 34 3" xfId="21694"/>
    <cellStyle name="Обычный 7 5 2 35" xfId="21695"/>
    <cellStyle name="Обычный 7 5 2 35 2" xfId="21696"/>
    <cellStyle name="Обычный 7 5 2 35 3" xfId="21697"/>
    <cellStyle name="Обычный 7 5 2 36" xfId="21698"/>
    <cellStyle name="Обычный 7 5 2 36 2" xfId="21699"/>
    <cellStyle name="Обычный 7 5 2 36 3" xfId="21700"/>
    <cellStyle name="Обычный 7 5 2 37" xfId="21701"/>
    <cellStyle name="Обычный 7 5 2 37 2" xfId="21702"/>
    <cellStyle name="Обычный 7 5 2 37 3" xfId="21703"/>
    <cellStyle name="Обычный 7 5 2 38" xfId="21704"/>
    <cellStyle name="Обычный 7 5 2 38 2" xfId="21705"/>
    <cellStyle name="Обычный 7 5 2 38 3" xfId="21706"/>
    <cellStyle name="Обычный 7 5 2 39" xfId="21707"/>
    <cellStyle name="Обычный 7 5 2 39 2" xfId="21708"/>
    <cellStyle name="Обычный 7 5 2 39 3" xfId="21709"/>
    <cellStyle name="Обычный 7 5 2 4" xfId="21710"/>
    <cellStyle name="Обычный 7 5 2 4 2" xfId="21711"/>
    <cellStyle name="Обычный 7 5 2 4 3" xfId="21712"/>
    <cellStyle name="Обычный 7 5 2 40" xfId="21713"/>
    <cellStyle name="Обычный 7 5 2 40 2" xfId="21714"/>
    <cellStyle name="Обычный 7 5 2 40 3" xfId="21715"/>
    <cellStyle name="Обычный 7 5 2 41" xfId="21716"/>
    <cellStyle name="Обычный 7 5 2 41 2" xfId="21717"/>
    <cellStyle name="Обычный 7 5 2 41 3" xfId="21718"/>
    <cellStyle name="Обычный 7 5 2 42" xfId="21719"/>
    <cellStyle name="Обычный 7 5 2 42 2" xfId="21720"/>
    <cellStyle name="Обычный 7 5 2 42 3" xfId="21721"/>
    <cellStyle name="Обычный 7 5 2 43" xfId="21722"/>
    <cellStyle name="Обычный 7 5 2 43 2" xfId="21723"/>
    <cellStyle name="Обычный 7 5 2 43 3" xfId="21724"/>
    <cellStyle name="Обычный 7 5 2 44" xfId="21725"/>
    <cellStyle name="Обычный 7 5 2 44 2" xfId="21726"/>
    <cellStyle name="Обычный 7 5 2 44 3" xfId="21727"/>
    <cellStyle name="Обычный 7 5 2 45" xfId="21728"/>
    <cellStyle name="Обычный 7 5 2 45 2" xfId="21729"/>
    <cellStyle name="Обычный 7 5 2 45 3" xfId="21730"/>
    <cellStyle name="Обычный 7 5 2 46" xfId="21731"/>
    <cellStyle name="Обычный 7 5 2 46 2" xfId="21732"/>
    <cellStyle name="Обычный 7 5 2 46 3" xfId="21733"/>
    <cellStyle name="Обычный 7 5 2 47" xfId="21734"/>
    <cellStyle name="Обычный 7 5 2 47 2" xfId="21735"/>
    <cellStyle name="Обычный 7 5 2 47 3" xfId="21736"/>
    <cellStyle name="Обычный 7 5 2 48" xfId="21737"/>
    <cellStyle name="Обычный 7 5 2 48 2" xfId="21738"/>
    <cellStyle name="Обычный 7 5 2 48 3" xfId="21739"/>
    <cellStyle name="Обычный 7 5 2 49" xfId="21740"/>
    <cellStyle name="Обычный 7 5 2 49 2" xfId="21741"/>
    <cellStyle name="Обычный 7 5 2 49 3" xfId="21742"/>
    <cellStyle name="Обычный 7 5 2 5" xfId="21743"/>
    <cellStyle name="Обычный 7 5 2 5 2" xfId="21744"/>
    <cellStyle name="Обычный 7 5 2 5 3" xfId="21745"/>
    <cellStyle name="Обычный 7 5 2 50" xfId="21746"/>
    <cellStyle name="Обычный 7 5 2 50 2" xfId="21747"/>
    <cellStyle name="Обычный 7 5 2 50 3" xfId="21748"/>
    <cellStyle name="Обычный 7 5 2 51" xfId="21749"/>
    <cellStyle name="Обычный 7 5 2 51 2" xfId="21750"/>
    <cellStyle name="Обычный 7 5 2 51 3" xfId="21751"/>
    <cellStyle name="Обычный 7 5 2 52" xfId="21752"/>
    <cellStyle name="Обычный 7 5 2 52 2" xfId="21753"/>
    <cellStyle name="Обычный 7 5 2 52 3" xfId="21754"/>
    <cellStyle name="Обычный 7 5 2 53" xfId="21755"/>
    <cellStyle name="Обычный 7 5 2 53 2" xfId="21756"/>
    <cellStyle name="Обычный 7 5 2 53 3" xfId="21757"/>
    <cellStyle name="Обычный 7 5 2 54" xfId="21758"/>
    <cellStyle name="Обычный 7 5 2 54 2" xfId="21759"/>
    <cellStyle name="Обычный 7 5 2 54 3" xfId="21760"/>
    <cellStyle name="Обычный 7 5 2 55" xfId="21761"/>
    <cellStyle name="Обычный 7 5 2 55 2" xfId="21762"/>
    <cellStyle name="Обычный 7 5 2 55 3" xfId="21763"/>
    <cellStyle name="Обычный 7 5 2 56" xfId="21764"/>
    <cellStyle name="Обычный 7 5 2 56 2" xfId="21765"/>
    <cellStyle name="Обычный 7 5 2 56 3" xfId="21766"/>
    <cellStyle name="Обычный 7 5 2 57" xfId="21767"/>
    <cellStyle name="Обычный 7 5 2 57 2" xfId="21768"/>
    <cellStyle name="Обычный 7 5 2 57 3" xfId="21769"/>
    <cellStyle name="Обычный 7 5 2 58" xfId="21770"/>
    <cellStyle name="Обычный 7 5 2 58 2" xfId="21771"/>
    <cellStyle name="Обычный 7 5 2 58 3" xfId="21772"/>
    <cellStyle name="Обычный 7 5 2 59" xfId="21773"/>
    <cellStyle name="Обычный 7 5 2 59 2" xfId="21774"/>
    <cellStyle name="Обычный 7 5 2 59 3" xfId="21775"/>
    <cellStyle name="Обычный 7 5 2 6" xfId="21776"/>
    <cellStyle name="Обычный 7 5 2 6 2" xfId="21777"/>
    <cellStyle name="Обычный 7 5 2 6 3" xfId="21778"/>
    <cellStyle name="Обычный 7 5 2 60" xfId="21779"/>
    <cellStyle name="Обычный 7 5 2 60 2" xfId="21780"/>
    <cellStyle name="Обычный 7 5 2 60 3" xfId="21781"/>
    <cellStyle name="Обычный 7 5 2 61" xfId="21782"/>
    <cellStyle name="Обычный 7 5 2 61 2" xfId="21783"/>
    <cellStyle name="Обычный 7 5 2 61 3" xfId="21784"/>
    <cellStyle name="Обычный 7 5 2 62" xfId="21785"/>
    <cellStyle name="Обычный 7 5 2 62 2" xfId="21786"/>
    <cellStyle name="Обычный 7 5 2 62 3" xfId="21787"/>
    <cellStyle name="Обычный 7 5 2 63" xfId="21788"/>
    <cellStyle name="Обычный 7 5 2 63 2" xfId="21789"/>
    <cellStyle name="Обычный 7 5 2 63 3" xfId="21790"/>
    <cellStyle name="Обычный 7 5 2 64" xfId="21791"/>
    <cellStyle name="Обычный 7 5 2 65" xfId="21792"/>
    <cellStyle name="Обычный 7 5 2 7" xfId="21793"/>
    <cellStyle name="Обычный 7 5 2 7 2" xfId="21794"/>
    <cellStyle name="Обычный 7 5 2 7 3" xfId="21795"/>
    <cellStyle name="Обычный 7 5 2 8" xfId="21796"/>
    <cellStyle name="Обычный 7 5 2 8 2" xfId="21797"/>
    <cellStyle name="Обычный 7 5 2 8 3" xfId="21798"/>
    <cellStyle name="Обычный 7 5 2 9" xfId="21799"/>
    <cellStyle name="Обычный 7 5 2 9 2" xfId="21800"/>
    <cellStyle name="Обычный 7 5 2 9 3" xfId="21801"/>
    <cellStyle name="Обычный 7 5 20" xfId="21802"/>
    <cellStyle name="Обычный 7 5 20 2" xfId="21803"/>
    <cellStyle name="Обычный 7 5 20 3" xfId="21804"/>
    <cellStyle name="Обычный 7 5 21" xfId="21805"/>
    <cellStyle name="Обычный 7 5 21 2" xfId="21806"/>
    <cellStyle name="Обычный 7 5 21 3" xfId="21807"/>
    <cellStyle name="Обычный 7 5 22" xfId="21808"/>
    <cellStyle name="Обычный 7 5 22 2" xfId="21809"/>
    <cellStyle name="Обычный 7 5 22 3" xfId="21810"/>
    <cellStyle name="Обычный 7 5 23" xfId="21811"/>
    <cellStyle name="Обычный 7 5 23 2" xfId="21812"/>
    <cellStyle name="Обычный 7 5 23 3" xfId="21813"/>
    <cellStyle name="Обычный 7 5 24" xfId="21814"/>
    <cellStyle name="Обычный 7 5 24 2" xfId="21815"/>
    <cellStyle name="Обычный 7 5 24 3" xfId="21816"/>
    <cellStyle name="Обычный 7 5 25" xfId="21817"/>
    <cellStyle name="Обычный 7 5 25 2" xfId="21818"/>
    <cellStyle name="Обычный 7 5 25 3" xfId="21819"/>
    <cellStyle name="Обычный 7 5 26" xfId="21820"/>
    <cellStyle name="Обычный 7 5 26 2" xfId="21821"/>
    <cellStyle name="Обычный 7 5 26 3" xfId="21822"/>
    <cellStyle name="Обычный 7 5 27" xfId="21823"/>
    <cellStyle name="Обычный 7 5 27 2" xfId="21824"/>
    <cellStyle name="Обычный 7 5 27 3" xfId="21825"/>
    <cellStyle name="Обычный 7 5 28" xfId="21826"/>
    <cellStyle name="Обычный 7 5 28 2" xfId="21827"/>
    <cellStyle name="Обычный 7 5 28 3" xfId="21828"/>
    <cellStyle name="Обычный 7 5 29" xfId="21829"/>
    <cellStyle name="Обычный 7 5 29 2" xfId="21830"/>
    <cellStyle name="Обычный 7 5 29 3" xfId="21831"/>
    <cellStyle name="Обычный 7 5 3" xfId="21832"/>
    <cellStyle name="Обычный 7 5 3 10" xfId="21833"/>
    <cellStyle name="Обычный 7 5 3 10 2" xfId="21834"/>
    <cellStyle name="Обычный 7 5 3 10 3" xfId="21835"/>
    <cellStyle name="Обычный 7 5 3 11" xfId="21836"/>
    <cellStyle name="Обычный 7 5 3 11 2" xfId="21837"/>
    <cellStyle name="Обычный 7 5 3 11 3" xfId="21838"/>
    <cellStyle name="Обычный 7 5 3 12" xfId="21839"/>
    <cellStyle name="Обычный 7 5 3 12 2" xfId="21840"/>
    <cellStyle name="Обычный 7 5 3 12 3" xfId="21841"/>
    <cellStyle name="Обычный 7 5 3 13" xfId="21842"/>
    <cellStyle name="Обычный 7 5 3 13 2" xfId="21843"/>
    <cellStyle name="Обычный 7 5 3 13 3" xfId="21844"/>
    <cellStyle name="Обычный 7 5 3 14" xfId="21845"/>
    <cellStyle name="Обычный 7 5 3 14 2" xfId="21846"/>
    <cellStyle name="Обычный 7 5 3 14 3" xfId="21847"/>
    <cellStyle name="Обычный 7 5 3 15" xfId="21848"/>
    <cellStyle name="Обычный 7 5 3 15 2" xfId="21849"/>
    <cellStyle name="Обычный 7 5 3 15 3" xfId="21850"/>
    <cellStyle name="Обычный 7 5 3 16" xfId="21851"/>
    <cellStyle name="Обычный 7 5 3 16 2" xfId="21852"/>
    <cellStyle name="Обычный 7 5 3 16 3" xfId="21853"/>
    <cellStyle name="Обычный 7 5 3 17" xfId="21854"/>
    <cellStyle name="Обычный 7 5 3 17 2" xfId="21855"/>
    <cellStyle name="Обычный 7 5 3 17 3" xfId="21856"/>
    <cellStyle name="Обычный 7 5 3 18" xfId="21857"/>
    <cellStyle name="Обычный 7 5 3 18 2" xfId="21858"/>
    <cellStyle name="Обычный 7 5 3 18 3" xfId="21859"/>
    <cellStyle name="Обычный 7 5 3 19" xfId="21860"/>
    <cellStyle name="Обычный 7 5 3 19 2" xfId="21861"/>
    <cellStyle name="Обычный 7 5 3 19 3" xfId="21862"/>
    <cellStyle name="Обычный 7 5 3 2" xfId="21863"/>
    <cellStyle name="Обычный 7 5 3 2 2" xfId="21864"/>
    <cellStyle name="Обычный 7 5 3 2 3" xfId="21865"/>
    <cellStyle name="Обычный 7 5 3 20" xfId="21866"/>
    <cellStyle name="Обычный 7 5 3 20 2" xfId="21867"/>
    <cellStyle name="Обычный 7 5 3 20 3" xfId="21868"/>
    <cellStyle name="Обычный 7 5 3 21" xfId="21869"/>
    <cellStyle name="Обычный 7 5 3 21 2" xfId="21870"/>
    <cellStyle name="Обычный 7 5 3 21 3" xfId="21871"/>
    <cellStyle name="Обычный 7 5 3 22" xfId="21872"/>
    <cellStyle name="Обычный 7 5 3 22 2" xfId="21873"/>
    <cellStyle name="Обычный 7 5 3 22 3" xfId="21874"/>
    <cellStyle name="Обычный 7 5 3 23" xfId="21875"/>
    <cellStyle name="Обычный 7 5 3 23 2" xfId="21876"/>
    <cellStyle name="Обычный 7 5 3 23 3" xfId="21877"/>
    <cellStyle name="Обычный 7 5 3 24" xfId="21878"/>
    <cellStyle name="Обычный 7 5 3 24 2" xfId="21879"/>
    <cellStyle name="Обычный 7 5 3 24 3" xfId="21880"/>
    <cellStyle name="Обычный 7 5 3 25" xfId="21881"/>
    <cellStyle name="Обычный 7 5 3 25 2" xfId="21882"/>
    <cellStyle name="Обычный 7 5 3 25 3" xfId="21883"/>
    <cellStyle name="Обычный 7 5 3 26" xfId="21884"/>
    <cellStyle name="Обычный 7 5 3 26 2" xfId="21885"/>
    <cellStyle name="Обычный 7 5 3 26 3" xfId="21886"/>
    <cellStyle name="Обычный 7 5 3 27" xfId="21887"/>
    <cellStyle name="Обычный 7 5 3 27 2" xfId="21888"/>
    <cellStyle name="Обычный 7 5 3 27 3" xfId="21889"/>
    <cellStyle name="Обычный 7 5 3 28" xfId="21890"/>
    <cellStyle name="Обычный 7 5 3 28 2" xfId="21891"/>
    <cellStyle name="Обычный 7 5 3 28 3" xfId="21892"/>
    <cellStyle name="Обычный 7 5 3 29" xfId="21893"/>
    <cellStyle name="Обычный 7 5 3 29 2" xfId="21894"/>
    <cellStyle name="Обычный 7 5 3 29 3" xfId="21895"/>
    <cellStyle name="Обычный 7 5 3 3" xfId="21896"/>
    <cellStyle name="Обычный 7 5 3 3 2" xfId="21897"/>
    <cellStyle name="Обычный 7 5 3 3 3" xfId="21898"/>
    <cellStyle name="Обычный 7 5 3 30" xfId="21899"/>
    <cellStyle name="Обычный 7 5 3 30 2" xfId="21900"/>
    <cellStyle name="Обычный 7 5 3 30 3" xfId="21901"/>
    <cellStyle name="Обычный 7 5 3 31" xfId="21902"/>
    <cellStyle name="Обычный 7 5 3 31 2" xfId="21903"/>
    <cellStyle name="Обычный 7 5 3 31 3" xfId="21904"/>
    <cellStyle name="Обычный 7 5 3 32" xfId="21905"/>
    <cellStyle name="Обычный 7 5 3 32 2" xfId="21906"/>
    <cellStyle name="Обычный 7 5 3 32 3" xfId="21907"/>
    <cellStyle name="Обычный 7 5 3 33" xfId="21908"/>
    <cellStyle name="Обычный 7 5 3 33 2" xfId="21909"/>
    <cellStyle name="Обычный 7 5 3 33 3" xfId="21910"/>
    <cellStyle name="Обычный 7 5 3 34" xfId="21911"/>
    <cellStyle name="Обычный 7 5 3 34 2" xfId="21912"/>
    <cellStyle name="Обычный 7 5 3 34 3" xfId="21913"/>
    <cellStyle name="Обычный 7 5 3 35" xfId="21914"/>
    <cellStyle name="Обычный 7 5 3 35 2" xfId="21915"/>
    <cellStyle name="Обычный 7 5 3 35 3" xfId="21916"/>
    <cellStyle name="Обычный 7 5 3 36" xfId="21917"/>
    <cellStyle name="Обычный 7 5 3 36 2" xfId="21918"/>
    <cellStyle name="Обычный 7 5 3 36 3" xfId="21919"/>
    <cellStyle name="Обычный 7 5 3 37" xfId="21920"/>
    <cellStyle name="Обычный 7 5 3 37 2" xfId="21921"/>
    <cellStyle name="Обычный 7 5 3 37 3" xfId="21922"/>
    <cellStyle name="Обычный 7 5 3 38" xfId="21923"/>
    <cellStyle name="Обычный 7 5 3 38 2" xfId="21924"/>
    <cellStyle name="Обычный 7 5 3 38 3" xfId="21925"/>
    <cellStyle name="Обычный 7 5 3 39" xfId="21926"/>
    <cellStyle name="Обычный 7 5 3 39 2" xfId="21927"/>
    <cellStyle name="Обычный 7 5 3 39 3" xfId="21928"/>
    <cellStyle name="Обычный 7 5 3 4" xfId="21929"/>
    <cellStyle name="Обычный 7 5 3 4 2" xfId="21930"/>
    <cellStyle name="Обычный 7 5 3 4 3" xfId="21931"/>
    <cellStyle name="Обычный 7 5 3 40" xfId="21932"/>
    <cellStyle name="Обычный 7 5 3 40 2" xfId="21933"/>
    <cellStyle name="Обычный 7 5 3 40 3" xfId="21934"/>
    <cellStyle name="Обычный 7 5 3 41" xfId="21935"/>
    <cellStyle name="Обычный 7 5 3 41 2" xfId="21936"/>
    <cellStyle name="Обычный 7 5 3 41 3" xfId="21937"/>
    <cellStyle name="Обычный 7 5 3 42" xfId="21938"/>
    <cellStyle name="Обычный 7 5 3 42 2" xfId="21939"/>
    <cellStyle name="Обычный 7 5 3 42 3" xfId="21940"/>
    <cellStyle name="Обычный 7 5 3 43" xfId="21941"/>
    <cellStyle name="Обычный 7 5 3 43 2" xfId="21942"/>
    <cellStyle name="Обычный 7 5 3 43 3" xfId="21943"/>
    <cellStyle name="Обычный 7 5 3 44" xfId="21944"/>
    <cellStyle name="Обычный 7 5 3 44 2" xfId="21945"/>
    <cellStyle name="Обычный 7 5 3 44 3" xfId="21946"/>
    <cellStyle name="Обычный 7 5 3 45" xfId="21947"/>
    <cellStyle name="Обычный 7 5 3 45 2" xfId="21948"/>
    <cellStyle name="Обычный 7 5 3 45 3" xfId="21949"/>
    <cellStyle name="Обычный 7 5 3 46" xfId="21950"/>
    <cellStyle name="Обычный 7 5 3 46 2" xfId="21951"/>
    <cellStyle name="Обычный 7 5 3 46 3" xfId="21952"/>
    <cellStyle name="Обычный 7 5 3 47" xfId="21953"/>
    <cellStyle name="Обычный 7 5 3 47 2" xfId="21954"/>
    <cellStyle name="Обычный 7 5 3 47 3" xfId="21955"/>
    <cellStyle name="Обычный 7 5 3 48" xfId="21956"/>
    <cellStyle name="Обычный 7 5 3 48 2" xfId="21957"/>
    <cellStyle name="Обычный 7 5 3 48 3" xfId="21958"/>
    <cellStyle name="Обычный 7 5 3 49" xfId="21959"/>
    <cellStyle name="Обычный 7 5 3 49 2" xfId="21960"/>
    <cellStyle name="Обычный 7 5 3 49 3" xfId="21961"/>
    <cellStyle name="Обычный 7 5 3 5" xfId="21962"/>
    <cellStyle name="Обычный 7 5 3 5 2" xfId="21963"/>
    <cellStyle name="Обычный 7 5 3 5 3" xfId="21964"/>
    <cellStyle name="Обычный 7 5 3 50" xfId="21965"/>
    <cellStyle name="Обычный 7 5 3 50 2" xfId="21966"/>
    <cellStyle name="Обычный 7 5 3 50 3" xfId="21967"/>
    <cellStyle name="Обычный 7 5 3 51" xfId="21968"/>
    <cellStyle name="Обычный 7 5 3 51 2" xfId="21969"/>
    <cellStyle name="Обычный 7 5 3 51 3" xfId="21970"/>
    <cellStyle name="Обычный 7 5 3 52" xfId="21971"/>
    <cellStyle name="Обычный 7 5 3 52 2" xfId="21972"/>
    <cellStyle name="Обычный 7 5 3 52 3" xfId="21973"/>
    <cellStyle name="Обычный 7 5 3 53" xfId="21974"/>
    <cellStyle name="Обычный 7 5 3 53 2" xfId="21975"/>
    <cellStyle name="Обычный 7 5 3 53 3" xfId="21976"/>
    <cellStyle name="Обычный 7 5 3 54" xfId="21977"/>
    <cellStyle name="Обычный 7 5 3 54 2" xfId="21978"/>
    <cellStyle name="Обычный 7 5 3 54 3" xfId="21979"/>
    <cellStyle name="Обычный 7 5 3 55" xfId="21980"/>
    <cellStyle name="Обычный 7 5 3 55 2" xfId="21981"/>
    <cellStyle name="Обычный 7 5 3 55 3" xfId="21982"/>
    <cellStyle name="Обычный 7 5 3 56" xfId="21983"/>
    <cellStyle name="Обычный 7 5 3 56 2" xfId="21984"/>
    <cellStyle name="Обычный 7 5 3 56 3" xfId="21985"/>
    <cellStyle name="Обычный 7 5 3 57" xfId="21986"/>
    <cellStyle name="Обычный 7 5 3 57 2" xfId="21987"/>
    <cellStyle name="Обычный 7 5 3 57 3" xfId="21988"/>
    <cellStyle name="Обычный 7 5 3 58" xfId="21989"/>
    <cellStyle name="Обычный 7 5 3 58 2" xfId="21990"/>
    <cellStyle name="Обычный 7 5 3 58 3" xfId="21991"/>
    <cellStyle name="Обычный 7 5 3 59" xfId="21992"/>
    <cellStyle name="Обычный 7 5 3 59 2" xfId="21993"/>
    <cellStyle name="Обычный 7 5 3 59 3" xfId="21994"/>
    <cellStyle name="Обычный 7 5 3 6" xfId="21995"/>
    <cellStyle name="Обычный 7 5 3 6 2" xfId="21996"/>
    <cellStyle name="Обычный 7 5 3 6 3" xfId="21997"/>
    <cellStyle name="Обычный 7 5 3 60" xfId="21998"/>
    <cellStyle name="Обычный 7 5 3 60 2" xfId="21999"/>
    <cellStyle name="Обычный 7 5 3 60 3" xfId="22000"/>
    <cellStyle name="Обычный 7 5 3 61" xfId="22001"/>
    <cellStyle name="Обычный 7 5 3 61 2" xfId="22002"/>
    <cellStyle name="Обычный 7 5 3 61 3" xfId="22003"/>
    <cellStyle name="Обычный 7 5 3 62" xfId="22004"/>
    <cellStyle name="Обычный 7 5 3 62 2" xfId="22005"/>
    <cellStyle name="Обычный 7 5 3 62 3" xfId="22006"/>
    <cellStyle name="Обычный 7 5 3 63" xfId="22007"/>
    <cellStyle name="Обычный 7 5 3 63 2" xfId="22008"/>
    <cellStyle name="Обычный 7 5 3 63 3" xfId="22009"/>
    <cellStyle name="Обычный 7 5 3 64" xfId="22010"/>
    <cellStyle name="Обычный 7 5 3 65" xfId="22011"/>
    <cellStyle name="Обычный 7 5 3 7" xfId="22012"/>
    <cellStyle name="Обычный 7 5 3 7 2" xfId="22013"/>
    <cellStyle name="Обычный 7 5 3 7 3" xfId="22014"/>
    <cellStyle name="Обычный 7 5 3 8" xfId="22015"/>
    <cellStyle name="Обычный 7 5 3 8 2" xfId="22016"/>
    <cellStyle name="Обычный 7 5 3 8 3" xfId="22017"/>
    <cellStyle name="Обычный 7 5 3 9" xfId="22018"/>
    <cellStyle name="Обычный 7 5 3 9 2" xfId="22019"/>
    <cellStyle name="Обычный 7 5 3 9 3" xfId="22020"/>
    <cellStyle name="Обычный 7 5 30" xfId="22021"/>
    <cellStyle name="Обычный 7 5 30 2" xfId="22022"/>
    <cellStyle name="Обычный 7 5 30 3" xfId="22023"/>
    <cellStyle name="Обычный 7 5 31" xfId="22024"/>
    <cellStyle name="Обычный 7 5 31 2" xfId="22025"/>
    <cellStyle name="Обычный 7 5 31 3" xfId="22026"/>
    <cellStyle name="Обычный 7 5 32" xfId="22027"/>
    <cellStyle name="Обычный 7 5 32 2" xfId="22028"/>
    <cellStyle name="Обычный 7 5 32 3" xfId="22029"/>
    <cellStyle name="Обычный 7 5 33" xfId="22030"/>
    <cellStyle name="Обычный 7 5 33 2" xfId="22031"/>
    <cellStyle name="Обычный 7 5 33 3" xfId="22032"/>
    <cellStyle name="Обычный 7 5 34" xfId="22033"/>
    <cellStyle name="Обычный 7 5 34 2" xfId="22034"/>
    <cellStyle name="Обычный 7 5 34 3" xfId="22035"/>
    <cellStyle name="Обычный 7 5 35" xfId="22036"/>
    <cellStyle name="Обычный 7 5 35 2" xfId="22037"/>
    <cellStyle name="Обычный 7 5 35 3" xfId="22038"/>
    <cellStyle name="Обычный 7 5 36" xfId="22039"/>
    <cellStyle name="Обычный 7 5 36 2" xfId="22040"/>
    <cellStyle name="Обычный 7 5 36 3" xfId="22041"/>
    <cellStyle name="Обычный 7 5 37" xfId="22042"/>
    <cellStyle name="Обычный 7 5 37 2" xfId="22043"/>
    <cellStyle name="Обычный 7 5 37 3" xfId="22044"/>
    <cellStyle name="Обычный 7 5 38" xfId="22045"/>
    <cellStyle name="Обычный 7 5 38 2" xfId="22046"/>
    <cellStyle name="Обычный 7 5 38 3" xfId="22047"/>
    <cellStyle name="Обычный 7 5 39" xfId="22048"/>
    <cellStyle name="Обычный 7 5 39 2" xfId="22049"/>
    <cellStyle name="Обычный 7 5 39 3" xfId="22050"/>
    <cellStyle name="Обычный 7 5 4" xfId="22051"/>
    <cellStyle name="Обычный 7 5 4 10" xfId="22052"/>
    <cellStyle name="Обычный 7 5 4 10 2" xfId="22053"/>
    <cellStyle name="Обычный 7 5 4 10 3" xfId="22054"/>
    <cellStyle name="Обычный 7 5 4 11" xfId="22055"/>
    <cellStyle name="Обычный 7 5 4 11 2" xfId="22056"/>
    <cellStyle name="Обычный 7 5 4 11 3" xfId="22057"/>
    <cellStyle name="Обычный 7 5 4 12" xfId="22058"/>
    <cellStyle name="Обычный 7 5 4 12 2" xfId="22059"/>
    <cellStyle name="Обычный 7 5 4 12 3" xfId="22060"/>
    <cellStyle name="Обычный 7 5 4 13" xfId="22061"/>
    <cellStyle name="Обычный 7 5 4 13 2" xfId="22062"/>
    <cellStyle name="Обычный 7 5 4 13 3" xfId="22063"/>
    <cellStyle name="Обычный 7 5 4 14" xfId="22064"/>
    <cellStyle name="Обычный 7 5 4 14 2" xfId="22065"/>
    <cellStyle name="Обычный 7 5 4 14 3" xfId="22066"/>
    <cellStyle name="Обычный 7 5 4 15" xfId="22067"/>
    <cellStyle name="Обычный 7 5 4 15 2" xfId="22068"/>
    <cellStyle name="Обычный 7 5 4 15 3" xfId="22069"/>
    <cellStyle name="Обычный 7 5 4 16" xfId="22070"/>
    <cellStyle name="Обычный 7 5 4 16 2" xfId="22071"/>
    <cellStyle name="Обычный 7 5 4 16 3" xfId="22072"/>
    <cellStyle name="Обычный 7 5 4 17" xfId="22073"/>
    <cellStyle name="Обычный 7 5 4 17 2" xfId="22074"/>
    <cellStyle name="Обычный 7 5 4 17 3" xfId="22075"/>
    <cellStyle name="Обычный 7 5 4 18" xfId="22076"/>
    <cellStyle name="Обычный 7 5 4 18 2" xfId="22077"/>
    <cellStyle name="Обычный 7 5 4 18 3" xfId="22078"/>
    <cellStyle name="Обычный 7 5 4 19" xfId="22079"/>
    <cellStyle name="Обычный 7 5 4 19 2" xfId="22080"/>
    <cellStyle name="Обычный 7 5 4 19 3" xfId="22081"/>
    <cellStyle name="Обычный 7 5 4 2" xfId="22082"/>
    <cellStyle name="Обычный 7 5 4 2 2" xfId="22083"/>
    <cellStyle name="Обычный 7 5 4 2 3" xfId="22084"/>
    <cellStyle name="Обычный 7 5 4 20" xfId="22085"/>
    <cellStyle name="Обычный 7 5 4 20 2" xfId="22086"/>
    <cellStyle name="Обычный 7 5 4 20 3" xfId="22087"/>
    <cellStyle name="Обычный 7 5 4 21" xfId="22088"/>
    <cellStyle name="Обычный 7 5 4 21 2" xfId="22089"/>
    <cellStyle name="Обычный 7 5 4 21 3" xfId="22090"/>
    <cellStyle name="Обычный 7 5 4 22" xfId="22091"/>
    <cellStyle name="Обычный 7 5 4 22 2" xfId="22092"/>
    <cellStyle name="Обычный 7 5 4 22 3" xfId="22093"/>
    <cellStyle name="Обычный 7 5 4 23" xfId="22094"/>
    <cellStyle name="Обычный 7 5 4 23 2" xfId="22095"/>
    <cellStyle name="Обычный 7 5 4 23 3" xfId="22096"/>
    <cellStyle name="Обычный 7 5 4 24" xfId="22097"/>
    <cellStyle name="Обычный 7 5 4 24 2" xfId="22098"/>
    <cellStyle name="Обычный 7 5 4 24 3" xfId="22099"/>
    <cellStyle name="Обычный 7 5 4 25" xfId="22100"/>
    <cellStyle name="Обычный 7 5 4 25 2" xfId="22101"/>
    <cellStyle name="Обычный 7 5 4 25 3" xfId="22102"/>
    <cellStyle name="Обычный 7 5 4 26" xfId="22103"/>
    <cellStyle name="Обычный 7 5 4 26 2" xfId="22104"/>
    <cellStyle name="Обычный 7 5 4 26 3" xfId="22105"/>
    <cellStyle name="Обычный 7 5 4 27" xfId="22106"/>
    <cellStyle name="Обычный 7 5 4 27 2" xfId="22107"/>
    <cellStyle name="Обычный 7 5 4 27 3" xfId="22108"/>
    <cellStyle name="Обычный 7 5 4 28" xfId="22109"/>
    <cellStyle name="Обычный 7 5 4 28 2" xfId="22110"/>
    <cellStyle name="Обычный 7 5 4 28 3" xfId="22111"/>
    <cellStyle name="Обычный 7 5 4 29" xfId="22112"/>
    <cellStyle name="Обычный 7 5 4 29 2" xfId="22113"/>
    <cellStyle name="Обычный 7 5 4 29 3" xfId="22114"/>
    <cellStyle name="Обычный 7 5 4 3" xfId="22115"/>
    <cellStyle name="Обычный 7 5 4 3 2" xfId="22116"/>
    <cellStyle name="Обычный 7 5 4 3 3" xfId="22117"/>
    <cellStyle name="Обычный 7 5 4 30" xfId="22118"/>
    <cellStyle name="Обычный 7 5 4 30 2" xfId="22119"/>
    <cellStyle name="Обычный 7 5 4 30 3" xfId="22120"/>
    <cellStyle name="Обычный 7 5 4 31" xfId="22121"/>
    <cellStyle name="Обычный 7 5 4 31 2" xfId="22122"/>
    <cellStyle name="Обычный 7 5 4 31 3" xfId="22123"/>
    <cellStyle name="Обычный 7 5 4 32" xfId="22124"/>
    <cellStyle name="Обычный 7 5 4 32 2" xfId="22125"/>
    <cellStyle name="Обычный 7 5 4 32 3" xfId="22126"/>
    <cellStyle name="Обычный 7 5 4 33" xfId="22127"/>
    <cellStyle name="Обычный 7 5 4 33 2" xfId="22128"/>
    <cellStyle name="Обычный 7 5 4 33 3" xfId="22129"/>
    <cellStyle name="Обычный 7 5 4 34" xfId="22130"/>
    <cellStyle name="Обычный 7 5 4 34 2" xfId="22131"/>
    <cellStyle name="Обычный 7 5 4 34 3" xfId="22132"/>
    <cellStyle name="Обычный 7 5 4 35" xfId="22133"/>
    <cellStyle name="Обычный 7 5 4 35 2" xfId="22134"/>
    <cellStyle name="Обычный 7 5 4 35 3" xfId="22135"/>
    <cellStyle name="Обычный 7 5 4 36" xfId="22136"/>
    <cellStyle name="Обычный 7 5 4 36 2" xfId="22137"/>
    <cellStyle name="Обычный 7 5 4 36 3" xfId="22138"/>
    <cellStyle name="Обычный 7 5 4 37" xfId="22139"/>
    <cellStyle name="Обычный 7 5 4 37 2" xfId="22140"/>
    <cellStyle name="Обычный 7 5 4 37 3" xfId="22141"/>
    <cellStyle name="Обычный 7 5 4 38" xfId="22142"/>
    <cellStyle name="Обычный 7 5 4 38 2" xfId="22143"/>
    <cellStyle name="Обычный 7 5 4 38 3" xfId="22144"/>
    <cellStyle name="Обычный 7 5 4 39" xfId="22145"/>
    <cellStyle name="Обычный 7 5 4 39 2" xfId="22146"/>
    <cellStyle name="Обычный 7 5 4 39 3" xfId="22147"/>
    <cellStyle name="Обычный 7 5 4 4" xfId="22148"/>
    <cellStyle name="Обычный 7 5 4 4 2" xfId="22149"/>
    <cellStyle name="Обычный 7 5 4 4 3" xfId="22150"/>
    <cellStyle name="Обычный 7 5 4 40" xfId="22151"/>
    <cellStyle name="Обычный 7 5 4 40 2" xfId="22152"/>
    <cellStyle name="Обычный 7 5 4 40 3" xfId="22153"/>
    <cellStyle name="Обычный 7 5 4 41" xfId="22154"/>
    <cellStyle name="Обычный 7 5 4 41 2" xfId="22155"/>
    <cellStyle name="Обычный 7 5 4 41 3" xfId="22156"/>
    <cellStyle name="Обычный 7 5 4 42" xfId="22157"/>
    <cellStyle name="Обычный 7 5 4 42 2" xfId="22158"/>
    <cellStyle name="Обычный 7 5 4 42 3" xfId="22159"/>
    <cellStyle name="Обычный 7 5 4 43" xfId="22160"/>
    <cellStyle name="Обычный 7 5 4 43 2" xfId="22161"/>
    <cellStyle name="Обычный 7 5 4 43 3" xfId="22162"/>
    <cellStyle name="Обычный 7 5 4 44" xfId="22163"/>
    <cellStyle name="Обычный 7 5 4 44 2" xfId="22164"/>
    <cellStyle name="Обычный 7 5 4 44 3" xfId="22165"/>
    <cellStyle name="Обычный 7 5 4 45" xfId="22166"/>
    <cellStyle name="Обычный 7 5 4 45 2" xfId="22167"/>
    <cellStyle name="Обычный 7 5 4 45 3" xfId="22168"/>
    <cellStyle name="Обычный 7 5 4 46" xfId="22169"/>
    <cellStyle name="Обычный 7 5 4 46 2" xfId="22170"/>
    <cellStyle name="Обычный 7 5 4 46 3" xfId="22171"/>
    <cellStyle name="Обычный 7 5 4 47" xfId="22172"/>
    <cellStyle name="Обычный 7 5 4 47 2" xfId="22173"/>
    <cellStyle name="Обычный 7 5 4 47 3" xfId="22174"/>
    <cellStyle name="Обычный 7 5 4 48" xfId="22175"/>
    <cellStyle name="Обычный 7 5 4 48 2" xfId="22176"/>
    <cellStyle name="Обычный 7 5 4 48 3" xfId="22177"/>
    <cellStyle name="Обычный 7 5 4 49" xfId="22178"/>
    <cellStyle name="Обычный 7 5 4 49 2" xfId="22179"/>
    <cellStyle name="Обычный 7 5 4 49 3" xfId="22180"/>
    <cellStyle name="Обычный 7 5 4 5" xfId="22181"/>
    <cellStyle name="Обычный 7 5 4 5 2" xfId="22182"/>
    <cellStyle name="Обычный 7 5 4 5 3" xfId="22183"/>
    <cellStyle name="Обычный 7 5 4 50" xfId="22184"/>
    <cellStyle name="Обычный 7 5 4 50 2" xfId="22185"/>
    <cellStyle name="Обычный 7 5 4 50 3" xfId="22186"/>
    <cellStyle name="Обычный 7 5 4 51" xfId="22187"/>
    <cellStyle name="Обычный 7 5 4 51 2" xfId="22188"/>
    <cellStyle name="Обычный 7 5 4 51 3" xfId="22189"/>
    <cellStyle name="Обычный 7 5 4 52" xfId="22190"/>
    <cellStyle name="Обычный 7 5 4 52 2" xfId="22191"/>
    <cellStyle name="Обычный 7 5 4 52 3" xfId="22192"/>
    <cellStyle name="Обычный 7 5 4 53" xfId="22193"/>
    <cellStyle name="Обычный 7 5 4 53 2" xfId="22194"/>
    <cellStyle name="Обычный 7 5 4 53 3" xfId="22195"/>
    <cellStyle name="Обычный 7 5 4 54" xfId="22196"/>
    <cellStyle name="Обычный 7 5 4 54 2" xfId="22197"/>
    <cellStyle name="Обычный 7 5 4 54 3" xfId="22198"/>
    <cellStyle name="Обычный 7 5 4 55" xfId="22199"/>
    <cellStyle name="Обычный 7 5 4 55 2" xfId="22200"/>
    <cellStyle name="Обычный 7 5 4 55 3" xfId="22201"/>
    <cellStyle name="Обычный 7 5 4 56" xfId="22202"/>
    <cellStyle name="Обычный 7 5 4 56 2" xfId="22203"/>
    <cellStyle name="Обычный 7 5 4 56 3" xfId="22204"/>
    <cellStyle name="Обычный 7 5 4 57" xfId="22205"/>
    <cellStyle name="Обычный 7 5 4 57 2" xfId="22206"/>
    <cellStyle name="Обычный 7 5 4 57 3" xfId="22207"/>
    <cellStyle name="Обычный 7 5 4 58" xfId="22208"/>
    <cellStyle name="Обычный 7 5 4 58 2" xfId="22209"/>
    <cellStyle name="Обычный 7 5 4 58 3" xfId="22210"/>
    <cellStyle name="Обычный 7 5 4 59" xfId="22211"/>
    <cellStyle name="Обычный 7 5 4 59 2" xfId="22212"/>
    <cellStyle name="Обычный 7 5 4 59 3" xfId="22213"/>
    <cellStyle name="Обычный 7 5 4 6" xfId="22214"/>
    <cellStyle name="Обычный 7 5 4 6 2" xfId="22215"/>
    <cellStyle name="Обычный 7 5 4 6 3" xfId="22216"/>
    <cellStyle name="Обычный 7 5 4 60" xfId="22217"/>
    <cellStyle name="Обычный 7 5 4 60 2" xfId="22218"/>
    <cellStyle name="Обычный 7 5 4 60 3" xfId="22219"/>
    <cellStyle name="Обычный 7 5 4 61" xfId="22220"/>
    <cellStyle name="Обычный 7 5 4 61 2" xfId="22221"/>
    <cellStyle name="Обычный 7 5 4 61 3" xfId="22222"/>
    <cellStyle name="Обычный 7 5 4 62" xfId="22223"/>
    <cellStyle name="Обычный 7 5 4 62 2" xfId="22224"/>
    <cellStyle name="Обычный 7 5 4 62 3" xfId="22225"/>
    <cellStyle name="Обычный 7 5 4 63" xfId="22226"/>
    <cellStyle name="Обычный 7 5 4 63 2" xfId="22227"/>
    <cellStyle name="Обычный 7 5 4 63 3" xfId="22228"/>
    <cellStyle name="Обычный 7 5 4 64" xfId="22229"/>
    <cellStyle name="Обычный 7 5 4 65" xfId="22230"/>
    <cellStyle name="Обычный 7 5 4 7" xfId="22231"/>
    <cellStyle name="Обычный 7 5 4 7 2" xfId="22232"/>
    <cellStyle name="Обычный 7 5 4 7 3" xfId="22233"/>
    <cellStyle name="Обычный 7 5 4 8" xfId="22234"/>
    <cellStyle name="Обычный 7 5 4 8 2" xfId="22235"/>
    <cellStyle name="Обычный 7 5 4 8 3" xfId="22236"/>
    <cellStyle name="Обычный 7 5 4 9" xfId="22237"/>
    <cellStyle name="Обычный 7 5 4 9 2" xfId="22238"/>
    <cellStyle name="Обычный 7 5 4 9 3" xfId="22239"/>
    <cellStyle name="Обычный 7 5 40" xfId="22240"/>
    <cellStyle name="Обычный 7 5 40 2" xfId="22241"/>
    <cellStyle name="Обычный 7 5 40 3" xfId="22242"/>
    <cellStyle name="Обычный 7 5 41" xfId="22243"/>
    <cellStyle name="Обычный 7 5 41 2" xfId="22244"/>
    <cellStyle name="Обычный 7 5 41 3" xfId="22245"/>
    <cellStyle name="Обычный 7 5 42" xfId="22246"/>
    <cellStyle name="Обычный 7 5 42 2" xfId="22247"/>
    <cellStyle name="Обычный 7 5 42 3" xfId="22248"/>
    <cellStyle name="Обычный 7 5 43" xfId="22249"/>
    <cellStyle name="Обычный 7 5 43 2" xfId="22250"/>
    <cellStyle name="Обычный 7 5 43 3" xfId="22251"/>
    <cellStyle name="Обычный 7 5 44" xfId="22252"/>
    <cellStyle name="Обычный 7 5 44 2" xfId="22253"/>
    <cellStyle name="Обычный 7 5 44 3" xfId="22254"/>
    <cellStyle name="Обычный 7 5 45" xfId="22255"/>
    <cellStyle name="Обычный 7 5 45 2" xfId="22256"/>
    <cellStyle name="Обычный 7 5 45 3" xfId="22257"/>
    <cellStyle name="Обычный 7 5 46" xfId="22258"/>
    <cellStyle name="Обычный 7 5 46 2" xfId="22259"/>
    <cellStyle name="Обычный 7 5 46 3" xfId="22260"/>
    <cellStyle name="Обычный 7 5 47" xfId="22261"/>
    <cellStyle name="Обычный 7 5 47 2" xfId="22262"/>
    <cellStyle name="Обычный 7 5 47 3" xfId="22263"/>
    <cellStyle name="Обычный 7 5 48" xfId="22264"/>
    <cellStyle name="Обычный 7 5 48 2" xfId="22265"/>
    <cellStyle name="Обычный 7 5 48 3" xfId="22266"/>
    <cellStyle name="Обычный 7 5 49" xfId="22267"/>
    <cellStyle name="Обычный 7 5 49 2" xfId="22268"/>
    <cellStyle name="Обычный 7 5 49 3" xfId="22269"/>
    <cellStyle name="Обычный 7 5 5" xfId="22270"/>
    <cellStyle name="Обычный 7 5 5 10" xfId="22271"/>
    <cellStyle name="Обычный 7 5 5 10 2" xfId="22272"/>
    <cellStyle name="Обычный 7 5 5 10 3" xfId="22273"/>
    <cellStyle name="Обычный 7 5 5 11" xfId="22274"/>
    <cellStyle name="Обычный 7 5 5 11 2" xfId="22275"/>
    <cellStyle name="Обычный 7 5 5 11 3" xfId="22276"/>
    <cellStyle name="Обычный 7 5 5 12" xfId="22277"/>
    <cellStyle name="Обычный 7 5 5 12 2" xfId="22278"/>
    <cellStyle name="Обычный 7 5 5 12 3" xfId="22279"/>
    <cellStyle name="Обычный 7 5 5 13" xfId="22280"/>
    <cellStyle name="Обычный 7 5 5 13 2" xfId="22281"/>
    <cellStyle name="Обычный 7 5 5 13 3" xfId="22282"/>
    <cellStyle name="Обычный 7 5 5 14" xfId="22283"/>
    <cellStyle name="Обычный 7 5 5 14 2" xfId="22284"/>
    <cellStyle name="Обычный 7 5 5 14 3" xfId="22285"/>
    <cellStyle name="Обычный 7 5 5 15" xfId="22286"/>
    <cellStyle name="Обычный 7 5 5 15 2" xfId="22287"/>
    <cellStyle name="Обычный 7 5 5 15 3" xfId="22288"/>
    <cellStyle name="Обычный 7 5 5 16" xfId="22289"/>
    <cellStyle name="Обычный 7 5 5 16 2" xfId="22290"/>
    <cellStyle name="Обычный 7 5 5 16 3" xfId="22291"/>
    <cellStyle name="Обычный 7 5 5 17" xfId="22292"/>
    <cellStyle name="Обычный 7 5 5 17 2" xfId="22293"/>
    <cellStyle name="Обычный 7 5 5 17 3" xfId="22294"/>
    <cellStyle name="Обычный 7 5 5 18" xfId="22295"/>
    <cellStyle name="Обычный 7 5 5 18 2" xfId="22296"/>
    <cellStyle name="Обычный 7 5 5 18 3" xfId="22297"/>
    <cellStyle name="Обычный 7 5 5 19" xfId="22298"/>
    <cellStyle name="Обычный 7 5 5 19 2" xfId="22299"/>
    <cellStyle name="Обычный 7 5 5 19 3" xfId="22300"/>
    <cellStyle name="Обычный 7 5 5 2" xfId="22301"/>
    <cellStyle name="Обычный 7 5 5 2 2" xfId="22302"/>
    <cellStyle name="Обычный 7 5 5 2 3" xfId="22303"/>
    <cellStyle name="Обычный 7 5 5 20" xfId="22304"/>
    <cellStyle name="Обычный 7 5 5 20 2" xfId="22305"/>
    <cellStyle name="Обычный 7 5 5 20 3" xfId="22306"/>
    <cellStyle name="Обычный 7 5 5 21" xfId="22307"/>
    <cellStyle name="Обычный 7 5 5 21 2" xfId="22308"/>
    <cellStyle name="Обычный 7 5 5 21 3" xfId="22309"/>
    <cellStyle name="Обычный 7 5 5 22" xfId="22310"/>
    <cellStyle name="Обычный 7 5 5 22 2" xfId="22311"/>
    <cellStyle name="Обычный 7 5 5 22 3" xfId="22312"/>
    <cellStyle name="Обычный 7 5 5 23" xfId="22313"/>
    <cellStyle name="Обычный 7 5 5 23 2" xfId="22314"/>
    <cellStyle name="Обычный 7 5 5 23 3" xfId="22315"/>
    <cellStyle name="Обычный 7 5 5 24" xfId="22316"/>
    <cellStyle name="Обычный 7 5 5 24 2" xfId="22317"/>
    <cellStyle name="Обычный 7 5 5 24 3" xfId="22318"/>
    <cellStyle name="Обычный 7 5 5 25" xfId="22319"/>
    <cellStyle name="Обычный 7 5 5 25 2" xfId="22320"/>
    <cellStyle name="Обычный 7 5 5 25 3" xfId="22321"/>
    <cellStyle name="Обычный 7 5 5 26" xfId="22322"/>
    <cellStyle name="Обычный 7 5 5 26 2" xfId="22323"/>
    <cellStyle name="Обычный 7 5 5 26 3" xfId="22324"/>
    <cellStyle name="Обычный 7 5 5 27" xfId="22325"/>
    <cellStyle name="Обычный 7 5 5 27 2" xfId="22326"/>
    <cellStyle name="Обычный 7 5 5 27 3" xfId="22327"/>
    <cellStyle name="Обычный 7 5 5 28" xfId="22328"/>
    <cellStyle name="Обычный 7 5 5 28 2" xfId="22329"/>
    <cellStyle name="Обычный 7 5 5 28 3" xfId="22330"/>
    <cellStyle name="Обычный 7 5 5 29" xfId="22331"/>
    <cellStyle name="Обычный 7 5 5 29 2" xfId="22332"/>
    <cellStyle name="Обычный 7 5 5 29 3" xfId="22333"/>
    <cellStyle name="Обычный 7 5 5 3" xfId="22334"/>
    <cellStyle name="Обычный 7 5 5 3 2" xfId="22335"/>
    <cellStyle name="Обычный 7 5 5 3 3" xfId="22336"/>
    <cellStyle name="Обычный 7 5 5 30" xfId="22337"/>
    <cellStyle name="Обычный 7 5 5 30 2" xfId="22338"/>
    <cellStyle name="Обычный 7 5 5 30 3" xfId="22339"/>
    <cellStyle name="Обычный 7 5 5 31" xfId="22340"/>
    <cellStyle name="Обычный 7 5 5 31 2" xfId="22341"/>
    <cellStyle name="Обычный 7 5 5 31 3" xfId="22342"/>
    <cellStyle name="Обычный 7 5 5 32" xfId="22343"/>
    <cellStyle name="Обычный 7 5 5 32 2" xfId="22344"/>
    <cellStyle name="Обычный 7 5 5 32 3" xfId="22345"/>
    <cellStyle name="Обычный 7 5 5 33" xfId="22346"/>
    <cellStyle name="Обычный 7 5 5 33 2" xfId="22347"/>
    <cellStyle name="Обычный 7 5 5 33 3" xfId="22348"/>
    <cellStyle name="Обычный 7 5 5 34" xfId="22349"/>
    <cellStyle name="Обычный 7 5 5 34 2" xfId="22350"/>
    <cellStyle name="Обычный 7 5 5 34 3" xfId="22351"/>
    <cellStyle name="Обычный 7 5 5 35" xfId="22352"/>
    <cellStyle name="Обычный 7 5 5 35 2" xfId="22353"/>
    <cellStyle name="Обычный 7 5 5 35 3" xfId="22354"/>
    <cellStyle name="Обычный 7 5 5 36" xfId="22355"/>
    <cellStyle name="Обычный 7 5 5 36 2" xfId="22356"/>
    <cellStyle name="Обычный 7 5 5 36 3" xfId="22357"/>
    <cellStyle name="Обычный 7 5 5 37" xfId="22358"/>
    <cellStyle name="Обычный 7 5 5 37 2" xfId="22359"/>
    <cellStyle name="Обычный 7 5 5 37 3" xfId="22360"/>
    <cellStyle name="Обычный 7 5 5 38" xfId="22361"/>
    <cellStyle name="Обычный 7 5 5 38 2" xfId="22362"/>
    <cellStyle name="Обычный 7 5 5 38 3" xfId="22363"/>
    <cellStyle name="Обычный 7 5 5 39" xfId="22364"/>
    <cellStyle name="Обычный 7 5 5 39 2" xfId="22365"/>
    <cellStyle name="Обычный 7 5 5 39 3" xfId="22366"/>
    <cellStyle name="Обычный 7 5 5 4" xfId="22367"/>
    <cellStyle name="Обычный 7 5 5 4 2" xfId="22368"/>
    <cellStyle name="Обычный 7 5 5 4 3" xfId="22369"/>
    <cellStyle name="Обычный 7 5 5 40" xfId="22370"/>
    <cellStyle name="Обычный 7 5 5 40 2" xfId="22371"/>
    <cellStyle name="Обычный 7 5 5 40 3" xfId="22372"/>
    <cellStyle name="Обычный 7 5 5 41" xfId="22373"/>
    <cellStyle name="Обычный 7 5 5 41 2" xfId="22374"/>
    <cellStyle name="Обычный 7 5 5 41 3" xfId="22375"/>
    <cellStyle name="Обычный 7 5 5 42" xfId="22376"/>
    <cellStyle name="Обычный 7 5 5 42 2" xfId="22377"/>
    <cellStyle name="Обычный 7 5 5 42 3" xfId="22378"/>
    <cellStyle name="Обычный 7 5 5 43" xfId="22379"/>
    <cellStyle name="Обычный 7 5 5 43 2" xfId="22380"/>
    <cellStyle name="Обычный 7 5 5 43 3" xfId="22381"/>
    <cellStyle name="Обычный 7 5 5 44" xfId="22382"/>
    <cellStyle name="Обычный 7 5 5 44 2" xfId="22383"/>
    <cellStyle name="Обычный 7 5 5 44 3" xfId="22384"/>
    <cellStyle name="Обычный 7 5 5 45" xfId="22385"/>
    <cellStyle name="Обычный 7 5 5 45 2" xfId="22386"/>
    <cellStyle name="Обычный 7 5 5 45 3" xfId="22387"/>
    <cellStyle name="Обычный 7 5 5 46" xfId="22388"/>
    <cellStyle name="Обычный 7 5 5 46 2" xfId="22389"/>
    <cellStyle name="Обычный 7 5 5 46 3" xfId="22390"/>
    <cellStyle name="Обычный 7 5 5 47" xfId="22391"/>
    <cellStyle name="Обычный 7 5 5 47 2" xfId="22392"/>
    <cellStyle name="Обычный 7 5 5 47 3" xfId="22393"/>
    <cellStyle name="Обычный 7 5 5 48" xfId="22394"/>
    <cellStyle name="Обычный 7 5 5 48 2" xfId="22395"/>
    <cellStyle name="Обычный 7 5 5 48 3" xfId="22396"/>
    <cellStyle name="Обычный 7 5 5 49" xfId="22397"/>
    <cellStyle name="Обычный 7 5 5 49 2" xfId="22398"/>
    <cellStyle name="Обычный 7 5 5 49 3" xfId="22399"/>
    <cellStyle name="Обычный 7 5 5 5" xfId="22400"/>
    <cellStyle name="Обычный 7 5 5 5 2" xfId="22401"/>
    <cellStyle name="Обычный 7 5 5 5 3" xfId="22402"/>
    <cellStyle name="Обычный 7 5 5 50" xfId="22403"/>
    <cellStyle name="Обычный 7 5 5 50 2" xfId="22404"/>
    <cellStyle name="Обычный 7 5 5 50 3" xfId="22405"/>
    <cellStyle name="Обычный 7 5 5 51" xfId="22406"/>
    <cellStyle name="Обычный 7 5 5 51 2" xfId="22407"/>
    <cellStyle name="Обычный 7 5 5 51 3" xfId="22408"/>
    <cellStyle name="Обычный 7 5 5 52" xfId="22409"/>
    <cellStyle name="Обычный 7 5 5 52 2" xfId="22410"/>
    <cellStyle name="Обычный 7 5 5 52 3" xfId="22411"/>
    <cellStyle name="Обычный 7 5 5 53" xfId="22412"/>
    <cellStyle name="Обычный 7 5 5 53 2" xfId="22413"/>
    <cellStyle name="Обычный 7 5 5 53 3" xfId="22414"/>
    <cellStyle name="Обычный 7 5 5 54" xfId="22415"/>
    <cellStyle name="Обычный 7 5 5 54 2" xfId="22416"/>
    <cellStyle name="Обычный 7 5 5 54 3" xfId="22417"/>
    <cellStyle name="Обычный 7 5 5 55" xfId="22418"/>
    <cellStyle name="Обычный 7 5 5 55 2" xfId="22419"/>
    <cellStyle name="Обычный 7 5 5 55 3" xfId="22420"/>
    <cellStyle name="Обычный 7 5 5 56" xfId="22421"/>
    <cellStyle name="Обычный 7 5 5 56 2" xfId="22422"/>
    <cellStyle name="Обычный 7 5 5 56 3" xfId="22423"/>
    <cellStyle name="Обычный 7 5 5 57" xfId="22424"/>
    <cellStyle name="Обычный 7 5 5 57 2" xfId="22425"/>
    <cellStyle name="Обычный 7 5 5 57 3" xfId="22426"/>
    <cellStyle name="Обычный 7 5 5 58" xfId="22427"/>
    <cellStyle name="Обычный 7 5 5 58 2" xfId="22428"/>
    <cellStyle name="Обычный 7 5 5 58 3" xfId="22429"/>
    <cellStyle name="Обычный 7 5 5 59" xfId="22430"/>
    <cellStyle name="Обычный 7 5 5 59 2" xfId="22431"/>
    <cellStyle name="Обычный 7 5 5 59 3" xfId="22432"/>
    <cellStyle name="Обычный 7 5 5 6" xfId="22433"/>
    <cellStyle name="Обычный 7 5 5 6 2" xfId="22434"/>
    <cellStyle name="Обычный 7 5 5 6 3" xfId="22435"/>
    <cellStyle name="Обычный 7 5 5 60" xfId="22436"/>
    <cellStyle name="Обычный 7 5 5 60 2" xfId="22437"/>
    <cellStyle name="Обычный 7 5 5 60 3" xfId="22438"/>
    <cellStyle name="Обычный 7 5 5 61" xfId="22439"/>
    <cellStyle name="Обычный 7 5 5 61 2" xfId="22440"/>
    <cellStyle name="Обычный 7 5 5 61 3" xfId="22441"/>
    <cellStyle name="Обычный 7 5 5 62" xfId="22442"/>
    <cellStyle name="Обычный 7 5 5 62 2" xfId="22443"/>
    <cellStyle name="Обычный 7 5 5 62 3" xfId="22444"/>
    <cellStyle name="Обычный 7 5 5 63" xfId="22445"/>
    <cellStyle name="Обычный 7 5 5 63 2" xfId="22446"/>
    <cellStyle name="Обычный 7 5 5 63 3" xfId="22447"/>
    <cellStyle name="Обычный 7 5 5 64" xfId="22448"/>
    <cellStyle name="Обычный 7 5 5 65" xfId="22449"/>
    <cellStyle name="Обычный 7 5 5 7" xfId="22450"/>
    <cellStyle name="Обычный 7 5 5 7 2" xfId="22451"/>
    <cellStyle name="Обычный 7 5 5 7 3" xfId="22452"/>
    <cellStyle name="Обычный 7 5 5 8" xfId="22453"/>
    <cellStyle name="Обычный 7 5 5 8 2" xfId="22454"/>
    <cellStyle name="Обычный 7 5 5 8 3" xfId="22455"/>
    <cellStyle name="Обычный 7 5 5 9" xfId="22456"/>
    <cellStyle name="Обычный 7 5 5 9 2" xfId="22457"/>
    <cellStyle name="Обычный 7 5 5 9 3" xfId="22458"/>
    <cellStyle name="Обычный 7 5 50" xfId="22459"/>
    <cellStyle name="Обычный 7 5 50 2" xfId="22460"/>
    <cellStyle name="Обычный 7 5 50 3" xfId="22461"/>
    <cellStyle name="Обычный 7 5 51" xfId="22462"/>
    <cellStyle name="Обычный 7 5 51 2" xfId="22463"/>
    <cellStyle name="Обычный 7 5 51 3" xfId="22464"/>
    <cellStyle name="Обычный 7 5 52" xfId="22465"/>
    <cellStyle name="Обычный 7 5 52 2" xfId="22466"/>
    <cellStyle name="Обычный 7 5 52 3" xfId="22467"/>
    <cellStyle name="Обычный 7 5 53" xfId="22468"/>
    <cellStyle name="Обычный 7 5 53 2" xfId="22469"/>
    <cellStyle name="Обычный 7 5 53 3" xfId="22470"/>
    <cellStyle name="Обычный 7 5 54" xfId="22471"/>
    <cellStyle name="Обычный 7 5 54 2" xfId="22472"/>
    <cellStyle name="Обычный 7 5 54 3" xfId="22473"/>
    <cellStyle name="Обычный 7 5 55" xfId="22474"/>
    <cellStyle name="Обычный 7 5 55 2" xfId="22475"/>
    <cellStyle name="Обычный 7 5 55 3" xfId="22476"/>
    <cellStyle name="Обычный 7 5 56" xfId="22477"/>
    <cellStyle name="Обычный 7 5 56 2" xfId="22478"/>
    <cellStyle name="Обычный 7 5 56 3" xfId="22479"/>
    <cellStyle name="Обычный 7 5 57" xfId="22480"/>
    <cellStyle name="Обычный 7 5 57 2" xfId="22481"/>
    <cellStyle name="Обычный 7 5 57 3" xfId="22482"/>
    <cellStyle name="Обычный 7 5 58" xfId="22483"/>
    <cellStyle name="Обычный 7 5 58 2" xfId="22484"/>
    <cellStyle name="Обычный 7 5 58 3" xfId="22485"/>
    <cellStyle name="Обычный 7 5 59" xfId="22486"/>
    <cellStyle name="Обычный 7 5 59 2" xfId="22487"/>
    <cellStyle name="Обычный 7 5 59 3" xfId="22488"/>
    <cellStyle name="Обычный 7 5 6" xfId="22489"/>
    <cellStyle name="Обычный 7 5 6 10" xfId="22490"/>
    <cellStyle name="Обычный 7 5 6 10 2" xfId="22491"/>
    <cellStyle name="Обычный 7 5 6 10 3" xfId="22492"/>
    <cellStyle name="Обычный 7 5 6 11" xfId="22493"/>
    <cellStyle name="Обычный 7 5 6 11 2" xfId="22494"/>
    <cellStyle name="Обычный 7 5 6 11 3" xfId="22495"/>
    <cellStyle name="Обычный 7 5 6 12" xfId="22496"/>
    <cellStyle name="Обычный 7 5 6 12 2" xfId="22497"/>
    <cellStyle name="Обычный 7 5 6 12 3" xfId="22498"/>
    <cellStyle name="Обычный 7 5 6 13" xfId="22499"/>
    <cellStyle name="Обычный 7 5 6 13 2" xfId="22500"/>
    <cellStyle name="Обычный 7 5 6 13 3" xfId="22501"/>
    <cellStyle name="Обычный 7 5 6 14" xfId="22502"/>
    <cellStyle name="Обычный 7 5 6 14 2" xfId="22503"/>
    <cellStyle name="Обычный 7 5 6 14 3" xfId="22504"/>
    <cellStyle name="Обычный 7 5 6 15" xfId="22505"/>
    <cellStyle name="Обычный 7 5 6 15 2" xfId="22506"/>
    <cellStyle name="Обычный 7 5 6 15 3" xfId="22507"/>
    <cellStyle name="Обычный 7 5 6 16" xfId="22508"/>
    <cellStyle name="Обычный 7 5 6 16 2" xfId="22509"/>
    <cellStyle name="Обычный 7 5 6 16 3" xfId="22510"/>
    <cellStyle name="Обычный 7 5 6 17" xfId="22511"/>
    <cellStyle name="Обычный 7 5 6 17 2" xfId="22512"/>
    <cellStyle name="Обычный 7 5 6 17 3" xfId="22513"/>
    <cellStyle name="Обычный 7 5 6 18" xfId="22514"/>
    <cellStyle name="Обычный 7 5 6 18 2" xfId="22515"/>
    <cellStyle name="Обычный 7 5 6 18 3" xfId="22516"/>
    <cellStyle name="Обычный 7 5 6 19" xfId="22517"/>
    <cellStyle name="Обычный 7 5 6 19 2" xfId="22518"/>
    <cellStyle name="Обычный 7 5 6 19 3" xfId="22519"/>
    <cellStyle name="Обычный 7 5 6 2" xfId="22520"/>
    <cellStyle name="Обычный 7 5 6 2 2" xfId="22521"/>
    <cellStyle name="Обычный 7 5 6 2 3" xfId="22522"/>
    <cellStyle name="Обычный 7 5 6 20" xfId="22523"/>
    <cellStyle name="Обычный 7 5 6 20 2" xfId="22524"/>
    <cellStyle name="Обычный 7 5 6 20 3" xfId="22525"/>
    <cellStyle name="Обычный 7 5 6 21" xfId="22526"/>
    <cellStyle name="Обычный 7 5 6 21 2" xfId="22527"/>
    <cellStyle name="Обычный 7 5 6 21 3" xfId="22528"/>
    <cellStyle name="Обычный 7 5 6 22" xfId="22529"/>
    <cellStyle name="Обычный 7 5 6 22 2" xfId="22530"/>
    <cellStyle name="Обычный 7 5 6 22 3" xfId="22531"/>
    <cellStyle name="Обычный 7 5 6 23" xfId="22532"/>
    <cellStyle name="Обычный 7 5 6 23 2" xfId="22533"/>
    <cellStyle name="Обычный 7 5 6 23 3" xfId="22534"/>
    <cellStyle name="Обычный 7 5 6 24" xfId="22535"/>
    <cellStyle name="Обычный 7 5 6 24 2" xfId="22536"/>
    <cellStyle name="Обычный 7 5 6 24 3" xfId="22537"/>
    <cellStyle name="Обычный 7 5 6 25" xfId="22538"/>
    <cellStyle name="Обычный 7 5 6 25 2" xfId="22539"/>
    <cellStyle name="Обычный 7 5 6 25 3" xfId="22540"/>
    <cellStyle name="Обычный 7 5 6 26" xfId="22541"/>
    <cellStyle name="Обычный 7 5 6 26 2" xfId="22542"/>
    <cellStyle name="Обычный 7 5 6 26 3" xfId="22543"/>
    <cellStyle name="Обычный 7 5 6 27" xfId="22544"/>
    <cellStyle name="Обычный 7 5 6 27 2" xfId="22545"/>
    <cellStyle name="Обычный 7 5 6 27 3" xfId="22546"/>
    <cellStyle name="Обычный 7 5 6 28" xfId="22547"/>
    <cellStyle name="Обычный 7 5 6 28 2" xfId="22548"/>
    <cellStyle name="Обычный 7 5 6 28 3" xfId="22549"/>
    <cellStyle name="Обычный 7 5 6 29" xfId="22550"/>
    <cellStyle name="Обычный 7 5 6 29 2" xfId="22551"/>
    <cellStyle name="Обычный 7 5 6 29 3" xfId="22552"/>
    <cellStyle name="Обычный 7 5 6 3" xfId="22553"/>
    <cellStyle name="Обычный 7 5 6 3 2" xfId="22554"/>
    <cellStyle name="Обычный 7 5 6 3 3" xfId="22555"/>
    <cellStyle name="Обычный 7 5 6 30" xfId="22556"/>
    <cellStyle name="Обычный 7 5 6 30 2" xfId="22557"/>
    <cellStyle name="Обычный 7 5 6 30 3" xfId="22558"/>
    <cellStyle name="Обычный 7 5 6 31" xfId="22559"/>
    <cellStyle name="Обычный 7 5 6 31 2" xfId="22560"/>
    <cellStyle name="Обычный 7 5 6 31 3" xfId="22561"/>
    <cellStyle name="Обычный 7 5 6 32" xfId="22562"/>
    <cellStyle name="Обычный 7 5 6 32 2" xfId="22563"/>
    <cellStyle name="Обычный 7 5 6 32 3" xfId="22564"/>
    <cellStyle name="Обычный 7 5 6 33" xfId="22565"/>
    <cellStyle name="Обычный 7 5 6 33 2" xfId="22566"/>
    <cellStyle name="Обычный 7 5 6 33 3" xfId="22567"/>
    <cellStyle name="Обычный 7 5 6 34" xfId="22568"/>
    <cellStyle name="Обычный 7 5 6 34 2" xfId="22569"/>
    <cellStyle name="Обычный 7 5 6 34 3" xfId="22570"/>
    <cellStyle name="Обычный 7 5 6 35" xfId="22571"/>
    <cellStyle name="Обычный 7 5 6 35 2" xfId="22572"/>
    <cellStyle name="Обычный 7 5 6 35 3" xfId="22573"/>
    <cellStyle name="Обычный 7 5 6 36" xfId="22574"/>
    <cellStyle name="Обычный 7 5 6 36 2" xfId="22575"/>
    <cellStyle name="Обычный 7 5 6 36 3" xfId="22576"/>
    <cellStyle name="Обычный 7 5 6 37" xfId="22577"/>
    <cellStyle name="Обычный 7 5 6 37 2" xfId="22578"/>
    <cellStyle name="Обычный 7 5 6 37 3" xfId="22579"/>
    <cellStyle name="Обычный 7 5 6 38" xfId="22580"/>
    <cellStyle name="Обычный 7 5 6 38 2" xfId="22581"/>
    <cellStyle name="Обычный 7 5 6 38 3" xfId="22582"/>
    <cellStyle name="Обычный 7 5 6 39" xfId="22583"/>
    <cellStyle name="Обычный 7 5 6 39 2" xfId="22584"/>
    <cellStyle name="Обычный 7 5 6 39 3" xfId="22585"/>
    <cellStyle name="Обычный 7 5 6 4" xfId="22586"/>
    <cellStyle name="Обычный 7 5 6 4 2" xfId="22587"/>
    <cellStyle name="Обычный 7 5 6 4 3" xfId="22588"/>
    <cellStyle name="Обычный 7 5 6 40" xfId="22589"/>
    <cellStyle name="Обычный 7 5 6 40 2" xfId="22590"/>
    <cellStyle name="Обычный 7 5 6 40 3" xfId="22591"/>
    <cellStyle name="Обычный 7 5 6 41" xfId="22592"/>
    <cellStyle name="Обычный 7 5 6 41 2" xfId="22593"/>
    <cellStyle name="Обычный 7 5 6 41 3" xfId="22594"/>
    <cellStyle name="Обычный 7 5 6 42" xfId="22595"/>
    <cellStyle name="Обычный 7 5 6 42 2" xfId="22596"/>
    <cellStyle name="Обычный 7 5 6 42 3" xfId="22597"/>
    <cellStyle name="Обычный 7 5 6 43" xfId="22598"/>
    <cellStyle name="Обычный 7 5 6 43 2" xfId="22599"/>
    <cellStyle name="Обычный 7 5 6 43 3" xfId="22600"/>
    <cellStyle name="Обычный 7 5 6 44" xfId="22601"/>
    <cellStyle name="Обычный 7 5 6 44 2" xfId="22602"/>
    <cellStyle name="Обычный 7 5 6 44 3" xfId="22603"/>
    <cellStyle name="Обычный 7 5 6 45" xfId="22604"/>
    <cellStyle name="Обычный 7 5 6 45 2" xfId="22605"/>
    <cellStyle name="Обычный 7 5 6 45 3" xfId="22606"/>
    <cellStyle name="Обычный 7 5 6 46" xfId="22607"/>
    <cellStyle name="Обычный 7 5 6 46 2" xfId="22608"/>
    <cellStyle name="Обычный 7 5 6 46 3" xfId="22609"/>
    <cellStyle name="Обычный 7 5 6 47" xfId="22610"/>
    <cellStyle name="Обычный 7 5 6 47 2" xfId="22611"/>
    <cellStyle name="Обычный 7 5 6 47 3" xfId="22612"/>
    <cellStyle name="Обычный 7 5 6 48" xfId="22613"/>
    <cellStyle name="Обычный 7 5 6 48 2" xfId="22614"/>
    <cellStyle name="Обычный 7 5 6 48 3" xfId="22615"/>
    <cellStyle name="Обычный 7 5 6 49" xfId="22616"/>
    <cellStyle name="Обычный 7 5 6 49 2" xfId="22617"/>
    <cellStyle name="Обычный 7 5 6 49 3" xfId="22618"/>
    <cellStyle name="Обычный 7 5 6 5" xfId="22619"/>
    <cellStyle name="Обычный 7 5 6 5 2" xfId="22620"/>
    <cellStyle name="Обычный 7 5 6 5 3" xfId="22621"/>
    <cellStyle name="Обычный 7 5 6 50" xfId="22622"/>
    <cellStyle name="Обычный 7 5 6 50 2" xfId="22623"/>
    <cellStyle name="Обычный 7 5 6 50 3" xfId="22624"/>
    <cellStyle name="Обычный 7 5 6 51" xfId="22625"/>
    <cellStyle name="Обычный 7 5 6 51 2" xfId="22626"/>
    <cellStyle name="Обычный 7 5 6 51 3" xfId="22627"/>
    <cellStyle name="Обычный 7 5 6 52" xfId="22628"/>
    <cellStyle name="Обычный 7 5 6 52 2" xfId="22629"/>
    <cellStyle name="Обычный 7 5 6 52 3" xfId="22630"/>
    <cellStyle name="Обычный 7 5 6 53" xfId="22631"/>
    <cellStyle name="Обычный 7 5 6 53 2" xfId="22632"/>
    <cellStyle name="Обычный 7 5 6 53 3" xfId="22633"/>
    <cellStyle name="Обычный 7 5 6 54" xfId="22634"/>
    <cellStyle name="Обычный 7 5 6 54 2" xfId="22635"/>
    <cellStyle name="Обычный 7 5 6 54 3" xfId="22636"/>
    <cellStyle name="Обычный 7 5 6 55" xfId="22637"/>
    <cellStyle name="Обычный 7 5 6 55 2" xfId="22638"/>
    <cellStyle name="Обычный 7 5 6 55 3" xfId="22639"/>
    <cellStyle name="Обычный 7 5 6 56" xfId="22640"/>
    <cellStyle name="Обычный 7 5 6 56 2" xfId="22641"/>
    <cellStyle name="Обычный 7 5 6 56 3" xfId="22642"/>
    <cellStyle name="Обычный 7 5 6 57" xfId="22643"/>
    <cellStyle name="Обычный 7 5 6 57 2" xfId="22644"/>
    <cellStyle name="Обычный 7 5 6 57 3" xfId="22645"/>
    <cellStyle name="Обычный 7 5 6 58" xfId="22646"/>
    <cellStyle name="Обычный 7 5 6 58 2" xfId="22647"/>
    <cellStyle name="Обычный 7 5 6 58 3" xfId="22648"/>
    <cellStyle name="Обычный 7 5 6 59" xfId="22649"/>
    <cellStyle name="Обычный 7 5 6 59 2" xfId="22650"/>
    <cellStyle name="Обычный 7 5 6 59 3" xfId="22651"/>
    <cellStyle name="Обычный 7 5 6 6" xfId="22652"/>
    <cellStyle name="Обычный 7 5 6 6 2" xfId="22653"/>
    <cellStyle name="Обычный 7 5 6 6 3" xfId="22654"/>
    <cellStyle name="Обычный 7 5 6 60" xfId="22655"/>
    <cellStyle name="Обычный 7 5 6 60 2" xfId="22656"/>
    <cellStyle name="Обычный 7 5 6 60 3" xfId="22657"/>
    <cellStyle name="Обычный 7 5 6 61" xfId="22658"/>
    <cellStyle name="Обычный 7 5 6 61 2" xfId="22659"/>
    <cellStyle name="Обычный 7 5 6 61 3" xfId="22660"/>
    <cellStyle name="Обычный 7 5 6 62" xfId="22661"/>
    <cellStyle name="Обычный 7 5 6 62 2" xfId="22662"/>
    <cellStyle name="Обычный 7 5 6 62 3" xfId="22663"/>
    <cellStyle name="Обычный 7 5 6 63" xfId="22664"/>
    <cellStyle name="Обычный 7 5 6 63 2" xfId="22665"/>
    <cellStyle name="Обычный 7 5 6 63 3" xfId="22666"/>
    <cellStyle name="Обычный 7 5 6 64" xfId="22667"/>
    <cellStyle name="Обычный 7 5 6 65" xfId="22668"/>
    <cellStyle name="Обычный 7 5 6 7" xfId="22669"/>
    <cellStyle name="Обычный 7 5 6 7 2" xfId="22670"/>
    <cellStyle name="Обычный 7 5 6 7 3" xfId="22671"/>
    <cellStyle name="Обычный 7 5 6 8" xfId="22672"/>
    <cellStyle name="Обычный 7 5 6 8 2" xfId="22673"/>
    <cellStyle name="Обычный 7 5 6 8 3" xfId="22674"/>
    <cellStyle name="Обычный 7 5 6 9" xfId="22675"/>
    <cellStyle name="Обычный 7 5 6 9 2" xfId="22676"/>
    <cellStyle name="Обычный 7 5 6 9 3" xfId="22677"/>
    <cellStyle name="Обычный 7 5 60" xfId="22678"/>
    <cellStyle name="Обычный 7 5 60 2" xfId="22679"/>
    <cellStyle name="Обычный 7 5 60 3" xfId="22680"/>
    <cellStyle name="Обычный 7 5 61" xfId="22681"/>
    <cellStyle name="Обычный 7 5 61 2" xfId="22682"/>
    <cellStyle name="Обычный 7 5 61 3" xfId="22683"/>
    <cellStyle name="Обычный 7 5 62" xfId="22684"/>
    <cellStyle name="Обычный 7 5 62 2" xfId="22685"/>
    <cellStyle name="Обычный 7 5 62 3" xfId="22686"/>
    <cellStyle name="Обычный 7 5 63" xfId="22687"/>
    <cellStyle name="Обычный 7 5 63 2" xfId="22688"/>
    <cellStyle name="Обычный 7 5 63 3" xfId="22689"/>
    <cellStyle name="Обычный 7 5 64" xfId="22690"/>
    <cellStyle name="Обычный 7 5 64 2" xfId="22691"/>
    <cellStyle name="Обычный 7 5 64 3" xfId="22692"/>
    <cellStyle name="Обычный 7 5 65" xfId="22693"/>
    <cellStyle name="Обычный 7 5 65 2" xfId="22694"/>
    <cellStyle name="Обычный 7 5 65 3" xfId="22695"/>
    <cellStyle name="Обычный 7 5 66" xfId="22696"/>
    <cellStyle name="Обычный 7 5 66 2" xfId="22697"/>
    <cellStyle name="Обычный 7 5 66 3" xfId="22698"/>
    <cellStyle name="Обычный 7 5 67" xfId="22699"/>
    <cellStyle name="Обычный 7 5 67 2" xfId="22700"/>
    <cellStyle name="Обычный 7 5 67 3" xfId="22701"/>
    <cellStyle name="Обычный 7 5 68" xfId="22702"/>
    <cellStyle name="Обычный 7 5 68 2" xfId="22703"/>
    <cellStyle name="Обычный 7 5 68 3" xfId="22704"/>
    <cellStyle name="Обычный 7 5 69" xfId="22705"/>
    <cellStyle name="Обычный 7 5 69 2" xfId="22706"/>
    <cellStyle name="Обычный 7 5 69 3" xfId="22707"/>
    <cellStyle name="Обычный 7 5 7" xfId="22708"/>
    <cellStyle name="Обычный 7 5 7 10" xfId="22709"/>
    <cellStyle name="Обычный 7 5 7 10 2" xfId="22710"/>
    <cellStyle name="Обычный 7 5 7 10 3" xfId="22711"/>
    <cellStyle name="Обычный 7 5 7 11" xfId="22712"/>
    <cellStyle name="Обычный 7 5 7 11 2" xfId="22713"/>
    <cellStyle name="Обычный 7 5 7 11 3" xfId="22714"/>
    <cellStyle name="Обычный 7 5 7 12" xfId="22715"/>
    <cellStyle name="Обычный 7 5 7 12 2" xfId="22716"/>
    <cellStyle name="Обычный 7 5 7 12 3" xfId="22717"/>
    <cellStyle name="Обычный 7 5 7 13" xfId="22718"/>
    <cellStyle name="Обычный 7 5 7 13 2" xfId="22719"/>
    <cellStyle name="Обычный 7 5 7 13 3" xfId="22720"/>
    <cellStyle name="Обычный 7 5 7 14" xfId="22721"/>
    <cellStyle name="Обычный 7 5 7 14 2" xfId="22722"/>
    <cellStyle name="Обычный 7 5 7 14 3" xfId="22723"/>
    <cellStyle name="Обычный 7 5 7 15" xfId="22724"/>
    <cellStyle name="Обычный 7 5 7 15 2" xfId="22725"/>
    <cellStyle name="Обычный 7 5 7 15 3" xfId="22726"/>
    <cellStyle name="Обычный 7 5 7 16" xfId="22727"/>
    <cellStyle name="Обычный 7 5 7 16 2" xfId="22728"/>
    <cellStyle name="Обычный 7 5 7 16 3" xfId="22729"/>
    <cellStyle name="Обычный 7 5 7 17" xfId="22730"/>
    <cellStyle name="Обычный 7 5 7 17 2" xfId="22731"/>
    <cellStyle name="Обычный 7 5 7 17 3" xfId="22732"/>
    <cellStyle name="Обычный 7 5 7 18" xfId="22733"/>
    <cellStyle name="Обычный 7 5 7 18 2" xfId="22734"/>
    <cellStyle name="Обычный 7 5 7 18 3" xfId="22735"/>
    <cellStyle name="Обычный 7 5 7 19" xfId="22736"/>
    <cellStyle name="Обычный 7 5 7 19 2" xfId="22737"/>
    <cellStyle name="Обычный 7 5 7 19 3" xfId="22738"/>
    <cellStyle name="Обычный 7 5 7 2" xfId="22739"/>
    <cellStyle name="Обычный 7 5 7 2 2" xfId="22740"/>
    <cellStyle name="Обычный 7 5 7 2 3" xfId="22741"/>
    <cellStyle name="Обычный 7 5 7 20" xfId="22742"/>
    <cellStyle name="Обычный 7 5 7 20 2" xfId="22743"/>
    <cellStyle name="Обычный 7 5 7 20 3" xfId="22744"/>
    <cellStyle name="Обычный 7 5 7 21" xfId="22745"/>
    <cellStyle name="Обычный 7 5 7 21 2" xfId="22746"/>
    <cellStyle name="Обычный 7 5 7 21 3" xfId="22747"/>
    <cellStyle name="Обычный 7 5 7 22" xfId="22748"/>
    <cellStyle name="Обычный 7 5 7 22 2" xfId="22749"/>
    <cellStyle name="Обычный 7 5 7 22 3" xfId="22750"/>
    <cellStyle name="Обычный 7 5 7 23" xfId="22751"/>
    <cellStyle name="Обычный 7 5 7 23 2" xfId="22752"/>
    <cellStyle name="Обычный 7 5 7 23 3" xfId="22753"/>
    <cellStyle name="Обычный 7 5 7 24" xfId="22754"/>
    <cellStyle name="Обычный 7 5 7 24 2" xfId="22755"/>
    <cellStyle name="Обычный 7 5 7 24 3" xfId="22756"/>
    <cellStyle name="Обычный 7 5 7 25" xfId="22757"/>
    <cellStyle name="Обычный 7 5 7 25 2" xfId="22758"/>
    <cellStyle name="Обычный 7 5 7 25 3" xfId="22759"/>
    <cellStyle name="Обычный 7 5 7 26" xfId="22760"/>
    <cellStyle name="Обычный 7 5 7 26 2" xfId="22761"/>
    <cellStyle name="Обычный 7 5 7 26 3" xfId="22762"/>
    <cellStyle name="Обычный 7 5 7 27" xfId="22763"/>
    <cellStyle name="Обычный 7 5 7 27 2" xfId="22764"/>
    <cellStyle name="Обычный 7 5 7 27 3" xfId="22765"/>
    <cellStyle name="Обычный 7 5 7 28" xfId="22766"/>
    <cellStyle name="Обычный 7 5 7 28 2" xfId="22767"/>
    <cellStyle name="Обычный 7 5 7 28 3" xfId="22768"/>
    <cellStyle name="Обычный 7 5 7 29" xfId="22769"/>
    <cellStyle name="Обычный 7 5 7 29 2" xfId="22770"/>
    <cellStyle name="Обычный 7 5 7 29 3" xfId="22771"/>
    <cellStyle name="Обычный 7 5 7 3" xfId="22772"/>
    <cellStyle name="Обычный 7 5 7 3 2" xfId="22773"/>
    <cellStyle name="Обычный 7 5 7 3 3" xfId="22774"/>
    <cellStyle name="Обычный 7 5 7 30" xfId="22775"/>
    <cellStyle name="Обычный 7 5 7 30 2" xfId="22776"/>
    <cellStyle name="Обычный 7 5 7 30 3" xfId="22777"/>
    <cellStyle name="Обычный 7 5 7 31" xfId="22778"/>
    <cellStyle name="Обычный 7 5 7 31 2" xfId="22779"/>
    <cellStyle name="Обычный 7 5 7 31 3" xfId="22780"/>
    <cellStyle name="Обычный 7 5 7 32" xfId="22781"/>
    <cellStyle name="Обычный 7 5 7 32 2" xfId="22782"/>
    <cellStyle name="Обычный 7 5 7 32 3" xfId="22783"/>
    <cellStyle name="Обычный 7 5 7 33" xfId="22784"/>
    <cellStyle name="Обычный 7 5 7 33 2" xfId="22785"/>
    <cellStyle name="Обычный 7 5 7 33 3" xfId="22786"/>
    <cellStyle name="Обычный 7 5 7 34" xfId="22787"/>
    <cellStyle name="Обычный 7 5 7 34 2" xfId="22788"/>
    <cellStyle name="Обычный 7 5 7 34 3" xfId="22789"/>
    <cellStyle name="Обычный 7 5 7 35" xfId="22790"/>
    <cellStyle name="Обычный 7 5 7 35 2" xfId="22791"/>
    <cellStyle name="Обычный 7 5 7 35 3" xfId="22792"/>
    <cellStyle name="Обычный 7 5 7 36" xfId="22793"/>
    <cellStyle name="Обычный 7 5 7 36 2" xfId="22794"/>
    <cellStyle name="Обычный 7 5 7 36 3" xfId="22795"/>
    <cellStyle name="Обычный 7 5 7 37" xfId="22796"/>
    <cellStyle name="Обычный 7 5 7 37 2" xfId="22797"/>
    <cellStyle name="Обычный 7 5 7 37 3" xfId="22798"/>
    <cellStyle name="Обычный 7 5 7 38" xfId="22799"/>
    <cellStyle name="Обычный 7 5 7 38 2" xfId="22800"/>
    <cellStyle name="Обычный 7 5 7 38 3" xfId="22801"/>
    <cellStyle name="Обычный 7 5 7 39" xfId="22802"/>
    <cellStyle name="Обычный 7 5 7 39 2" xfId="22803"/>
    <cellStyle name="Обычный 7 5 7 39 3" xfId="22804"/>
    <cellStyle name="Обычный 7 5 7 4" xfId="22805"/>
    <cellStyle name="Обычный 7 5 7 4 2" xfId="22806"/>
    <cellStyle name="Обычный 7 5 7 4 3" xfId="22807"/>
    <cellStyle name="Обычный 7 5 7 40" xfId="22808"/>
    <cellStyle name="Обычный 7 5 7 40 2" xfId="22809"/>
    <cellStyle name="Обычный 7 5 7 40 3" xfId="22810"/>
    <cellStyle name="Обычный 7 5 7 41" xfId="22811"/>
    <cellStyle name="Обычный 7 5 7 41 2" xfId="22812"/>
    <cellStyle name="Обычный 7 5 7 41 3" xfId="22813"/>
    <cellStyle name="Обычный 7 5 7 42" xfId="22814"/>
    <cellStyle name="Обычный 7 5 7 42 2" xfId="22815"/>
    <cellStyle name="Обычный 7 5 7 42 3" xfId="22816"/>
    <cellStyle name="Обычный 7 5 7 43" xfId="22817"/>
    <cellStyle name="Обычный 7 5 7 43 2" xfId="22818"/>
    <cellStyle name="Обычный 7 5 7 43 3" xfId="22819"/>
    <cellStyle name="Обычный 7 5 7 44" xfId="22820"/>
    <cellStyle name="Обычный 7 5 7 44 2" xfId="22821"/>
    <cellStyle name="Обычный 7 5 7 44 3" xfId="22822"/>
    <cellStyle name="Обычный 7 5 7 45" xfId="22823"/>
    <cellStyle name="Обычный 7 5 7 45 2" xfId="22824"/>
    <cellStyle name="Обычный 7 5 7 45 3" xfId="22825"/>
    <cellStyle name="Обычный 7 5 7 46" xfId="22826"/>
    <cellStyle name="Обычный 7 5 7 46 2" xfId="22827"/>
    <cellStyle name="Обычный 7 5 7 46 3" xfId="22828"/>
    <cellStyle name="Обычный 7 5 7 47" xfId="22829"/>
    <cellStyle name="Обычный 7 5 7 47 2" xfId="22830"/>
    <cellStyle name="Обычный 7 5 7 47 3" xfId="22831"/>
    <cellStyle name="Обычный 7 5 7 48" xfId="22832"/>
    <cellStyle name="Обычный 7 5 7 48 2" xfId="22833"/>
    <cellStyle name="Обычный 7 5 7 48 3" xfId="22834"/>
    <cellStyle name="Обычный 7 5 7 49" xfId="22835"/>
    <cellStyle name="Обычный 7 5 7 49 2" xfId="22836"/>
    <cellStyle name="Обычный 7 5 7 49 3" xfId="22837"/>
    <cellStyle name="Обычный 7 5 7 5" xfId="22838"/>
    <cellStyle name="Обычный 7 5 7 5 2" xfId="22839"/>
    <cellStyle name="Обычный 7 5 7 5 3" xfId="22840"/>
    <cellStyle name="Обычный 7 5 7 50" xfId="22841"/>
    <cellStyle name="Обычный 7 5 7 50 2" xfId="22842"/>
    <cellStyle name="Обычный 7 5 7 50 3" xfId="22843"/>
    <cellStyle name="Обычный 7 5 7 51" xfId="22844"/>
    <cellStyle name="Обычный 7 5 7 51 2" xfId="22845"/>
    <cellStyle name="Обычный 7 5 7 51 3" xfId="22846"/>
    <cellStyle name="Обычный 7 5 7 52" xfId="22847"/>
    <cellStyle name="Обычный 7 5 7 52 2" xfId="22848"/>
    <cellStyle name="Обычный 7 5 7 52 3" xfId="22849"/>
    <cellStyle name="Обычный 7 5 7 53" xfId="22850"/>
    <cellStyle name="Обычный 7 5 7 53 2" xfId="22851"/>
    <cellStyle name="Обычный 7 5 7 53 3" xfId="22852"/>
    <cellStyle name="Обычный 7 5 7 54" xfId="22853"/>
    <cellStyle name="Обычный 7 5 7 54 2" xfId="22854"/>
    <cellStyle name="Обычный 7 5 7 54 3" xfId="22855"/>
    <cellStyle name="Обычный 7 5 7 55" xfId="22856"/>
    <cellStyle name="Обычный 7 5 7 55 2" xfId="22857"/>
    <cellStyle name="Обычный 7 5 7 55 3" xfId="22858"/>
    <cellStyle name="Обычный 7 5 7 56" xfId="22859"/>
    <cellStyle name="Обычный 7 5 7 56 2" xfId="22860"/>
    <cellStyle name="Обычный 7 5 7 56 3" xfId="22861"/>
    <cellStyle name="Обычный 7 5 7 57" xfId="22862"/>
    <cellStyle name="Обычный 7 5 7 57 2" xfId="22863"/>
    <cellStyle name="Обычный 7 5 7 57 3" xfId="22864"/>
    <cellStyle name="Обычный 7 5 7 58" xfId="22865"/>
    <cellStyle name="Обычный 7 5 7 58 2" xfId="22866"/>
    <cellStyle name="Обычный 7 5 7 58 3" xfId="22867"/>
    <cellStyle name="Обычный 7 5 7 59" xfId="22868"/>
    <cellStyle name="Обычный 7 5 7 59 2" xfId="22869"/>
    <cellStyle name="Обычный 7 5 7 59 3" xfId="22870"/>
    <cellStyle name="Обычный 7 5 7 6" xfId="22871"/>
    <cellStyle name="Обычный 7 5 7 6 2" xfId="22872"/>
    <cellStyle name="Обычный 7 5 7 6 3" xfId="22873"/>
    <cellStyle name="Обычный 7 5 7 60" xfId="22874"/>
    <cellStyle name="Обычный 7 5 7 60 2" xfId="22875"/>
    <cellStyle name="Обычный 7 5 7 60 3" xfId="22876"/>
    <cellStyle name="Обычный 7 5 7 61" xfId="22877"/>
    <cellStyle name="Обычный 7 5 7 61 2" xfId="22878"/>
    <cellStyle name="Обычный 7 5 7 61 3" xfId="22879"/>
    <cellStyle name="Обычный 7 5 7 62" xfId="22880"/>
    <cellStyle name="Обычный 7 5 7 62 2" xfId="22881"/>
    <cellStyle name="Обычный 7 5 7 62 3" xfId="22882"/>
    <cellStyle name="Обычный 7 5 7 63" xfId="22883"/>
    <cellStyle name="Обычный 7 5 7 63 2" xfId="22884"/>
    <cellStyle name="Обычный 7 5 7 63 3" xfId="22885"/>
    <cellStyle name="Обычный 7 5 7 64" xfId="22886"/>
    <cellStyle name="Обычный 7 5 7 65" xfId="22887"/>
    <cellStyle name="Обычный 7 5 7 7" xfId="22888"/>
    <cellStyle name="Обычный 7 5 7 7 2" xfId="22889"/>
    <cellStyle name="Обычный 7 5 7 7 3" xfId="22890"/>
    <cellStyle name="Обычный 7 5 7 8" xfId="22891"/>
    <cellStyle name="Обычный 7 5 7 8 2" xfId="22892"/>
    <cellStyle name="Обычный 7 5 7 8 3" xfId="22893"/>
    <cellStyle name="Обычный 7 5 7 9" xfId="22894"/>
    <cellStyle name="Обычный 7 5 7 9 2" xfId="22895"/>
    <cellStyle name="Обычный 7 5 7 9 3" xfId="22896"/>
    <cellStyle name="Обычный 7 5 70" xfId="22897"/>
    <cellStyle name="Обычный 7 5 70 2" xfId="22898"/>
    <cellStyle name="Обычный 7 5 70 3" xfId="22899"/>
    <cellStyle name="Обычный 7 5 71" xfId="22900"/>
    <cellStyle name="Обычный 7 5 72" xfId="22901"/>
    <cellStyle name="Обычный 7 5 8" xfId="22902"/>
    <cellStyle name="Обычный 7 5 8 10" xfId="22903"/>
    <cellStyle name="Обычный 7 5 8 10 2" xfId="22904"/>
    <cellStyle name="Обычный 7 5 8 10 3" xfId="22905"/>
    <cellStyle name="Обычный 7 5 8 11" xfId="22906"/>
    <cellStyle name="Обычный 7 5 8 11 2" xfId="22907"/>
    <cellStyle name="Обычный 7 5 8 11 3" xfId="22908"/>
    <cellStyle name="Обычный 7 5 8 12" xfId="22909"/>
    <cellStyle name="Обычный 7 5 8 12 2" xfId="22910"/>
    <cellStyle name="Обычный 7 5 8 12 3" xfId="22911"/>
    <cellStyle name="Обычный 7 5 8 13" xfId="22912"/>
    <cellStyle name="Обычный 7 5 8 13 2" xfId="22913"/>
    <cellStyle name="Обычный 7 5 8 13 3" xfId="22914"/>
    <cellStyle name="Обычный 7 5 8 14" xfId="22915"/>
    <cellStyle name="Обычный 7 5 8 14 2" xfId="22916"/>
    <cellStyle name="Обычный 7 5 8 14 3" xfId="22917"/>
    <cellStyle name="Обычный 7 5 8 15" xfId="22918"/>
    <cellStyle name="Обычный 7 5 8 15 2" xfId="22919"/>
    <cellStyle name="Обычный 7 5 8 15 3" xfId="22920"/>
    <cellStyle name="Обычный 7 5 8 16" xfId="22921"/>
    <cellStyle name="Обычный 7 5 8 16 2" xfId="22922"/>
    <cellStyle name="Обычный 7 5 8 16 3" xfId="22923"/>
    <cellStyle name="Обычный 7 5 8 17" xfId="22924"/>
    <cellStyle name="Обычный 7 5 8 17 2" xfId="22925"/>
    <cellStyle name="Обычный 7 5 8 17 3" xfId="22926"/>
    <cellStyle name="Обычный 7 5 8 18" xfId="22927"/>
    <cellStyle name="Обычный 7 5 8 18 2" xfId="22928"/>
    <cellStyle name="Обычный 7 5 8 18 3" xfId="22929"/>
    <cellStyle name="Обычный 7 5 8 19" xfId="22930"/>
    <cellStyle name="Обычный 7 5 8 19 2" xfId="22931"/>
    <cellStyle name="Обычный 7 5 8 19 3" xfId="22932"/>
    <cellStyle name="Обычный 7 5 8 2" xfId="22933"/>
    <cellStyle name="Обычный 7 5 8 2 2" xfId="22934"/>
    <cellStyle name="Обычный 7 5 8 2 3" xfId="22935"/>
    <cellStyle name="Обычный 7 5 8 20" xfId="22936"/>
    <cellStyle name="Обычный 7 5 8 20 2" xfId="22937"/>
    <cellStyle name="Обычный 7 5 8 20 3" xfId="22938"/>
    <cellStyle name="Обычный 7 5 8 21" xfId="22939"/>
    <cellStyle name="Обычный 7 5 8 21 2" xfId="22940"/>
    <cellStyle name="Обычный 7 5 8 21 3" xfId="22941"/>
    <cellStyle name="Обычный 7 5 8 22" xfId="22942"/>
    <cellStyle name="Обычный 7 5 8 22 2" xfId="22943"/>
    <cellStyle name="Обычный 7 5 8 22 3" xfId="22944"/>
    <cellStyle name="Обычный 7 5 8 23" xfId="22945"/>
    <cellStyle name="Обычный 7 5 8 23 2" xfId="22946"/>
    <cellStyle name="Обычный 7 5 8 23 3" xfId="22947"/>
    <cellStyle name="Обычный 7 5 8 24" xfId="22948"/>
    <cellStyle name="Обычный 7 5 8 24 2" xfId="22949"/>
    <cellStyle name="Обычный 7 5 8 24 3" xfId="22950"/>
    <cellStyle name="Обычный 7 5 8 25" xfId="22951"/>
    <cellStyle name="Обычный 7 5 8 25 2" xfId="22952"/>
    <cellStyle name="Обычный 7 5 8 25 3" xfId="22953"/>
    <cellStyle name="Обычный 7 5 8 26" xfId="22954"/>
    <cellStyle name="Обычный 7 5 8 26 2" xfId="22955"/>
    <cellStyle name="Обычный 7 5 8 26 3" xfId="22956"/>
    <cellStyle name="Обычный 7 5 8 27" xfId="22957"/>
    <cellStyle name="Обычный 7 5 8 27 2" xfId="22958"/>
    <cellStyle name="Обычный 7 5 8 27 3" xfId="22959"/>
    <cellStyle name="Обычный 7 5 8 28" xfId="22960"/>
    <cellStyle name="Обычный 7 5 8 28 2" xfId="22961"/>
    <cellStyle name="Обычный 7 5 8 28 3" xfId="22962"/>
    <cellStyle name="Обычный 7 5 8 29" xfId="22963"/>
    <cellStyle name="Обычный 7 5 8 29 2" xfId="22964"/>
    <cellStyle name="Обычный 7 5 8 29 3" xfId="22965"/>
    <cellStyle name="Обычный 7 5 8 3" xfId="22966"/>
    <cellStyle name="Обычный 7 5 8 3 2" xfId="22967"/>
    <cellStyle name="Обычный 7 5 8 3 3" xfId="22968"/>
    <cellStyle name="Обычный 7 5 8 30" xfId="22969"/>
    <cellStyle name="Обычный 7 5 8 30 2" xfId="22970"/>
    <cellStyle name="Обычный 7 5 8 30 3" xfId="22971"/>
    <cellStyle name="Обычный 7 5 8 31" xfId="22972"/>
    <cellStyle name="Обычный 7 5 8 31 2" xfId="22973"/>
    <cellStyle name="Обычный 7 5 8 31 3" xfId="22974"/>
    <cellStyle name="Обычный 7 5 8 32" xfId="22975"/>
    <cellStyle name="Обычный 7 5 8 32 2" xfId="22976"/>
    <cellStyle name="Обычный 7 5 8 32 3" xfId="22977"/>
    <cellStyle name="Обычный 7 5 8 33" xfId="22978"/>
    <cellStyle name="Обычный 7 5 8 33 2" xfId="22979"/>
    <cellStyle name="Обычный 7 5 8 33 3" xfId="22980"/>
    <cellStyle name="Обычный 7 5 8 34" xfId="22981"/>
    <cellStyle name="Обычный 7 5 8 34 2" xfId="22982"/>
    <cellStyle name="Обычный 7 5 8 34 3" xfId="22983"/>
    <cellStyle name="Обычный 7 5 8 35" xfId="22984"/>
    <cellStyle name="Обычный 7 5 8 35 2" xfId="22985"/>
    <cellStyle name="Обычный 7 5 8 35 3" xfId="22986"/>
    <cellStyle name="Обычный 7 5 8 36" xfId="22987"/>
    <cellStyle name="Обычный 7 5 8 36 2" xfId="22988"/>
    <cellStyle name="Обычный 7 5 8 36 3" xfId="22989"/>
    <cellStyle name="Обычный 7 5 8 37" xfId="22990"/>
    <cellStyle name="Обычный 7 5 8 37 2" xfId="22991"/>
    <cellStyle name="Обычный 7 5 8 37 3" xfId="22992"/>
    <cellStyle name="Обычный 7 5 8 38" xfId="22993"/>
    <cellStyle name="Обычный 7 5 8 38 2" xfId="22994"/>
    <cellStyle name="Обычный 7 5 8 38 3" xfId="22995"/>
    <cellStyle name="Обычный 7 5 8 39" xfId="22996"/>
    <cellStyle name="Обычный 7 5 8 39 2" xfId="22997"/>
    <cellStyle name="Обычный 7 5 8 39 3" xfId="22998"/>
    <cellStyle name="Обычный 7 5 8 4" xfId="22999"/>
    <cellStyle name="Обычный 7 5 8 4 2" xfId="23000"/>
    <cellStyle name="Обычный 7 5 8 4 3" xfId="23001"/>
    <cellStyle name="Обычный 7 5 8 40" xfId="23002"/>
    <cellStyle name="Обычный 7 5 8 40 2" xfId="23003"/>
    <cellStyle name="Обычный 7 5 8 40 3" xfId="23004"/>
    <cellStyle name="Обычный 7 5 8 41" xfId="23005"/>
    <cellStyle name="Обычный 7 5 8 41 2" xfId="23006"/>
    <cellStyle name="Обычный 7 5 8 41 3" xfId="23007"/>
    <cellStyle name="Обычный 7 5 8 42" xfId="23008"/>
    <cellStyle name="Обычный 7 5 8 42 2" xfId="23009"/>
    <cellStyle name="Обычный 7 5 8 42 3" xfId="23010"/>
    <cellStyle name="Обычный 7 5 8 43" xfId="23011"/>
    <cellStyle name="Обычный 7 5 8 43 2" xfId="23012"/>
    <cellStyle name="Обычный 7 5 8 43 3" xfId="23013"/>
    <cellStyle name="Обычный 7 5 8 44" xfId="23014"/>
    <cellStyle name="Обычный 7 5 8 44 2" xfId="23015"/>
    <cellStyle name="Обычный 7 5 8 44 3" xfId="23016"/>
    <cellStyle name="Обычный 7 5 8 45" xfId="23017"/>
    <cellStyle name="Обычный 7 5 8 45 2" xfId="23018"/>
    <cellStyle name="Обычный 7 5 8 45 3" xfId="23019"/>
    <cellStyle name="Обычный 7 5 8 46" xfId="23020"/>
    <cellStyle name="Обычный 7 5 8 46 2" xfId="23021"/>
    <cellStyle name="Обычный 7 5 8 46 3" xfId="23022"/>
    <cellStyle name="Обычный 7 5 8 47" xfId="23023"/>
    <cellStyle name="Обычный 7 5 8 47 2" xfId="23024"/>
    <cellStyle name="Обычный 7 5 8 47 3" xfId="23025"/>
    <cellStyle name="Обычный 7 5 8 48" xfId="23026"/>
    <cellStyle name="Обычный 7 5 8 48 2" xfId="23027"/>
    <cellStyle name="Обычный 7 5 8 48 3" xfId="23028"/>
    <cellStyle name="Обычный 7 5 8 49" xfId="23029"/>
    <cellStyle name="Обычный 7 5 8 49 2" xfId="23030"/>
    <cellStyle name="Обычный 7 5 8 49 3" xfId="23031"/>
    <cellStyle name="Обычный 7 5 8 5" xfId="23032"/>
    <cellStyle name="Обычный 7 5 8 5 2" xfId="23033"/>
    <cellStyle name="Обычный 7 5 8 5 3" xfId="23034"/>
    <cellStyle name="Обычный 7 5 8 50" xfId="23035"/>
    <cellStyle name="Обычный 7 5 8 50 2" xfId="23036"/>
    <cellStyle name="Обычный 7 5 8 50 3" xfId="23037"/>
    <cellStyle name="Обычный 7 5 8 51" xfId="23038"/>
    <cellStyle name="Обычный 7 5 8 51 2" xfId="23039"/>
    <cellStyle name="Обычный 7 5 8 51 3" xfId="23040"/>
    <cellStyle name="Обычный 7 5 8 52" xfId="23041"/>
    <cellStyle name="Обычный 7 5 8 52 2" xfId="23042"/>
    <cellStyle name="Обычный 7 5 8 52 3" xfId="23043"/>
    <cellStyle name="Обычный 7 5 8 53" xfId="23044"/>
    <cellStyle name="Обычный 7 5 8 53 2" xfId="23045"/>
    <cellStyle name="Обычный 7 5 8 53 3" xfId="23046"/>
    <cellStyle name="Обычный 7 5 8 54" xfId="23047"/>
    <cellStyle name="Обычный 7 5 8 54 2" xfId="23048"/>
    <cellStyle name="Обычный 7 5 8 54 3" xfId="23049"/>
    <cellStyle name="Обычный 7 5 8 55" xfId="23050"/>
    <cellStyle name="Обычный 7 5 8 55 2" xfId="23051"/>
    <cellStyle name="Обычный 7 5 8 55 3" xfId="23052"/>
    <cellStyle name="Обычный 7 5 8 56" xfId="23053"/>
    <cellStyle name="Обычный 7 5 8 56 2" xfId="23054"/>
    <cellStyle name="Обычный 7 5 8 56 3" xfId="23055"/>
    <cellStyle name="Обычный 7 5 8 57" xfId="23056"/>
    <cellStyle name="Обычный 7 5 8 57 2" xfId="23057"/>
    <cellStyle name="Обычный 7 5 8 57 3" xfId="23058"/>
    <cellStyle name="Обычный 7 5 8 58" xfId="23059"/>
    <cellStyle name="Обычный 7 5 8 58 2" xfId="23060"/>
    <cellStyle name="Обычный 7 5 8 58 3" xfId="23061"/>
    <cellStyle name="Обычный 7 5 8 59" xfId="23062"/>
    <cellStyle name="Обычный 7 5 8 59 2" xfId="23063"/>
    <cellStyle name="Обычный 7 5 8 59 3" xfId="23064"/>
    <cellStyle name="Обычный 7 5 8 6" xfId="23065"/>
    <cellStyle name="Обычный 7 5 8 6 2" xfId="23066"/>
    <cellStyle name="Обычный 7 5 8 6 3" xfId="23067"/>
    <cellStyle name="Обычный 7 5 8 60" xfId="23068"/>
    <cellStyle name="Обычный 7 5 8 60 2" xfId="23069"/>
    <cellStyle name="Обычный 7 5 8 60 3" xfId="23070"/>
    <cellStyle name="Обычный 7 5 8 61" xfId="23071"/>
    <cellStyle name="Обычный 7 5 8 61 2" xfId="23072"/>
    <cellStyle name="Обычный 7 5 8 61 3" xfId="23073"/>
    <cellStyle name="Обычный 7 5 8 62" xfId="23074"/>
    <cellStyle name="Обычный 7 5 8 62 2" xfId="23075"/>
    <cellStyle name="Обычный 7 5 8 62 3" xfId="23076"/>
    <cellStyle name="Обычный 7 5 8 63" xfId="23077"/>
    <cellStyle name="Обычный 7 5 8 63 2" xfId="23078"/>
    <cellStyle name="Обычный 7 5 8 63 3" xfId="23079"/>
    <cellStyle name="Обычный 7 5 8 64" xfId="23080"/>
    <cellStyle name="Обычный 7 5 8 65" xfId="23081"/>
    <cellStyle name="Обычный 7 5 8 7" xfId="23082"/>
    <cellStyle name="Обычный 7 5 8 7 2" xfId="23083"/>
    <cellStyle name="Обычный 7 5 8 7 3" xfId="23084"/>
    <cellStyle name="Обычный 7 5 8 8" xfId="23085"/>
    <cellStyle name="Обычный 7 5 8 8 2" xfId="23086"/>
    <cellStyle name="Обычный 7 5 8 8 3" xfId="23087"/>
    <cellStyle name="Обычный 7 5 8 9" xfId="23088"/>
    <cellStyle name="Обычный 7 5 8 9 2" xfId="23089"/>
    <cellStyle name="Обычный 7 5 8 9 3" xfId="23090"/>
    <cellStyle name="Обычный 7 5 9" xfId="23091"/>
    <cellStyle name="Обычный 7 5 9 2" xfId="23092"/>
    <cellStyle name="Обычный 7 5 9 3" xfId="23093"/>
    <cellStyle name="Обычный 7 50" xfId="23094"/>
    <cellStyle name="Обычный 7 50 2" xfId="23095"/>
    <cellStyle name="Обычный 7 50 3" xfId="23096"/>
    <cellStyle name="Обычный 7 51" xfId="23097"/>
    <cellStyle name="Обычный 7 51 2" xfId="23098"/>
    <cellStyle name="Обычный 7 51 3" xfId="23099"/>
    <cellStyle name="Обычный 7 52" xfId="23100"/>
    <cellStyle name="Обычный 7 52 2" xfId="23101"/>
    <cellStyle name="Обычный 7 52 3" xfId="23102"/>
    <cellStyle name="Обычный 7 53" xfId="23103"/>
    <cellStyle name="Обычный 7 53 2" xfId="23104"/>
    <cellStyle name="Обычный 7 53 3" xfId="23105"/>
    <cellStyle name="Обычный 7 54" xfId="23106"/>
    <cellStyle name="Обычный 7 54 2" xfId="23107"/>
    <cellStyle name="Обычный 7 54 3" xfId="23108"/>
    <cellStyle name="Обычный 7 55" xfId="23109"/>
    <cellStyle name="Обычный 7 55 2" xfId="23110"/>
    <cellStyle name="Обычный 7 55 3" xfId="23111"/>
    <cellStyle name="Обычный 7 56" xfId="23112"/>
    <cellStyle name="Обычный 7 56 2" xfId="23113"/>
    <cellStyle name="Обычный 7 56 3" xfId="23114"/>
    <cellStyle name="Обычный 7 57" xfId="23115"/>
    <cellStyle name="Обычный 7 57 2" xfId="23116"/>
    <cellStyle name="Обычный 7 57 3" xfId="23117"/>
    <cellStyle name="Обычный 7 58" xfId="23118"/>
    <cellStyle name="Обычный 7 58 2" xfId="23119"/>
    <cellStyle name="Обычный 7 58 3" xfId="23120"/>
    <cellStyle name="Обычный 7 59" xfId="23121"/>
    <cellStyle name="Обычный 7 59 2" xfId="23122"/>
    <cellStyle name="Обычный 7 59 3" xfId="23123"/>
    <cellStyle name="Обычный 7 6" xfId="23124"/>
    <cellStyle name="Обычный 7 6 10" xfId="23125"/>
    <cellStyle name="Обычный 7 6 10 2" xfId="23126"/>
    <cellStyle name="Обычный 7 6 10 3" xfId="23127"/>
    <cellStyle name="Обычный 7 6 11" xfId="23128"/>
    <cellStyle name="Обычный 7 6 11 2" xfId="23129"/>
    <cellStyle name="Обычный 7 6 11 3" xfId="23130"/>
    <cellStyle name="Обычный 7 6 12" xfId="23131"/>
    <cellStyle name="Обычный 7 6 12 2" xfId="23132"/>
    <cellStyle name="Обычный 7 6 12 3" xfId="23133"/>
    <cellStyle name="Обычный 7 6 13" xfId="23134"/>
    <cellStyle name="Обычный 7 6 13 2" xfId="23135"/>
    <cellStyle name="Обычный 7 6 13 3" xfId="23136"/>
    <cellStyle name="Обычный 7 6 14" xfId="23137"/>
    <cellStyle name="Обычный 7 6 14 2" xfId="23138"/>
    <cellStyle name="Обычный 7 6 14 3" xfId="23139"/>
    <cellStyle name="Обычный 7 6 15" xfId="23140"/>
    <cellStyle name="Обычный 7 6 15 2" xfId="23141"/>
    <cellStyle name="Обычный 7 6 15 3" xfId="23142"/>
    <cellStyle name="Обычный 7 6 16" xfId="23143"/>
    <cellStyle name="Обычный 7 6 16 2" xfId="23144"/>
    <cellStyle name="Обычный 7 6 16 3" xfId="23145"/>
    <cellStyle name="Обычный 7 6 17" xfId="23146"/>
    <cellStyle name="Обычный 7 6 17 2" xfId="23147"/>
    <cellStyle name="Обычный 7 6 17 3" xfId="23148"/>
    <cellStyle name="Обычный 7 6 18" xfId="23149"/>
    <cellStyle name="Обычный 7 6 18 2" xfId="23150"/>
    <cellStyle name="Обычный 7 6 18 3" xfId="23151"/>
    <cellStyle name="Обычный 7 6 19" xfId="23152"/>
    <cellStyle name="Обычный 7 6 19 2" xfId="23153"/>
    <cellStyle name="Обычный 7 6 19 3" xfId="23154"/>
    <cellStyle name="Обычный 7 6 2" xfId="23155"/>
    <cellStyle name="Обычный 7 6 2 10" xfId="23156"/>
    <cellStyle name="Обычный 7 6 2 10 2" xfId="23157"/>
    <cellStyle name="Обычный 7 6 2 10 3" xfId="23158"/>
    <cellStyle name="Обычный 7 6 2 11" xfId="23159"/>
    <cellStyle name="Обычный 7 6 2 11 2" xfId="23160"/>
    <cellStyle name="Обычный 7 6 2 11 3" xfId="23161"/>
    <cellStyle name="Обычный 7 6 2 12" xfId="23162"/>
    <cellStyle name="Обычный 7 6 2 12 2" xfId="23163"/>
    <cellStyle name="Обычный 7 6 2 12 3" xfId="23164"/>
    <cellStyle name="Обычный 7 6 2 13" xfId="23165"/>
    <cellStyle name="Обычный 7 6 2 13 2" xfId="23166"/>
    <cellStyle name="Обычный 7 6 2 13 3" xfId="23167"/>
    <cellStyle name="Обычный 7 6 2 14" xfId="23168"/>
    <cellStyle name="Обычный 7 6 2 14 2" xfId="23169"/>
    <cellStyle name="Обычный 7 6 2 14 3" xfId="23170"/>
    <cellStyle name="Обычный 7 6 2 15" xfId="23171"/>
    <cellStyle name="Обычный 7 6 2 15 2" xfId="23172"/>
    <cellStyle name="Обычный 7 6 2 15 3" xfId="23173"/>
    <cellStyle name="Обычный 7 6 2 16" xfId="23174"/>
    <cellStyle name="Обычный 7 6 2 16 2" xfId="23175"/>
    <cellStyle name="Обычный 7 6 2 16 3" xfId="23176"/>
    <cellStyle name="Обычный 7 6 2 17" xfId="23177"/>
    <cellStyle name="Обычный 7 6 2 17 2" xfId="23178"/>
    <cellStyle name="Обычный 7 6 2 17 3" xfId="23179"/>
    <cellStyle name="Обычный 7 6 2 18" xfId="23180"/>
    <cellStyle name="Обычный 7 6 2 18 2" xfId="23181"/>
    <cellStyle name="Обычный 7 6 2 18 3" xfId="23182"/>
    <cellStyle name="Обычный 7 6 2 19" xfId="23183"/>
    <cellStyle name="Обычный 7 6 2 19 2" xfId="23184"/>
    <cellStyle name="Обычный 7 6 2 19 3" xfId="23185"/>
    <cellStyle name="Обычный 7 6 2 2" xfId="23186"/>
    <cellStyle name="Обычный 7 6 2 2 2" xfId="23187"/>
    <cellStyle name="Обычный 7 6 2 2 3" xfId="23188"/>
    <cellStyle name="Обычный 7 6 2 20" xfId="23189"/>
    <cellStyle name="Обычный 7 6 2 20 2" xfId="23190"/>
    <cellStyle name="Обычный 7 6 2 20 3" xfId="23191"/>
    <cellStyle name="Обычный 7 6 2 21" xfId="23192"/>
    <cellStyle name="Обычный 7 6 2 21 2" xfId="23193"/>
    <cellStyle name="Обычный 7 6 2 21 3" xfId="23194"/>
    <cellStyle name="Обычный 7 6 2 22" xfId="23195"/>
    <cellStyle name="Обычный 7 6 2 22 2" xfId="23196"/>
    <cellStyle name="Обычный 7 6 2 22 3" xfId="23197"/>
    <cellStyle name="Обычный 7 6 2 23" xfId="23198"/>
    <cellStyle name="Обычный 7 6 2 23 2" xfId="23199"/>
    <cellStyle name="Обычный 7 6 2 23 3" xfId="23200"/>
    <cellStyle name="Обычный 7 6 2 24" xfId="23201"/>
    <cellStyle name="Обычный 7 6 2 24 2" xfId="23202"/>
    <cellStyle name="Обычный 7 6 2 24 3" xfId="23203"/>
    <cellStyle name="Обычный 7 6 2 25" xfId="23204"/>
    <cellStyle name="Обычный 7 6 2 25 2" xfId="23205"/>
    <cellStyle name="Обычный 7 6 2 25 3" xfId="23206"/>
    <cellStyle name="Обычный 7 6 2 26" xfId="23207"/>
    <cellStyle name="Обычный 7 6 2 26 2" xfId="23208"/>
    <cellStyle name="Обычный 7 6 2 26 3" xfId="23209"/>
    <cellStyle name="Обычный 7 6 2 27" xfId="23210"/>
    <cellStyle name="Обычный 7 6 2 27 2" xfId="23211"/>
    <cellStyle name="Обычный 7 6 2 27 3" xfId="23212"/>
    <cellStyle name="Обычный 7 6 2 28" xfId="23213"/>
    <cellStyle name="Обычный 7 6 2 28 2" xfId="23214"/>
    <cellStyle name="Обычный 7 6 2 28 3" xfId="23215"/>
    <cellStyle name="Обычный 7 6 2 29" xfId="23216"/>
    <cellStyle name="Обычный 7 6 2 29 2" xfId="23217"/>
    <cellStyle name="Обычный 7 6 2 29 3" xfId="23218"/>
    <cellStyle name="Обычный 7 6 2 3" xfId="23219"/>
    <cellStyle name="Обычный 7 6 2 3 2" xfId="23220"/>
    <cellStyle name="Обычный 7 6 2 3 3" xfId="23221"/>
    <cellStyle name="Обычный 7 6 2 30" xfId="23222"/>
    <cellStyle name="Обычный 7 6 2 30 2" xfId="23223"/>
    <cellStyle name="Обычный 7 6 2 30 3" xfId="23224"/>
    <cellStyle name="Обычный 7 6 2 31" xfId="23225"/>
    <cellStyle name="Обычный 7 6 2 31 2" xfId="23226"/>
    <cellStyle name="Обычный 7 6 2 31 3" xfId="23227"/>
    <cellStyle name="Обычный 7 6 2 32" xfId="23228"/>
    <cellStyle name="Обычный 7 6 2 32 2" xfId="23229"/>
    <cellStyle name="Обычный 7 6 2 32 3" xfId="23230"/>
    <cellStyle name="Обычный 7 6 2 33" xfId="23231"/>
    <cellStyle name="Обычный 7 6 2 33 2" xfId="23232"/>
    <cellStyle name="Обычный 7 6 2 33 3" xfId="23233"/>
    <cellStyle name="Обычный 7 6 2 34" xfId="23234"/>
    <cellStyle name="Обычный 7 6 2 34 2" xfId="23235"/>
    <cellStyle name="Обычный 7 6 2 34 3" xfId="23236"/>
    <cellStyle name="Обычный 7 6 2 35" xfId="23237"/>
    <cellStyle name="Обычный 7 6 2 35 2" xfId="23238"/>
    <cellStyle name="Обычный 7 6 2 35 3" xfId="23239"/>
    <cellStyle name="Обычный 7 6 2 36" xfId="23240"/>
    <cellStyle name="Обычный 7 6 2 36 2" xfId="23241"/>
    <cellStyle name="Обычный 7 6 2 36 3" xfId="23242"/>
    <cellStyle name="Обычный 7 6 2 37" xfId="23243"/>
    <cellStyle name="Обычный 7 6 2 37 2" xfId="23244"/>
    <cellStyle name="Обычный 7 6 2 37 3" xfId="23245"/>
    <cellStyle name="Обычный 7 6 2 38" xfId="23246"/>
    <cellStyle name="Обычный 7 6 2 38 2" xfId="23247"/>
    <cellStyle name="Обычный 7 6 2 38 3" xfId="23248"/>
    <cellStyle name="Обычный 7 6 2 39" xfId="23249"/>
    <cellStyle name="Обычный 7 6 2 39 2" xfId="23250"/>
    <cellStyle name="Обычный 7 6 2 39 3" xfId="23251"/>
    <cellStyle name="Обычный 7 6 2 4" xfId="23252"/>
    <cellStyle name="Обычный 7 6 2 4 2" xfId="23253"/>
    <cellStyle name="Обычный 7 6 2 4 3" xfId="23254"/>
    <cellStyle name="Обычный 7 6 2 40" xfId="23255"/>
    <cellStyle name="Обычный 7 6 2 40 2" xfId="23256"/>
    <cellStyle name="Обычный 7 6 2 40 3" xfId="23257"/>
    <cellStyle name="Обычный 7 6 2 41" xfId="23258"/>
    <cellStyle name="Обычный 7 6 2 41 2" xfId="23259"/>
    <cellStyle name="Обычный 7 6 2 41 3" xfId="23260"/>
    <cellStyle name="Обычный 7 6 2 42" xfId="23261"/>
    <cellStyle name="Обычный 7 6 2 42 2" xfId="23262"/>
    <cellStyle name="Обычный 7 6 2 42 3" xfId="23263"/>
    <cellStyle name="Обычный 7 6 2 43" xfId="23264"/>
    <cellStyle name="Обычный 7 6 2 43 2" xfId="23265"/>
    <cellStyle name="Обычный 7 6 2 43 3" xfId="23266"/>
    <cellStyle name="Обычный 7 6 2 44" xfId="23267"/>
    <cellStyle name="Обычный 7 6 2 44 2" xfId="23268"/>
    <cellStyle name="Обычный 7 6 2 44 3" xfId="23269"/>
    <cellStyle name="Обычный 7 6 2 45" xfId="23270"/>
    <cellStyle name="Обычный 7 6 2 45 2" xfId="23271"/>
    <cellStyle name="Обычный 7 6 2 45 3" xfId="23272"/>
    <cellStyle name="Обычный 7 6 2 46" xfId="23273"/>
    <cellStyle name="Обычный 7 6 2 46 2" xfId="23274"/>
    <cellStyle name="Обычный 7 6 2 46 3" xfId="23275"/>
    <cellStyle name="Обычный 7 6 2 47" xfId="23276"/>
    <cellStyle name="Обычный 7 6 2 47 2" xfId="23277"/>
    <cellStyle name="Обычный 7 6 2 47 3" xfId="23278"/>
    <cellStyle name="Обычный 7 6 2 48" xfId="23279"/>
    <cellStyle name="Обычный 7 6 2 48 2" xfId="23280"/>
    <cellStyle name="Обычный 7 6 2 48 3" xfId="23281"/>
    <cellStyle name="Обычный 7 6 2 49" xfId="23282"/>
    <cellStyle name="Обычный 7 6 2 49 2" xfId="23283"/>
    <cellStyle name="Обычный 7 6 2 49 3" xfId="23284"/>
    <cellStyle name="Обычный 7 6 2 5" xfId="23285"/>
    <cellStyle name="Обычный 7 6 2 5 2" xfId="23286"/>
    <cellStyle name="Обычный 7 6 2 5 3" xfId="23287"/>
    <cellStyle name="Обычный 7 6 2 50" xfId="23288"/>
    <cellStyle name="Обычный 7 6 2 50 2" xfId="23289"/>
    <cellStyle name="Обычный 7 6 2 50 3" xfId="23290"/>
    <cellStyle name="Обычный 7 6 2 51" xfId="23291"/>
    <cellStyle name="Обычный 7 6 2 51 2" xfId="23292"/>
    <cellStyle name="Обычный 7 6 2 51 3" xfId="23293"/>
    <cellStyle name="Обычный 7 6 2 52" xfId="23294"/>
    <cellStyle name="Обычный 7 6 2 52 2" xfId="23295"/>
    <cellStyle name="Обычный 7 6 2 52 3" xfId="23296"/>
    <cellStyle name="Обычный 7 6 2 53" xfId="23297"/>
    <cellStyle name="Обычный 7 6 2 53 2" xfId="23298"/>
    <cellStyle name="Обычный 7 6 2 53 3" xfId="23299"/>
    <cellStyle name="Обычный 7 6 2 54" xfId="23300"/>
    <cellStyle name="Обычный 7 6 2 54 2" xfId="23301"/>
    <cellStyle name="Обычный 7 6 2 54 3" xfId="23302"/>
    <cellStyle name="Обычный 7 6 2 55" xfId="23303"/>
    <cellStyle name="Обычный 7 6 2 55 2" xfId="23304"/>
    <cellStyle name="Обычный 7 6 2 55 3" xfId="23305"/>
    <cellStyle name="Обычный 7 6 2 56" xfId="23306"/>
    <cellStyle name="Обычный 7 6 2 56 2" xfId="23307"/>
    <cellStyle name="Обычный 7 6 2 56 3" xfId="23308"/>
    <cellStyle name="Обычный 7 6 2 57" xfId="23309"/>
    <cellStyle name="Обычный 7 6 2 57 2" xfId="23310"/>
    <cellStyle name="Обычный 7 6 2 57 3" xfId="23311"/>
    <cellStyle name="Обычный 7 6 2 58" xfId="23312"/>
    <cellStyle name="Обычный 7 6 2 58 2" xfId="23313"/>
    <cellStyle name="Обычный 7 6 2 58 3" xfId="23314"/>
    <cellStyle name="Обычный 7 6 2 59" xfId="23315"/>
    <cellStyle name="Обычный 7 6 2 59 2" xfId="23316"/>
    <cellStyle name="Обычный 7 6 2 59 3" xfId="23317"/>
    <cellStyle name="Обычный 7 6 2 6" xfId="23318"/>
    <cellStyle name="Обычный 7 6 2 6 2" xfId="23319"/>
    <cellStyle name="Обычный 7 6 2 6 3" xfId="23320"/>
    <cellStyle name="Обычный 7 6 2 60" xfId="23321"/>
    <cellStyle name="Обычный 7 6 2 60 2" xfId="23322"/>
    <cellStyle name="Обычный 7 6 2 60 3" xfId="23323"/>
    <cellStyle name="Обычный 7 6 2 61" xfId="23324"/>
    <cellStyle name="Обычный 7 6 2 61 2" xfId="23325"/>
    <cellStyle name="Обычный 7 6 2 61 3" xfId="23326"/>
    <cellStyle name="Обычный 7 6 2 62" xfId="23327"/>
    <cellStyle name="Обычный 7 6 2 62 2" xfId="23328"/>
    <cellStyle name="Обычный 7 6 2 62 3" xfId="23329"/>
    <cellStyle name="Обычный 7 6 2 63" xfId="23330"/>
    <cellStyle name="Обычный 7 6 2 63 2" xfId="23331"/>
    <cellStyle name="Обычный 7 6 2 63 3" xfId="23332"/>
    <cellStyle name="Обычный 7 6 2 64" xfId="23333"/>
    <cellStyle name="Обычный 7 6 2 65" xfId="23334"/>
    <cellStyle name="Обычный 7 6 2 7" xfId="23335"/>
    <cellStyle name="Обычный 7 6 2 7 2" xfId="23336"/>
    <cellStyle name="Обычный 7 6 2 7 3" xfId="23337"/>
    <cellStyle name="Обычный 7 6 2 8" xfId="23338"/>
    <cellStyle name="Обычный 7 6 2 8 2" xfId="23339"/>
    <cellStyle name="Обычный 7 6 2 8 3" xfId="23340"/>
    <cellStyle name="Обычный 7 6 2 9" xfId="23341"/>
    <cellStyle name="Обычный 7 6 2 9 2" xfId="23342"/>
    <cellStyle name="Обычный 7 6 2 9 3" xfId="23343"/>
    <cellStyle name="Обычный 7 6 20" xfId="23344"/>
    <cellStyle name="Обычный 7 6 20 2" xfId="23345"/>
    <cellStyle name="Обычный 7 6 20 3" xfId="23346"/>
    <cellStyle name="Обычный 7 6 21" xfId="23347"/>
    <cellStyle name="Обычный 7 6 21 2" xfId="23348"/>
    <cellStyle name="Обычный 7 6 21 3" xfId="23349"/>
    <cellStyle name="Обычный 7 6 22" xfId="23350"/>
    <cellStyle name="Обычный 7 6 22 2" xfId="23351"/>
    <cellStyle name="Обычный 7 6 22 3" xfId="23352"/>
    <cellStyle name="Обычный 7 6 23" xfId="23353"/>
    <cellStyle name="Обычный 7 6 23 2" xfId="23354"/>
    <cellStyle name="Обычный 7 6 23 3" xfId="23355"/>
    <cellStyle name="Обычный 7 6 24" xfId="23356"/>
    <cellStyle name="Обычный 7 6 24 2" xfId="23357"/>
    <cellStyle name="Обычный 7 6 24 3" xfId="23358"/>
    <cellStyle name="Обычный 7 6 25" xfId="23359"/>
    <cellStyle name="Обычный 7 6 25 2" xfId="23360"/>
    <cellStyle name="Обычный 7 6 25 3" xfId="23361"/>
    <cellStyle name="Обычный 7 6 26" xfId="23362"/>
    <cellStyle name="Обычный 7 6 26 2" xfId="23363"/>
    <cellStyle name="Обычный 7 6 26 3" xfId="23364"/>
    <cellStyle name="Обычный 7 6 27" xfId="23365"/>
    <cellStyle name="Обычный 7 6 27 2" xfId="23366"/>
    <cellStyle name="Обычный 7 6 27 3" xfId="23367"/>
    <cellStyle name="Обычный 7 6 28" xfId="23368"/>
    <cellStyle name="Обычный 7 6 28 2" xfId="23369"/>
    <cellStyle name="Обычный 7 6 28 3" xfId="23370"/>
    <cellStyle name="Обычный 7 6 29" xfId="23371"/>
    <cellStyle name="Обычный 7 6 29 2" xfId="23372"/>
    <cellStyle name="Обычный 7 6 29 3" xfId="23373"/>
    <cellStyle name="Обычный 7 6 3" xfId="23374"/>
    <cellStyle name="Обычный 7 6 3 10" xfId="23375"/>
    <cellStyle name="Обычный 7 6 3 10 2" xfId="23376"/>
    <cellStyle name="Обычный 7 6 3 10 3" xfId="23377"/>
    <cellStyle name="Обычный 7 6 3 11" xfId="23378"/>
    <cellStyle name="Обычный 7 6 3 11 2" xfId="23379"/>
    <cellStyle name="Обычный 7 6 3 11 3" xfId="23380"/>
    <cellStyle name="Обычный 7 6 3 12" xfId="23381"/>
    <cellStyle name="Обычный 7 6 3 12 2" xfId="23382"/>
    <cellStyle name="Обычный 7 6 3 12 3" xfId="23383"/>
    <cellStyle name="Обычный 7 6 3 13" xfId="23384"/>
    <cellStyle name="Обычный 7 6 3 13 2" xfId="23385"/>
    <cellStyle name="Обычный 7 6 3 13 3" xfId="23386"/>
    <cellStyle name="Обычный 7 6 3 14" xfId="23387"/>
    <cellStyle name="Обычный 7 6 3 14 2" xfId="23388"/>
    <cellStyle name="Обычный 7 6 3 14 3" xfId="23389"/>
    <cellStyle name="Обычный 7 6 3 15" xfId="23390"/>
    <cellStyle name="Обычный 7 6 3 15 2" xfId="23391"/>
    <cellStyle name="Обычный 7 6 3 15 3" xfId="23392"/>
    <cellStyle name="Обычный 7 6 3 16" xfId="23393"/>
    <cellStyle name="Обычный 7 6 3 16 2" xfId="23394"/>
    <cellStyle name="Обычный 7 6 3 16 3" xfId="23395"/>
    <cellStyle name="Обычный 7 6 3 17" xfId="23396"/>
    <cellStyle name="Обычный 7 6 3 17 2" xfId="23397"/>
    <cellStyle name="Обычный 7 6 3 17 3" xfId="23398"/>
    <cellStyle name="Обычный 7 6 3 18" xfId="23399"/>
    <cellStyle name="Обычный 7 6 3 18 2" xfId="23400"/>
    <cellStyle name="Обычный 7 6 3 18 3" xfId="23401"/>
    <cellStyle name="Обычный 7 6 3 19" xfId="23402"/>
    <cellStyle name="Обычный 7 6 3 19 2" xfId="23403"/>
    <cellStyle name="Обычный 7 6 3 19 3" xfId="23404"/>
    <cellStyle name="Обычный 7 6 3 2" xfId="23405"/>
    <cellStyle name="Обычный 7 6 3 2 2" xfId="23406"/>
    <cellStyle name="Обычный 7 6 3 2 3" xfId="23407"/>
    <cellStyle name="Обычный 7 6 3 20" xfId="23408"/>
    <cellStyle name="Обычный 7 6 3 20 2" xfId="23409"/>
    <cellStyle name="Обычный 7 6 3 20 3" xfId="23410"/>
    <cellStyle name="Обычный 7 6 3 21" xfId="23411"/>
    <cellStyle name="Обычный 7 6 3 21 2" xfId="23412"/>
    <cellStyle name="Обычный 7 6 3 21 3" xfId="23413"/>
    <cellStyle name="Обычный 7 6 3 22" xfId="23414"/>
    <cellStyle name="Обычный 7 6 3 22 2" xfId="23415"/>
    <cellStyle name="Обычный 7 6 3 22 3" xfId="23416"/>
    <cellStyle name="Обычный 7 6 3 23" xfId="23417"/>
    <cellStyle name="Обычный 7 6 3 23 2" xfId="23418"/>
    <cellStyle name="Обычный 7 6 3 23 3" xfId="23419"/>
    <cellStyle name="Обычный 7 6 3 24" xfId="23420"/>
    <cellStyle name="Обычный 7 6 3 24 2" xfId="23421"/>
    <cellStyle name="Обычный 7 6 3 24 3" xfId="23422"/>
    <cellStyle name="Обычный 7 6 3 25" xfId="23423"/>
    <cellStyle name="Обычный 7 6 3 25 2" xfId="23424"/>
    <cellStyle name="Обычный 7 6 3 25 3" xfId="23425"/>
    <cellStyle name="Обычный 7 6 3 26" xfId="23426"/>
    <cellStyle name="Обычный 7 6 3 26 2" xfId="23427"/>
    <cellStyle name="Обычный 7 6 3 26 3" xfId="23428"/>
    <cellStyle name="Обычный 7 6 3 27" xfId="23429"/>
    <cellStyle name="Обычный 7 6 3 27 2" xfId="23430"/>
    <cellStyle name="Обычный 7 6 3 27 3" xfId="23431"/>
    <cellStyle name="Обычный 7 6 3 28" xfId="23432"/>
    <cellStyle name="Обычный 7 6 3 28 2" xfId="23433"/>
    <cellStyle name="Обычный 7 6 3 28 3" xfId="23434"/>
    <cellStyle name="Обычный 7 6 3 29" xfId="23435"/>
    <cellStyle name="Обычный 7 6 3 29 2" xfId="23436"/>
    <cellStyle name="Обычный 7 6 3 29 3" xfId="23437"/>
    <cellStyle name="Обычный 7 6 3 3" xfId="23438"/>
    <cellStyle name="Обычный 7 6 3 3 2" xfId="23439"/>
    <cellStyle name="Обычный 7 6 3 3 3" xfId="23440"/>
    <cellStyle name="Обычный 7 6 3 30" xfId="23441"/>
    <cellStyle name="Обычный 7 6 3 30 2" xfId="23442"/>
    <cellStyle name="Обычный 7 6 3 30 3" xfId="23443"/>
    <cellStyle name="Обычный 7 6 3 31" xfId="23444"/>
    <cellStyle name="Обычный 7 6 3 31 2" xfId="23445"/>
    <cellStyle name="Обычный 7 6 3 31 3" xfId="23446"/>
    <cellStyle name="Обычный 7 6 3 32" xfId="23447"/>
    <cellStyle name="Обычный 7 6 3 32 2" xfId="23448"/>
    <cellStyle name="Обычный 7 6 3 32 3" xfId="23449"/>
    <cellStyle name="Обычный 7 6 3 33" xfId="23450"/>
    <cellStyle name="Обычный 7 6 3 33 2" xfId="23451"/>
    <cellStyle name="Обычный 7 6 3 33 3" xfId="23452"/>
    <cellStyle name="Обычный 7 6 3 34" xfId="23453"/>
    <cellStyle name="Обычный 7 6 3 34 2" xfId="23454"/>
    <cellStyle name="Обычный 7 6 3 34 3" xfId="23455"/>
    <cellStyle name="Обычный 7 6 3 35" xfId="23456"/>
    <cellStyle name="Обычный 7 6 3 35 2" xfId="23457"/>
    <cellStyle name="Обычный 7 6 3 35 3" xfId="23458"/>
    <cellStyle name="Обычный 7 6 3 36" xfId="23459"/>
    <cellStyle name="Обычный 7 6 3 36 2" xfId="23460"/>
    <cellStyle name="Обычный 7 6 3 36 3" xfId="23461"/>
    <cellStyle name="Обычный 7 6 3 37" xfId="23462"/>
    <cellStyle name="Обычный 7 6 3 37 2" xfId="23463"/>
    <cellStyle name="Обычный 7 6 3 37 3" xfId="23464"/>
    <cellStyle name="Обычный 7 6 3 38" xfId="23465"/>
    <cellStyle name="Обычный 7 6 3 38 2" xfId="23466"/>
    <cellStyle name="Обычный 7 6 3 38 3" xfId="23467"/>
    <cellStyle name="Обычный 7 6 3 39" xfId="23468"/>
    <cellStyle name="Обычный 7 6 3 39 2" xfId="23469"/>
    <cellStyle name="Обычный 7 6 3 39 3" xfId="23470"/>
    <cellStyle name="Обычный 7 6 3 4" xfId="23471"/>
    <cellStyle name="Обычный 7 6 3 4 2" xfId="23472"/>
    <cellStyle name="Обычный 7 6 3 4 3" xfId="23473"/>
    <cellStyle name="Обычный 7 6 3 40" xfId="23474"/>
    <cellStyle name="Обычный 7 6 3 40 2" xfId="23475"/>
    <cellStyle name="Обычный 7 6 3 40 3" xfId="23476"/>
    <cellStyle name="Обычный 7 6 3 41" xfId="23477"/>
    <cellStyle name="Обычный 7 6 3 41 2" xfId="23478"/>
    <cellStyle name="Обычный 7 6 3 41 3" xfId="23479"/>
    <cellStyle name="Обычный 7 6 3 42" xfId="23480"/>
    <cellStyle name="Обычный 7 6 3 42 2" xfId="23481"/>
    <cellStyle name="Обычный 7 6 3 42 3" xfId="23482"/>
    <cellStyle name="Обычный 7 6 3 43" xfId="23483"/>
    <cellStyle name="Обычный 7 6 3 43 2" xfId="23484"/>
    <cellStyle name="Обычный 7 6 3 43 3" xfId="23485"/>
    <cellStyle name="Обычный 7 6 3 44" xfId="23486"/>
    <cellStyle name="Обычный 7 6 3 44 2" xfId="23487"/>
    <cellStyle name="Обычный 7 6 3 44 3" xfId="23488"/>
    <cellStyle name="Обычный 7 6 3 45" xfId="23489"/>
    <cellStyle name="Обычный 7 6 3 45 2" xfId="23490"/>
    <cellStyle name="Обычный 7 6 3 45 3" xfId="23491"/>
    <cellStyle name="Обычный 7 6 3 46" xfId="23492"/>
    <cellStyle name="Обычный 7 6 3 46 2" xfId="23493"/>
    <cellStyle name="Обычный 7 6 3 46 3" xfId="23494"/>
    <cellStyle name="Обычный 7 6 3 47" xfId="23495"/>
    <cellStyle name="Обычный 7 6 3 47 2" xfId="23496"/>
    <cellStyle name="Обычный 7 6 3 47 3" xfId="23497"/>
    <cellStyle name="Обычный 7 6 3 48" xfId="23498"/>
    <cellStyle name="Обычный 7 6 3 48 2" xfId="23499"/>
    <cellStyle name="Обычный 7 6 3 48 3" xfId="23500"/>
    <cellStyle name="Обычный 7 6 3 49" xfId="23501"/>
    <cellStyle name="Обычный 7 6 3 49 2" xfId="23502"/>
    <cellStyle name="Обычный 7 6 3 49 3" xfId="23503"/>
    <cellStyle name="Обычный 7 6 3 5" xfId="23504"/>
    <cellStyle name="Обычный 7 6 3 5 2" xfId="23505"/>
    <cellStyle name="Обычный 7 6 3 5 3" xfId="23506"/>
    <cellStyle name="Обычный 7 6 3 50" xfId="23507"/>
    <cellStyle name="Обычный 7 6 3 50 2" xfId="23508"/>
    <cellStyle name="Обычный 7 6 3 50 3" xfId="23509"/>
    <cellStyle name="Обычный 7 6 3 51" xfId="23510"/>
    <cellStyle name="Обычный 7 6 3 51 2" xfId="23511"/>
    <cellStyle name="Обычный 7 6 3 51 3" xfId="23512"/>
    <cellStyle name="Обычный 7 6 3 52" xfId="23513"/>
    <cellStyle name="Обычный 7 6 3 52 2" xfId="23514"/>
    <cellStyle name="Обычный 7 6 3 52 3" xfId="23515"/>
    <cellStyle name="Обычный 7 6 3 53" xfId="23516"/>
    <cellStyle name="Обычный 7 6 3 53 2" xfId="23517"/>
    <cellStyle name="Обычный 7 6 3 53 3" xfId="23518"/>
    <cellStyle name="Обычный 7 6 3 54" xfId="23519"/>
    <cellStyle name="Обычный 7 6 3 54 2" xfId="23520"/>
    <cellStyle name="Обычный 7 6 3 54 3" xfId="23521"/>
    <cellStyle name="Обычный 7 6 3 55" xfId="23522"/>
    <cellStyle name="Обычный 7 6 3 55 2" xfId="23523"/>
    <cellStyle name="Обычный 7 6 3 55 3" xfId="23524"/>
    <cellStyle name="Обычный 7 6 3 56" xfId="23525"/>
    <cellStyle name="Обычный 7 6 3 56 2" xfId="23526"/>
    <cellStyle name="Обычный 7 6 3 56 3" xfId="23527"/>
    <cellStyle name="Обычный 7 6 3 57" xfId="23528"/>
    <cellStyle name="Обычный 7 6 3 57 2" xfId="23529"/>
    <cellStyle name="Обычный 7 6 3 57 3" xfId="23530"/>
    <cellStyle name="Обычный 7 6 3 58" xfId="23531"/>
    <cellStyle name="Обычный 7 6 3 58 2" xfId="23532"/>
    <cellStyle name="Обычный 7 6 3 58 3" xfId="23533"/>
    <cellStyle name="Обычный 7 6 3 59" xfId="23534"/>
    <cellStyle name="Обычный 7 6 3 59 2" xfId="23535"/>
    <cellStyle name="Обычный 7 6 3 59 3" xfId="23536"/>
    <cellStyle name="Обычный 7 6 3 6" xfId="23537"/>
    <cellStyle name="Обычный 7 6 3 6 2" xfId="23538"/>
    <cellStyle name="Обычный 7 6 3 6 3" xfId="23539"/>
    <cellStyle name="Обычный 7 6 3 60" xfId="23540"/>
    <cellStyle name="Обычный 7 6 3 60 2" xfId="23541"/>
    <cellStyle name="Обычный 7 6 3 60 3" xfId="23542"/>
    <cellStyle name="Обычный 7 6 3 61" xfId="23543"/>
    <cellStyle name="Обычный 7 6 3 61 2" xfId="23544"/>
    <cellStyle name="Обычный 7 6 3 61 3" xfId="23545"/>
    <cellStyle name="Обычный 7 6 3 62" xfId="23546"/>
    <cellStyle name="Обычный 7 6 3 62 2" xfId="23547"/>
    <cellStyle name="Обычный 7 6 3 62 3" xfId="23548"/>
    <cellStyle name="Обычный 7 6 3 63" xfId="23549"/>
    <cellStyle name="Обычный 7 6 3 63 2" xfId="23550"/>
    <cellStyle name="Обычный 7 6 3 63 3" xfId="23551"/>
    <cellStyle name="Обычный 7 6 3 64" xfId="23552"/>
    <cellStyle name="Обычный 7 6 3 65" xfId="23553"/>
    <cellStyle name="Обычный 7 6 3 7" xfId="23554"/>
    <cellStyle name="Обычный 7 6 3 7 2" xfId="23555"/>
    <cellStyle name="Обычный 7 6 3 7 3" xfId="23556"/>
    <cellStyle name="Обычный 7 6 3 8" xfId="23557"/>
    <cellStyle name="Обычный 7 6 3 8 2" xfId="23558"/>
    <cellStyle name="Обычный 7 6 3 8 3" xfId="23559"/>
    <cellStyle name="Обычный 7 6 3 9" xfId="23560"/>
    <cellStyle name="Обычный 7 6 3 9 2" xfId="23561"/>
    <cellStyle name="Обычный 7 6 3 9 3" xfId="23562"/>
    <cellStyle name="Обычный 7 6 30" xfId="23563"/>
    <cellStyle name="Обычный 7 6 30 2" xfId="23564"/>
    <cellStyle name="Обычный 7 6 30 3" xfId="23565"/>
    <cellStyle name="Обычный 7 6 31" xfId="23566"/>
    <cellStyle name="Обычный 7 6 31 2" xfId="23567"/>
    <cellStyle name="Обычный 7 6 31 3" xfId="23568"/>
    <cellStyle name="Обычный 7 6 32" xfId="23569"/>
    <cellStyle name="Обычный 7 6 32 2" xfId="23570"/>
    <cellStyle name="Обычный 7 6 32 3" xfId="23571"/>
    <cellStyle name="Обычный 7 6 33" xfId="23572"/>
    <cellStyle name="Обычный 7 6 33 2" xfId="23573"/>
    <cellStyle name="Обычный 7 6 33 3" xfId="23574"/>
    <cellStyle name="Обычный 7 6 34" xfId="23575"/>
    <cellStyle name="Обычный 7 6 34 2" xfId="23576"/>
    <cellStyle name="Обычный 7 6 34 3" xfId="23577"/>
    <cellStyle name="Обычный 7 6 35" xfId="23578"/>
    <cellStyle name="Обычный 7 6 35 2" xfId="23579"/>
    <cellStyle name="Обычный 7 6 35 3" xfId="23580"/>
    <cellStyle name="Обычный 7 6 36" xfId="23581"/>
    <cellStyle name="Обычный 7 6 36 2" xfId="23582"/>
    <cellStyle name="Обычный 7 6 36 3" xfId="23583"/>
    <cellStyle name="Обычный 7 6 37" xfId="23584"/>
    <cellStyle name="Обычный 7 6 37 2" xfId="23585"/>
    <cellStyle name="Обычный 7 6 37 3" xfId="23586"/>
    <cellStyle name="Обычный 7 6 38" xfId="23587"/>
    <cellStyle name="Обычный 7 6 38 2" xfId="23588"/>
    <cellStyle name="Обычный 7 6 38 3" xfId="23589"/>
    <cellStyle name="Обычный 7 6 39" xfId="23590"/>
    <cellStyle name="Обычный 7 6 39 2" xfId="23591"/>
    <cellStyle name="Обычный 7 6 39 3" xfId="23592"/>
    <cellStyle name="Обычный 7 6 4" xfId="23593"/>
    <cellStyle name="Обычный 7 6 4 10" xfId="23594"/>
    <cellStyle name="Обычный 7 6 4 10 2" xfId="23595"/>
    <cellStyle name="Обычный 7 6 4 10 3" xfId="23596"/>
    <cellStyle name="Обычный 7 6 4 11" xfId="23597"/>
    <cellStyle name="Обычный 7 6 4 11 2" xfId="23598"/>
    <cellStyle name="Обычный 7 6 4 11 3" xfId="23599"/>
    <cellStyle name="Обычный 7 6 4 12" xfId="23600"/>
    <cellStyle name="Обычный 7 6 4 12 2" xfId="23601"/>
    <cellStyle name="Обычный 7 6 4 12 3" xfId="23602"/>
    <cellStyle name="Обычный 7 6 4 13" xfId="23603"/>
    <cellStyle name="Обычный 7 6 4 13 2" xfId="23604"/>
    <cellStyle name="Обычный 7 6 4 13 3" xfId="23605"/>
    <cellStyle name="Обычный 7 6 4 14" xfId="23606"/>
    <cellStyle name="Обычный 7 6 4 14 2" xfId="23607"/>
    <cellStyle name="Обычный 7 6 4 14 3" xfId="23608"/>
    <cellStyle name="Обычный 7 6 4 15" xfId="23609"/>
    <cellStyle name="Обычный 7 6 4 15 2" xfId="23610"/>
    <cellStyle name="Обычный 7 6 4 15 3" xfId="23611"/>
    <cellStyle name="Обычный 7 6 4 16" xfId="23612"/>
    <cellStyle name="Обычный 7 6 4 16 2" xfId="23613"/>
    <cellStyle name="Обычный 7 6 4 16 3" xfId="23614"/>
    <cellStyle name="Обычный 7 6 4 17" xfId="23615"/>
    <cellStyle name="Обычный 7 6 4 17 2" xfId="23616"/>
    <cellStyle name="Обычный 7 6 4 17 3" xfId="23617"/>
    <cellStyle name="Обычный 7 6 4 18" xfId="23618"/>
    <cellStyle name="Обычный 7 6 4 18 2" xfId="23619"/>
    <cellStyle name="Обычный 7 6 4 18 3" xfId="23620"/>
    <cellStyle name="Обычный 7 6 4 19" xfId="23621"/>
    <cellStyle name="Обычный 7 6 4 19 2" xfId="23622"/>
    <cellStyle name="Обычный 7 6 4 19 3" xfId="23623"/>
    <cellStyle name="Обычный 7 6 4 2" xfId="23624"/>
    <cellStyle name="Обычный 7 6 4 2 2" xfId="23625"/>
    <cellStyle name="Обычный 7 6 4 2 3" xfId="23626"/>
    <cellStyle name="Обычный 7 6 4 20" xfId="23627"/>
    <cellStyle name="Обычный 7 6 4 20 2" xfId="23628"/>
    <cellStyle name="Обычный 7 6 4 20 3" xfId="23629"/>
    <cellStyle name="Обычный 7 6 4 21" xfId="23630"/>
    <cellStyle name="Обычный 7 6 4 21 2" xfId="23631"/>
    <cellStyle name="Обычный 7 6 4 21 3" xfId="23632"/>
    <cellStyle name="Обычный 7 6 4 22" xfId="23633"/>
    <cellStyle name="Обычный 7 6 4 22 2" xfId="23634"/>
    <cellStyle name="Обычный 7 6 4 22 3" xfId="23635"/>
    <cellStyle name="Обычный 7 6 4 23" xfId="23636"/>
    <cellStyle name="Обычный 7 6 4 23 2" xfId="23637"/>
    <cellStyle name="Обычный 7 6 4 23 3" xfId="23638"/>
    <cellStyle name="Обычный 7 6 4 24" xfId="23639"/>
    <cellStyle name="Обычный 7 6 4 24 2" xfId="23640"/>
    <cellStyle name="Обычный 7 6 4 24 3" xfId="23641"/>
    <cellStyle name="Обычный 7 6 4 25" xfId="23642"/>
    <cellStyle name="Обычный 7 6 4 25 2" xfId="23643"/>
    <cellStyle name="Обычный 7 6 4 25 3" xfId="23644"/>
    <cellStyle name="Обычный 7 6 4 26" xfId="23645"/>
    <cellStyle name="Обычный 7 6 4 26 2" xfId="23646"/>
    <cellStyle name="Обычный 7 6 4 26 3" xfId="23647"/>
    <cellStyle name="Обычный 7 6 4 27" xfId="23648"/>
    <cellStyle name="Обычный 7 6 4 27 2" xfId="23649"/>
    <cellStyle name="Обычный 7 6 4 27 3" xfId="23650"/>
    <cellStyle name="Обычный 7 6 4 28" xfId="23651"/>
    <cellStyle name="Обычный 7 6 4 28 2" xfId="23652"/>
    <cellStyle name="Обычный 7 6 4 28 3" xfId="23653"/>
    <cellStyle name="Обычный 7 6 4 29" xfId="23654"/>
    <cellStyle name="Обычный 7 6 4 29 2" xfId="23655"/>
    <cellStyle name="Обычный 7 6 4 29 3" xfId="23656"/>
    <cellStyle name="Обычный 7 6 4 3" xfId="23657"/>
    <cellStyle name="Обычный 7 6 4 3 2" xfId="23658"/>
    <cellStyle name="Обычный 7 6 4 3 3" xfId="23659"/>
    <cellStyle name="Обычный 7 6 4 30" xfId="23660"/>
    <cellStyle name="Обычный 7 6 4 30 2" xfId="23661"/>
    <cellStyle name="Обычный 7 6 4 30 3" xfId="23662"/>
    <cellStyle name="Обычный 7 6 4 31" xfId="23663"/>
    <cellStyle name="Обычный 7 6 4 31 2" xfId="23664"/>
    <cellStyle name="Обычный 7 6 4 31 3" xfId="23665"/>
    <cellStyle name="Обычный 7 6 4 32" xfId="23666"/>
    <cellStyle name="Обычный 7 6 4 32 2" xfId="23667"/>
    <cellStyle name="Обычный 7 6 4 32 3" xfId="23668"/>
    <cellStyle name="Обычный 7 6 4 33" xfId="23669"/>
    <cellStyle name="Обычный 7 6 4 33 2" xfId="23670"/>
    <cellStyle name="Обычный 7 6 4 33 3" xfId="23671"/>
    <cellStyle name="Обычный 7 6 4 34" xfId="23672"/>
    <cellStyle name="Обычный 7 6 4 34 2" xfId="23673"/>
    <cellStyle name="Обычный 7 6 4 34 3" xfId="23674"/>
    <cellStyle name="Обычный 7 6 4 35" xfId="23675"/>
    <cellStyle name="Обычный 7 6 4 35 2" xfId="23676"/>
    <cellStyle name="Обычный 7 6 4 35 3" xfId="23677"/>
    <cellStyle name="Обычный 7 6 4 36" xfId="23678"/>
    <cellStyle name="Обычный 7 6 4 36 2" xfId="23679"/>
    <cellStyle name="Обычный 7 6 4 36 3" xfId="23680"/>
    <cellStyle name="Обычный 7 6 4 37" xfId="23681"/>
    <cellStyle name="Обычный 7 6 4 37 2" xfId="23682"/>
    <cellStyle name="Обычный 7 6 4 37 3" xfId="23683"/>
    <cellStyle name="Обычный 7 6 4 38" xfId="23684"/>
    <cellStyle name="Обычный 7 6 4 38 2" xfId="23685"/>
    <cellStyle name="Обычный 7 6 4 38 3" xfId="23686"/>
    <cellStyle name="Обычный 7 6 4 39" xfId="23687"/>
    <cellStyle name="Обычный 7 6 4 39 2" xfId="23688"/>
    <cellStyle name="Обычный 7 6 4 39 3" xfId="23689"/>
    <cellStyle name="Обычный 7 6 4 4" xfId="23690"/>
    <cellStyle name="Обычный 7 6 4 4 2" xfId="23691"/>
    <cellStyle name="Обычный 7 6 4 4 3" xfId="23692"/>
    <cellStyle name="Обычный 7 6 4 40" xfId="23693"/>
    <cellStyle name="Обычный 7 6 4 40 2" xfId="23694"/>
    <cellStyle name="Обычный 7 6 4 40 3" xfId="23695"/>
    <cellStyle name="Обычный 7 6 4 41" xfId="23696"/>
    <cellStyle name="Обычный 7 6 4 41 2" xfId="23697"/>
    <cellStyle name="Обычный 7 6 4 41 3" xfId="23698"/>
    <cellStyle name="Обычный 7 6 4 42" xfId="23699"/>
    <cellStyle name="Обычный 7 6 4 42 2" xfId="23700"/>
    <cellStyle name="Обычный 7 6 4 42 3" xfId="23701"/>
    <cellStyle name="Обычный 7 6 4 43" xfId="23702"/>
    <cellStyle name="Обычный 7 6 4 43 2" xfId="23703"/>
    <cellStyle name="Обычный 7 6 4 43 3" xfId="23704"/>
    <cellStyle name="Обычный 7 6 4 44" xfId="23705"/>
    <cellStyle name="Обычный 7 6 4 44 2" xfId="23706"/>
    <cellStyle name="Обычный 7 6 4 44 3" xfId="23707"/>
    <cellStyle name="Обычный 7 6 4 45" xfId="23708"/>
    <cellStyle name="Обычный 7 6 4 45 2" xfId="23709"/>
    <cellStyle name="Обычный 7 6 4 45 3" xfId="23710"/>
    <cellStyle name="Обычный 7 6 4 46" xfId="23711"/>
    <cellStyle name="Обычный 7 6 4 46 2" xfId="23712"/>
    <cellStyle name="Обычный 7 6 4 46 3" xfId="23713"/>
    <cellStyle name="Обычный 7 6 4 47" xfId="23714"/>
    <cellStyle name="Обычный 7 6 4 47 2" xfId="23715"/>
    <cellStyle name="Обычный 7 6 4 47 3" xfId="23716"/>
    <cellStyle name="Обычный 7 6 4 48" xfId="23717"/>
    <cellStyle name="Обычный 7 6 4 48 2" xfId="23718"/>
    <cellStyle name="Обычный 7 6 4 48 3" xfId="23719"/>
    <cellStyle name="Обычный 7 6 4 49" xfId="23720"/>
    <cellStyle name="Обычный 7 6 4 49 2" xfId="23721"/>
    <cellStyle name="Обычный 7 6 4 49 3" xfId="23722"/>
    <cellStyle name="Обычный 7 6 4 5" xfId="23723"/>
    <cellStyle name="Обычный 7 6 4 5 2" xfId="23724"/>
    <cellStyle name="Обычный 7 6 4 5 3" xfId="23725"/>
    <cellStyle name="Обычный 7 6 4 50" xfId="23726"/>
    <cellStyle name="Обычный 7 6 4 50 2" xfId="23727"/>
    <cellStyle name="Обычный 7 6 4 50 3" xfId="23728"/>
    <cellStyle name="Обычный 7 6 4 51" xfId="23729"/>
    <cellStyle name="Обычный 7 6 4 51 2" xfId="23730"/>
    <cellStyle name="Обычный 7 6 4 51 3" xfId="23731"/>
    <cellStyle name="Обычный 7 6 4 52" xfId="23732"/>
    <cellStyle name="Обычный 7 6 4 52 2" xfId="23733"/>
    <cellStyle name="Обычный 7 6 4 52 3" xfId="23734"/>
    <cellStyle name="Обычный 7 6 4 53" xfId="23735"/>
    <cellStyle name="Обычный 7 6 4 53 2" xfId="23736"/>
    <cellStyle name="Обычный 7 6 4 53 3" xfId="23737"/>
    <cellStyle name="Обычный 7 6 4 54" xfId="23738"/>
    <cellStyle name="Обычный 7 6 4 54 2" xfId="23739"/>
    <cellStyle name="Обычный 7 6 4 54 3" xfId="23740"/>
    <cellStyle name="Обычный 7 6 4 55" xfId="23741"/>
    <cellStyle name="Обычный 7 6 4 55 2" xfId="23742"/>
    <cellStyle name="Обычный 7 6 4 55 3" xfId="23743"/>
    <cellStyle name="Обычный 7 6 4 56" xfId="23744"/>
    <cellStyle name="Обычный 7 6 4 56 2" xfId="23745"/>
    <cellStyle name="Обычный 7 6 4 56 3" xfId="23746"/>
    <cellStyle name="Обычный 7 6 4 57" xfId="23747"/>
    <cellStyle name="Обычный 7 6 4 57 2" xfId="23748"/>
    <cellStyle name="Обычный 7 6 4 57 3" xfId="23749"/>
    <cellStyle name="Обычный 7 6 4 58" xfId="23750"/>
    <cellStyle name="Обычный 7 6 4 58 2" xfId="23751"/>
    <cellStyle name="Обычный 7 6 4 58 3" xfId="23752"/>
    <cellStyle name="Обычный 7 6 4 59" xfId="23753"/>
    <cellStyle name="Обычный 7 6 4 59 2" xfId="23754"/>
    <cellStyle name="Обычный 7 6 4 59 3" xfId="23755"/>
    <cellStyle name="Обычный 7 6 4 6" xfId="23756"/>
    <cellStyle name="Обычный 7 6 4 6 2" xfId="23757"/>
    <cellStyle name="Обычный 7 6 4 6 3" xfId="23758"/>
    <cellStyle name="Обычный 7 6 4 60" xfId="23759"/>
    <cellStyle name="Обычный 7 6 4 60 2" xfId="23760"/>
    <cellStyle name="Обычный 7 6 4 60 3" xfId="23761"/>
    <cellStyle name="Обычный 7 6 4 61" xfId="23762"/>
    <cellStyle name="Обычный 7 6 4 61 2" xfId="23763"/>
    <cellStyle name="Обычный 7 6 4 61 3" xfId="23764"/>
    <cellStyle name="Обычный 7 6 4 62" xfId="23765"/>
    <cellStyle name="Обычный 7 6 4 62 2" xfId="23766"/>
    <cellStyle name="Обычный 7 6 4 62 3" xfId="23767"/>
    <cellStyle name="Обычный 7 6 4 63" xfId="23768"/>
    <cellStyle name="Обычный 7 6 4 63 2" xfId="23769"/>
    <cellStyle name="Обычный 7 6 4 63 3" xfId="23770"/>
    <cellStyle name="Обычный 7 6 4 64" xfId="23771"/>
    <cellStyle name="Обычный 7 6 4 65" xfId="23772"/>
    <cellStyle name="Обычный 7 6 4 7" xfId="23773"/>
    <cellStyle name="Обычный 7 6 4 7 2" xfId="23774"/>
    <cellStyle name="Обычный 7 6 4 7 3" xfId="23775"/>
    <cellStyle name="Обычный 7 6 4 8" xfId="23776"/>
    <cellStyle name="Обычный 7 6 4 8 2" xfId="23777"/>
    <cellStyle name="Обычный 7 6 4 8 3" xfId="23778"/>
    <cellStyle name="Обычный 7 6 4 9" xfId="23779"/>
    <cellStyle name="Обычный 7 6 4 9 2" xfId="23780"/>
    <cellStyle name="Обычный 7 6 4 9 3" xfId="23781"/>
    <cellStyle name="Обычный 7 6 40" xfId="23782"/>
    <cellStyle name="Обычный 7 6 40 2" xfId="23783"/>
    <cellStyle name="Обычный 7 6 40 3" xfId="23784"/>
    <cellStyle name="Обычный 7 6 41" xfId="23785"/>
    <cellStyle name="Обычный 7 6 41 2" xfId="23786"/>
    <cellStyle name="Обычный 7 6 41 3" xfId="23787"/>
    <cellStyle name="Обычный 7 6 42" xfId="23788"/>
    <cellStyle name="Обычный 7 6 42 2" xfId="23789"/>
    <cellStyle name="Обычный 7 6 42 3" xfId="23790"/>
    <cellStyle name="Обычный 7 6 43" xfId="23791"/>
    <cellStyle name="Обычный 7 6 43 2" xfId="23792"/>
    <cellStyle name="Обычный 7 6 43 3" xfId="23793"/>
    <cellStyle name="Обычный 7 6 44" xfId="23794"/>
    <cellStyle name="Обычный 7 6 44 2" xfId="23795"/>
    <cellStyle name="Обычный 7 6 44 3" xfId="23796"/>
    <cellStyle name="Обычный 7 6 45" xfId="23797"/>
    <cellStyle name="Обычный 7 6 45 2" xfId="23798"/>
    <cellStyle name="Обычный 7 6 45 3" xfId="23799"/>
    <cellStyle name="Обычный 7 6 46" xfId="23800"/>
    <cellStyle name="Обычный 7 6 46 2" xfId="23801"/>
    <cellStyle name="Обычный 7 6 46 3" xfId="23802"/>
    <cellStyle name="Обычный 7 6 47" xfId="23803"/>
    <cellStyle name="Обычный 7 6 47 2" xfId="23804"/>
    <cellStyle name="Обычный 7 6 47 3" xfId="23805"/>
    <cellStyle name="Обычный 7 6 48" xfId="23806"/>
    <cellStyle name="Обычный 7 6 48 2" xfId="23807"/>
    <cellStyle name="Обычный 7 6 48 3" xfId="23808"/>
    <cellStyle name="Обычный 7 6 49" xfId="23809"/>
    <cellStyle name="Обычный 7 6 49 2" xfId="23810"/>
    <cellStyle name="Обычный 7 6 49 3" xfId="23811"/>
    <cellStyle name="Обычный 7 6 5" xfId="23812"/>
    <cellStyle name="Обычный 7 6 5 10" xfId="23813"/>
    <cellStyle name="Обычный 7 6 5 10 2" xfId="23814"/>
    <cellStyle name="Обычный 7 6 5 10 3" xfId="23815"/>
    <cellStyle name="Обычный 7 6 5 11" xfId="23816"/>
    <cellStyle name="Обычный 7 6 5 11 2" xfId="23817"/>
    <cellStyle name="Обычный 7 6 5 11 3" xfId="23818"/>
    <cellStyle name="Обычный 7 6 5 12" xfId="23819"/>
    <cellStyle name="Обычный 7 6 5 12 2" xfId="23820"/>
    <cellStyle name="Обычный 7 6 5 12 3" xfId="23821"/>
    <cellStyle name="Обычный 7 6 5 13" xfId="23822"/>
    <cellStyle name="Обычный 7 6 5 13 2" xfId="23823"/>
    <cellStyle name="Обычный 7 6 5 13 3" xfId="23824"/>
    <cellStyle name="Обычный 7 6 5 14" xfId="23825"/>
    <cellStyle name="Обычный 7 6 5 14 2" xfId="23826"/>
    <cellStyle name="Обычный 7 6 5 14 3" xfId="23827"/>
    <cellStyle name="Обычный 7 6 5 15" xfId="23828"/>
    <cellStyle name="Обычный 7 6 5 15 2" xfId="23829"/>
    <cellStyle name="Обычный 7 6 5 15 3" xfId="23830"/>
    <cellStyle name="Обычный 7 6 5 16" xfId="23831"/>
    <cellStyle name="Обычный 7 6 5 16 2" xfId="23832"/>
    <cellStyle name="Обычный 7 6 5 16 3" xfId="23833"/>
    <cellStyle name="Обычный 7 6 5 17" xfId="23834"/>
    <cellStyle name="Обычный 7 6 5 17 2" xfId="23835"/>
    <cellStyle name="Обычный 7 6 5 17 3" xfId="23836"/>
    <cellStyle name="Обычный 7 6 5 18" xfId="23837"/>
    <cellStyle name="Обычный 7 6 5 18 2" xfId="23838"/>
    <cellStyle name="Обычный 7 6 5 18 3" xfId="23839"/>
    <cellStyle name="Обычный 7 6 5 19" xfId="23840"/>
    <cellStyle name="Обычный 7 6 5 19 2" xfId="23841"/>
    <cellStyle name="Обычный 7 6 5 19 3" xfId="23842"/>
    <cellStyle name="Обычный 7 6 5 2" xfId="23843"/>
    <cellStyle name="Обычный 7 6 5 2 2" xfId="23844"/>
    <cellStyle name="Обычный 7 6 5 2 3" xfId="23845"/>
    <cellStyle name="Обычный 7 6 5 20" xfId="23846"/>
    <cellStyle name="Обычный 7 6 5 20 2" xfId="23847"/>
    <cellStyle name="Обычный 7 6 5 20 3" xfId="23848"/>
    <cellStyle name="Обычный 7 6 5 21" xfId="23849"/>
    <cellStyle name="Обычный 7 6 5 21 2" xfId="23850"/>
    <cellStyle name="Обычный 7 6 5 21 3" xfId="23851"/>
    <cellStyle name="Обычный 7 6 5 22" xfId="23852"/>
    <cellStyle name="Обычный 7 6 5 22 2" xfId="23853"/>
    <cellStyle name="Обычный 7 6 5 22 3" xfId="23854"/>
    <cellStyle name="Обычный 7 6 5 23" xfId="23855"/>
    <cellStyle name="Обычный 7 6 5 23 2" xfId="23856"/>
    <cellStyle name="Обычный 7 6 5 23 3" xfId="23857"/>
    <cellStyle name="Обычный 7 6 5 24" xfId="23858"/>
    <cellStyle name="Обычный 7 6 5 24 2" xfId="23859"/>
    <cellStyle name="Обычный 7 6 5 24 3" xfId="23860"/>
    <cellStyle name="Обычный 7 6 5 25" xfId="23861"/>
    <cellStyle name="Обычный 7 6 5 25 2" xfId="23862"/>
    <cellStyle name="Обычный 7 6 5 25 3" xfId="23863"/>
    <cellStyle name="Обычный 7 6 5 26" xfId="23864"/>
    <cellStyle name="Обычный 7 6 5 26 2" xfId="23865"/>
    <cellStyle name="Обычный 7 6 5 26 3" xfId="23866"/>
    <cellStyle name="Обычный 7 6 5 27" xfId="23867"/>
    <cellStyle name="Обычный 7 6 5 27 2" xfId="23868"/>
    <cellStyle name="Обычный 7 6 5 27 3" xfId="23869"/>
    <cellStyle name="Обычный 7 6 5 28" xfId="23870"/>
    <cellStyle name="Обычный 7 6 5 28 2" xfId="23871"/>
    <cellStyle name="Обычный 7 6 5 28 3" xfId="23872"/>
    <cellStyle name="Обычный 7 6 5 29" xfId="23873"/>
    <cellStyle name="Обычный 7 6 5 29 2" xfId="23874"/>
    <cellStyle name="Обычный 7 6 5 29 3" xfId="23875"/>
    <cellStyle name="Обычный 7 6 5 3" xfId="23876"/>
    <cellStyle name="Обычный 7 6 5 3 2" xfId="23877"/>
    <cellStyle name="Обычный 7 6 5 3 3" xfId="23878"/>
    <cellStyle name="Обычный 7 6 5 30" xfId="23879"/>
    <cellStyle name="Обычный 7 6 5 30 2" xfId="23880"/>
    <cellStyle name="Обычный 7 6 5 30 3" xfId="23881"/>
    <cellStyle name="Обычный 7 6 5 31" xfId="23882"/>
    <cellStyle name="Обычный 7 6 5 31 2" xfId="23883"/>
    <cellStyle name="Обычный 7 6 5 31 3" xfId="23884"/>
    <cellStyle name="Обычный 7 6 5 32" xfId="23885"/>
    <cellStyle name="Обычный 7 6 5 32 2" xfId="23886"/>
    <cellStyle name="Обычный 7 6 5 32 3" xfId="23887"/>
    <cellStyle name="Обычный 7 6 5 33" xfId="23888"/>
    <cellStyle name="Обычный 7 6 5 33 2" xfId="23889"/>
    <cellStyle name="Обычный 7 6 5 33 3" xfId="23890"/>
    <cellStyle name="Обычный 7 6 5 34" xfId="23891"/>
    <cellStyle name="Обычный 7 6 5 34 2" xfId="23892"/>
    <cellStyle name="Обычный 7 6 5 34 3" xfId="23893"/>
    <cellStyle name="Обычный 7 6 5 35" xfId="23894"/>
    <cellStyle name="Обычный 7 6 5 35 2" xfId="23895"/>
    <cellStyle name="Обычный 7 6 5 35 3" xfId="23896"/>
    <cellStyle name="Обычный 7 6 5 36" xfId="23897"/>
    <cellStyle name="Обычный 7 6 5 36 2" xfId="23898"/>
    <cellStyle name="Обычный 7 6 5 36 3" xfId="23899"/>
    <cellStyle name="Обычный 7 6 5 37" xfId="23900"/>
    <cellStyle name="Обычный 7 6 5 37 2" xfId="23901"/>
    <cellStyle name="Обычный 7 6 5 37 3" xfId="23902"/>
    <cellStyle name="Обычный 7 6 5 38" xfId="23903"/>
    <cellStyle name="Обычный 7 6 5 38 2" xfId="23904"/>
    <cellStyle name="Обычный 7 6 5 38 3" xfId="23905"/>
    <cellStyle name="Обычный 7 6 5 39" xfId="23906"/>
    <cellStyle name="Обычный 7 6 5 39 2" xfId="23907"/>
    <cellStyle name="Обычный 7 6 5 39 3" xfId="23908"/>
    <cellStyle name="Обычный 7 6 5 4" xfId="23909"/>
    <cellStyle name="Обычный 7 6 5 4 2" xfId="23910"/>
    <cellStyle name="Обычный 7 6 5 4 3" xfId="23911"/>
    <cellStyle name="Обычный 7 6 5 40" xfId="23912"/>
    <cellStyle name="Обычный 7 6 5 40 2" xfId="23913"/>
    <cellStyle name="Обычный 7 6 5 40 3" xfId="23914"/>
    <cellStyle name="Обычный 7 6 5 41" xfId="23915"/>
    <cellStyle name="Обычный 7 6 5 41 2" xfId="23916"/>
    <cellStyle name="Обычный 7 6 5 41 3" xfId="23917"/>
    <cellStyle name="Обычный 7 6 5 42" xfId="23918"/>
    <cellStyle name="Обычный 7 6 5 42 2" xfId="23919"/>
    <cellStyle name="Обычный 7 6 5 42 3" xfId="23920"/>
    <cellStyle name="Обычный 7 6 5 43" xfId="23921"/>
    <cellStyle name="Обычный 7 6 5 43 2" xfId="23922"/>
    <cellStyle name="Обычный 7 6 5 43 3" xfId="23923"/>
    <cellStyle name="Обычный 7 6 5 44" xfId="23924"/>
    <cellStyle name="Обычный 7 6 5 44 2" xfId="23925"/>
    <cellStyle name="Обычный 7 6 5 44 3" xfId="23926"/>
    <cellStyle name="Обычный 7 6 5 45" xfId="23927"/>
    <cellStyle name="Обычный 7 6 5 45 2" xfId="23928"/>
    <cellStyle name="Обычный 7 6 5 45 3" xfId="23929"/>
    <cellStyle name="Обычный 7 6 5 46" xfId="23930"/>
    <cellStyle name="Обычный 7 6 5 46 2" xfId="23931"/>
    <cellStyle name="Обычный 7 6 5 46 3" xfId="23932"/>
    <cellStyle name="Обычный 7 6 5 47" xfId="23933"/>
    <cellStyle name="Обычный 7 6 5 47 2" xfId="23934"/>
    <cellStyle name="Обычный 7 6 5 47 3" xfId="23935"/>
    <cellStyle name="Обычный 7 6 5 48" xfId="23936"/>
    <cellStyle name="Обычный 7 6 5 48 2" xfId="23937"/>
    <cellStyle name="Обычный 7 6 5 48 3" xfId="23938"/>
    <cellStyle name="Обычный 7 6 5 49" xfId="23939"/>
    <cellStyle name="Обычный 7 6 5 49 2" xfId="23940"/>
    <cellStyle name="Обычный 7 6 5 49 3" xfId="23941"/>
    <cellStyle name="Обычный 7 6 5 5" xfId="23942"/>
    <cellStyle name="Обычный 7 6 5 5 2" xfId="23943"/>
    <cellStyle name="Обычный 7 6 5 5 3" xfId="23944"/>
    <cellStyle name="Обычный 7 6 5 50" xfId="23945"/>
    <cellStyle name="Обычный 7 6 5 50 2" xfId="23946"/>
    <cellStyle name="Обычный 7 6 5 50 3" xfId="23947"/>
    <cellStyle name="Обычный 7 6 5 51" xfId="23948"/>
    <cellStyle name="Обычный 7 6 5 51 2" xfId="23949"/>
    <cellStyle name="Обычный 7 6 5 51 3" xfId="23950"/>
    <cellStyle name="Обычный 7 6 5 52" xfId="23951"/>
    <cellStyle name="Обычный 7 6 5 52 2" xfId="23952"/>
    <cellStyle name="Обычный 7 6 5 52 3" xfId="23953"/>
    <cellStyle name="Обычный 7 6 5 53" xfId="23954"/>
    <cellStyle name="Обычный 7 6 5 53 2" xfId="23955"/>
    <cellStyle name="Обычный 7 6 5 53 3" xfId="23956"/>
    <cellStyle name="Обычный 7 6 5 54" xfId="23957"/>
    <cellStyle name="Обычный 7 6 5 54 2" xfId="23958"/>
    <cellStyle name="Обычный 7 6 5 54 3" xfId="23959"/>
    <cellStyle name="Обычный 7 6 5 55" xfId="23960"/>
    <cellStyle name="Обычный 7 6 5 55 2" xfId="23961"/>
    <cellStyle name="Обычный 7 6 5 55 3" xfId="23962"/>
    <cellStyle name="Обычный 7 6 5 56" xfId="23963"/>
    <cellStyle name="Обычный 7 6 5 56 2" xfId="23964"/>
    <cellStyle name="Обычный 7 6 5 56 3" xfId="23965"/>
    <cellStyle name="Обычный 7 6 5 57" xfId="23966"/>
    <cellStyle name="Обычный 7 6 5 57 2" xfId="23967"/>
    <cellStyle name="Обычный 7 6 5 57 3" xfId="23968"/>
    <cellStyle name="Обычный 7 6 5 58" xfId="23969"/>
    <cellStyle name="Обычный 7 6 5 58 2" xfId="23970"/>
    <cellStyle name="Обычный 7 6 5 58 3" xfId="23971"/>
    <cellStyle name="Обычный 7 6 5 59" xfId="23972"/>
    <cellStyle name="Обычный 7 6 5 59 2" xfId="23973"/>
    <cellStyle name="Обычный 7 6 5 59 3" xfId="23974"/>
    <cellStyle name="Обычный 7 6 5 6" xfId="23975"/>
    <cellStyle name="Обычный 7 6 5 6 2" xfId="23976"/>
    <cellStyle name="Обычный 7 6 5 6 3" xfId="23977"/>
    <cellStyle name="Обычный 7 6 5 60" xfId="23978"/>
    <cellStyle name="Обычный 7 6 5 60 2" xfId="23979"/>
    <cellStyle name="Обычный 7 6 5 60 3" xfId="23980"/>
    <cellStyle name="Обычный 7 6 5 61" xfId="23981"/>
    <cellStyle name="Обычный 7 6 5 61 2" xfId="23982"/>
    <cellStyle name="Обычный 7 6 5 61 3" xfId="23983"/>
    <cellStyle name="Обычный 7 6 5 62" xfId="23984"/>
    <cellStyle name="Обычный 7 6 5 62 2" xfId="23985"/>
    <cellStyle name="Обычный 7 6 5 62 3" xfId="23986"/>
    <cellStyle name="Обычный 7 6 5 63" xfId="23987"/>
    <cellStyle name="Обычный 7 6 5 63 2" xfId="23988"/>
    <cellStyle name="Обычный 7 6 5 63 3" xfId="23989"/>
    <cellStyle name="Обычный 7 6 5 64" xfId="23990"/>
    <cellStyle name="Обычный 7 6 5 65" xfId="23991"/>
    <cellStyle name="Обычный 7 6 5 7" xfId="23992"/>
    <cellStyle name="Обычный 7 6 5 7 2" xfId="23993"/>
    <cellStyle name="Обычный 7 6 5 7 3" xfId="23994"/>
    <cellStyle name="Обычный 7 6 5 8" xfId="23995"/>
    <cellStyle name="Обычный 7 6 5 8 2" xfId="23996"/>
    <cellStyle name="Обычный 7 6 5 8 3" xfId="23997"/>
    <cellStyle name="Обычный 7 6 5 9" xfId="23998"/>
    <cellStyle name="Обычный 7 6 5 9 2" xfId="23999"/>
    <cellStyle name="Обычный 7 6 5 9 3" xfId="24000"/>
    <cellStyle name="Обычный 7 6 50" xfId="24001"/>
    <cellStyle name="Обычный 7 6 50 2" xfId="24002"/>
    <cellStyle name="Обычный 7 6 50 3" xfId="24003"/>
    <cellStyle name="Обычный 7 6 51" xfId="24004"/>
    <cellStyle name="Обычный 7 6 51 2" xfId="24005"/>
    <cellStyle name="Обычный 7 6 51 3" xfId="24006"/>
    <cellStyle name="Обычный 7 6 52" xfId="24007"/>
    <cellStyle name="Обычный 7 6 52 2" xfId="24008"/>
    <cellStyle name="Обычный 7 6 52 3" xfId="24009"/>
    <cellStyle name="Обычный 7 6 53" xfId="24010"/>
    <cellStyle name="Обычный 7 6 53 2" xfId="24011"/>
    <cellStyle name="Обычный 7 6 53 3" xfId="24012"/>
    <cellStyle name="Обычный 7 6 54" xfId="24013"/>
    <cellStyle name="Обычный 7 6 54 2" xfId="24014"/>
    <cellStyle name="Обычный 7 6 54 3" xfId="24015"/>
    <cellStyle name="Обычный 7 6 55" xfId="24016"/>
    <cellStyle name="Обычный 7 6 55 2" xfId="24017"/>
    <cellStyle name="Обычный 7 6 55 3" xfId="24018"/>
    <cellStyle name="Обычный 7 6 56" xfId="24019"/>
    <cellStyle name="Обычный 7 6 56 2" xfId="24020"/>
    <cellStyle name="Обычный 7 6 56 3" xfId="24021"/>
    <cellStyle name="Обычный 7 6 57" xfId="24022"/>
    <cellStyle name="Обычный 7 6 57 2" xfId="24023"/>
    <cellStyle name="Обычный 7 6 57 3" xfId="24024"/>
    <cellStyle name="Обычный 7 6 58" xfId="24025"/>
    <cellStyle name="Обычный 7 6 58 2" xfId="24026"/>
    <cellStyle name="Обычный 7 6 58 3" xfId="24027"/>
    <cellStyle name="Обычный 7 6 59" xfId="24028"/>
    <cellStyle name="Обычный 7 6 59 2" xfId="24029"/>
    <cellStyle name="Обычный 7 6 59 3" xfId="24030"/>
    <cellStyle name="Обычный 7 6 6" xfId="24031"/>
    <cellStyle name="Обычный 7 6 6 10" xfId="24032"/>
    <cellStyle name="Обычный 7 6 6 10 2" xfId="24033"/>
    <cellStyle name="Обычный 7 6 6 10 3" xfId="24034"/>
    <cellStyle name="Обычный 7 6 6 11" xfId="24035"/>
    <cellStyle name="Обычный 7 6 6 11 2" xfId="24036"/>
    <cellStyle name="Обычный 7 6 6 11 3" xfId="24037"/>
    <cellStyle name="Обычный 7 6 6 12" xfId="24038"/>
    <cellStyle name="Обычный 7 6 6 12 2" xfId="24039"/>
    <cellStyle name="Обычный 7 6 6 12 3" xfId="24040"/>
    <cellStyle name="Обычный 7 6 6 13" xfId="24041"/>
    <cellStyle name="Обычный 7 6 6 13 2" xfId="24042"/>
    <cellStyle name="Обычный 7 6 6 13 3" xfId="24043"/>
    <cellStyle name="Обычный 7 6 6 14" xfId="24044"/>
    <cellStyle name="Обычный 7 6 6 14 2" xfId="24045"/>
    <cellStyle name="Обычный 7 6 6 14 3" xfId="24046"/>
    <cellStyle name="Обычный 7 6 6 15" xfId="24047"/>
    <cellStyle name="Обычный 7 6 6 15 2" xfId="24048"/>
    <cellStyle name="Обычный 7 6 6 15 3" xfId="24049"/>
    <cellStyle name="Обычный 7 6 6 16" xfId="24050"/>
    <cellStyle name="Обычный 7 6 6 16 2" xfId="24051"/>
    <cellStyle name="Обычный 7 6 6 16 3" xfId="24052"/>
    <cellStyle name="Обычный 7 6 6 17" xfId="24053"/>
    <cellStyle name="Обычный 7 6 6 17 2" xfId="24054"/>
    <cellStyle name="Обычный 7 6 6 17 3" xfId="24055"/>
    <cellStyle name="Обычный 7 6 6 18" xfId="24056"/>
    <cellStyle name="Обычный 7 6 6 18 2" xfId="24057"/>
    <cellStyle name="Обычный 7 6 6 18 3" xfId="24058"/>
    <cellStyle name="Обычный 7 6 6 19" xfId="24059"/>
    <cellStyle name="Обычный 7 6 6 19 2" xfId="24060"/>
    <cellStyle name="Обычный 7 6 6 19 3" xfId="24061"/>
    <cellStyle name="Обычный 7 6 6 2" xfId="24062"/>
    <cellStyle name="Обычный 7 6 6 2 2" xfId="24063"/>
    <cellStyle name="Обычный 7 6 6 2 3" xfId="24064"/>
    <cellStyle name="Обычный 7 6 6 20" xfId="24065"/>
    <cellStyle name="Обычный 7 6 6 20 2" xfId="24066"/>
    <cellStyle name="Обычный 7 6 6 20 3" xfId="24067"/>
    <cellStyle name="Обычный 7 6 6 21" xfId="24068"/>
    <cellStyle name="Обычный 7 6 6 21 2" xfId="24069"/>
    <cellStyle name="Обычный 7 6 6 21 3" xfId="24070"/>
    <cellStyle name="Обычный 7 6 6 22" xfId="24071"/>
    <cellStyle name="Обычный 7 6 6 22 2" xfId="24072"/>
    <cellStyle name="Обычный 7 6 6 22 3" xfId="24073"/>
    <cellStyle name="Обычный 7 6 6 23" xfId="24074"/>
    <cellStyle name="Обычный 7 6 6 23 2" xfId="24075"/>
    <cellStyle name="Обычный 7 6 6 23 3" xfId="24076"/>
    <cellStyle name="Обычный 7 6 6 24" xfId="24077"/>
    <cellStyle name="Обычный 7 6 6 24 2" xfId="24078"/>
    <cellStyle name="Обычный 7 6 6 24 3" xfId="24079"/>
    <cellStyle name="Обычный 7 6 6 25" xfId="24080"/>
    <cellStyle name="Обычный 7 6 6 25 2" xfId="24081"/>
    <cellStyle name="Обычный 7 6 6 25 3" xfId="24082"/>
    <cellStyle name="Обычный 7 6 6 26" xfId="24083"/>
    <cellStyle name="Обычный 7 6 6 26 2" xfId="24084"/>
    <cellStyle name="Обычный 7 6 6 26 3" xfId="24085"/>
    <cellStyle name="Обычный 7 6 6 27" xfId="24086"/>
    <cellStyle name="Обычный 7 6 6 27 2" xfId="24087"/>
    <cellStyle name="Обычный 7 6 6 27 3" xfId="24088"/>
    <cellStyle name="Обычный 7 6 6 28" xfId="24089"/>
    <cellStyle name="Обычный 7 6 6 28 2" xfId="24090"/>
    <cellStyle name="Обычный 7 6 6 28 3" xfId="24091"/>
    <cellStyle name="Обычный 7 6 6 29" xfId="24092"/>
    <cellStyle name="Обычный 7 6 6 29 2" xfId="24093"/>
    <cellStyle name="Обычный 7 6 6 29 3" xfId="24094"/>
    <cellStyle name="Обычный 7 6 6 3" xfId="24095"/>
    <cellStyle name="Обычный 7 6 6 3 2" xfId="24096"/>
    <cellStyle name="Обычный 7 6 6 3 3" xfId="24097"/>
    <cellStyle name="Обычный 7 6 6 30" xfId="24098"/>
    <cellStyle name="Обычный 7 6 6 30 2" xfId="24099"/>
    <cellStyle name="Обычный 7 6 6 30 3" xfId="24100"/>
    <cellStyle name="Обычный 7 6 6 31" xfId="24101"/>
    <cellStyle name="Обычный 7 6 6 31 2" xfId="24102"/>
    <cellStyle name="Обычный 7 6 6 31 3" xfId="24103"/>
    <cellStyle name="Обычный 7 6 6 32" xfId="24104"/>
    <cellStyle name="Обычный 7 6 6 32 2" xfId="24105"/>
    <cellStyle name="Обычный 7 6 6 32 3" xfId="24106"/>
    <cellStyle name="Обычный 7 6 6 33" xfId="24107"/>
    <cellStyle name="Обычный 7 6 6 33 2" xfId="24108"/>
    <cellStyle name="Обычный 7 6 6 33 3" xfId="24109"/>
    <cellStyle name="Обычный 7 6 6 34" xfId="24110"/>
    <cellStyle name="Обычный 7 6 6 34 2" xfId="24111"/>
    <cellStyle name="Обычный 7 6 6 34 3" xfId="24112"/>
    <cellStyle name="Обычный 7 6 6 35" xfId="24113"/>
    <cellStyle name="Обычный 7 6 6 35 2" xfId="24114"/>
    <cellStyle name="Обычный 7 6 6 35 3" xfId="24115"/>
    <cellStyle name="Обычный 7 6 6 36" xfId="24116"/>
    <cellStyle name="Обычный 7 6 6 36 2" xfId="24117"/>
    <cellStyle name="Обычный 7 6 6 36 3" xfId="24118"/>
    <cellStyle name="Обычный 7 6 6 37" xfId="24119"/>
    <cellStyle name="Обычный 7 6 6 37 2" xfId="24120"/>
    <cellStyle name="Обычный 7 6 6 37 3" xfId="24121"/>
    <cellStyle name="Обычный 7 6 6 38" xfId="24122"/>
    <cellStyle name="Обычный 7 6 6 38 2" xfId="24123"/>
    <cellStyle name="Обычный 7 6 6 38 3" xfId="24124"/>
    <cellStyle name="Обычный 7 6 6 39" xfId="24125"/>
    <cellStyle name="Обычный 7 6 6 39 2" xfId="24126"/>
    <cellStyle name="Обычный 7 6 6 39 3" xfId="24127"/>
    <cellStyle name="Обычный 7 6 6 4" xfId="24128"/>
    <cellStyle name="Обычный 7 6 6 4 2" xfId="24129"/>
    <cellStyle name="Обычный 7 6 6 4 3" xfId="24130"/>
    <cellStyle name="Обычный 7 6 6 40" xfId="24131"/>
    <cellStyle name="Обычный 7 6 6 40 2" xfId="24132"/>
    <cellStyle name="Обычный 7 6 6 40 3" xfId="24133"/>
    <cellStyle name="Обычный 7 6 6 41" xfId="24134"/>
    <cellStyle name="Обычный 7 6 6 41 2" xfId="24135"/>
    <cellStyle name="Обычный 7 6 6 41 3" xfId="24136"/>
    <cellStyle name="Обычный 7 6 6 42" xfId="24137"/>
    <cellStyle name="Обычный 7 6 6 42 2" xfId="24138"/>
    <cellStyle name="Обычный 7 6 6 42 3" xfId="24139"/>
    <cellStyle name="Обычный 7 6 6 43" xfId="24140"/>
    <cellStyle name="Обычный 7 6 6 43 2" xfId="24141"/>
    <cellStyle name="Обычный 7 6 6 43 3" xfId="24142"/>
    <cellStyle name="Обычный 7 6 6 44" xfId="24143"/>
    <cellStyle name="Обычный 7 6 6 44 2" xfId="24144"/>
    <cellStyle name="Обычный 7 6 6 44 3" xfId="24145"/>
    <cellStyle name="Обычный 7 6 6 45" xfId="24146"/>
    <cellStyle name="Обычный 7 6 6 45 2" xfId="24147"/>
    <cellStyle name="Обычный 7 6 6 45 3" xfId="24148"/>
    <cellStyle name="Обычный 7 6 6 46" xfId="24149"/>
    <cellStyle name="Обычный 7 6 6 46 2" xfId="24150"/>
    <cellStyle name="Обычный 7 6 6 46 3" xfId="24151"/>
    <cellStyle name="Обычный 7 6 6 47" xfId="24152"/>
    <cellStyle name="Обычный 7 6 6 47 2" xfId="24153"/>
    <cellStyle name="Обычный 7 6 6 47 3" xfId="24154"/>
    <cellStyle name="Обычный 7 6 6 48" xfId="24155"/>
    <cellStyle name="Обычный 7 6 6 48 2" xfId="24156"/>
    <cellStyle name="Обычный 7 6 6 48 3" xfId="24157"/>
    <cellStyle name="Обычный 7 6 6 49" xfId="24158"/>
    <cellStyle name="Обычный 7 6 6 49 2" xfId="24159"/>
    <cellStyle name="Обычный 7 6 6 49 3" xfId="24160"/>
    <cellStyle name="Обычный 7 6 6 5" xfId="24161"/>
    <cellStyle name="Обычный 7 6 6 5 2" xfId="24162"/>
    <cellStyle name="Обычный 7 6 6 5 3" xfId="24163"/>
    <cellStyle name="Обычный 7 6 6 50" xfId="24164"/>
    <cellStyle name="Обычный 7 6 6 50 2" xfId="24165"/>
    <cellStyle name="Обычный 7 6 6 50 3" xfId="24166"/>
    <cellStyle name="Обычный 7 6 6 51" xfId="24167"/>
    <cellStyle name="Обычный 7 6 6 51 2" xfId="24168"/>
    <cellStyle name="Обычный 7 6 6 51 3" xfId="24169"/>
    <cellStyle name="Обычный 7 6 6 52" xfId="24170"/>
    <cellStyle name="Обычный 7 6 6 52 2" xfId="24171"/>
    <cellStyle name="Обычный 7 6 6 52 3" xfId="24172"/>
    <cellStyle name="Обычный 7 6 6 53" xfId="24173"/>
    <cellStyle name="Обычный 7 6 6 53 2" xfId="24174"/>
    <cellStyle name="Обычный 7 6 6 53 3" xfId="24175"/>
    <cellStyle name="Обычный 7 6 6 54" xfId="24176"/>
    <cellStyle name="Обычный 7 6 6 54 2" xfId="24177"/>
    <cellStyle name="Обычный 7 6 6 54 3" xfId="24178"/>
    <cellStyle name="Обычный 7 6 6 55" xfId="24179"/>
    <cellStyle name="Обычный 7 6 6 55 2" xfId="24180"/>
    <cellStyle name="Обычный 7 6 6 55 3" xfId="24181"/>
    <cellStyle name="Обычный 7 6 6 56" xfId="24182"/>
    <cellStyle name="Обычный 7 6 6 56 2" xfId="24183"/>
    <cellStyle name="Обычный 7 6 6 56 3" xfId="24184"/>
    <cellStyle name="Обычный 7 6 6 57" xfId="24185"/>
    <cellStyle name="Обычный 7 6 6 57 2" xfId="24186"/>
    <cellStyle name="Обычный 7 6 6 57 3" xfId="24187"/>
    <cellStyle name="Обычный 7 6 6 58" xfId="24188"/>
    <cellStyle name="Обычный 7 6 6 58 2" xfId="24189"/>
    <cellStyle name="Обычный 7 6 6 58 3" xfId="24190"/>
    <cellStyle name="Обычный 7 6 6 59" xfId="24191"/>
    <cellStyle name="Обычный 7 6 6 59 2" xfId="24192"/>
    <cellStyle name="Обычный 7 6 6 59 3" xfId="24193"/>
    <cellStyle name="Обычный 7 6 6 6" xfId="24194"/>
    <cellStyle name="Обычный 7 6 6 6 2" xfId="24195"/>
    <cellStyle name="Обычный 7 6 6 6 3" xfId="24196"/>
    <cellStyle name="Обычный 7 6 6 60" xfId="24197"/>
    <cellStyle name="Обычный 7 6 6 60 2" xfId="24198"/>
    <cellStyle name="Обычный 7 6 6 60 3" xfId="24199"/>
    <cellStyle name="Обычный 7 6 6 61" xfId="24200"/>
    <cellStyle name="Обычный 7 6 6 61 2" xfId="24201"/>
    <cellStyle name="Обычный 7 6 6 61 3" xfId="24202"/>
    <cellStyle name="Обычный 7 6 6 62" xfId="24203"/>
    <cellStyle name="Обычный 7 6 6 62 2" xfId="24204"/>
    <cellStyle name="Обычный 7 6 6 62 3" xfId="24205"/>
    <cellStyle name="Обычный 7 6 6 63" xfId="24206"/>
    <cellStyle name="Обычный 7 6 6 63 2" xfId="24207"/>
    <cellStyle name="Обычный 7 6 6 63 3" xfId="24208"/>
    <cellStyle name="Обычный 7 6 6 64" xfId="24209"/>
    <cellStyle name="Обычный 7 6 6 65" xfId="24210"/>
    <cellStyle name="Обычный 7 6 6 7" xfId="24211"/>
    <cellStyle name="Обычный 7 6 6 7 2" xfId="24212"/>
    <cellStyle name="Обычный 7 6 6 7 3" xfId="24213"/>
    <cellStyle name="Обычный 7 6 6 8" xfId="24214"/>
    <cellStyle name="Обычный 7 6 6 8 2" xfId="24215"/>
    <cellStyle name="Обычный 7 6 6 8 3" xfId="24216"/>
    <cellStyle name="Обычный 7 6 6 9" xfId="24217"/>
    <cellStyle name="Обычный 7 6 6 9 2" xfId="24218"/>
    <cellStyle name="Обычный 7 6 6 9 3" xfId="24219"/>
    <cellStyle name="Обычный 7 6 60" xfId="24220"/>
    <cellStyle name="Обычный 7 6 60 2" xfId="24221"/>
    <cellStyle name="Обычный 7 6 60 3" xfId="24222"/>
    <cellStyle name="Обычный 7 6 61" xfId="24223"/>
    <cellStyle name="Обычный 7 6 61 2" xfId="24224"/>
    <cellStyle name="Обычный 7 6 61 3" xfId="24225"/>
    <cellStyle name="Обычный 7 6 62" xfId="24226"/>
    <cellStyle name="Обычный 7 6 62 2" xfId="24227"/>
    <cellStyle name="Обычный 7 6 62 3" xfId="24228"/>
    <cellStyle name="Обычный 7 6 63" xfId="24229"/>
    <cellStyle name="Обычный 7 6 63 2" xfId="24230"/>
    <cellStyle name="Обычный 7 6 63 3" xfId="24231"/>
    <cellStyle name="Обычный 7 6 64" xfId="24232"/>
    <cellStyle name="Обычный 7 6 64 2" xfId="24233"/>
    <cellStyle name="Обычный 7 6 64 3" xfId="24234"/>
    <cellStyle name="Обычный 7 6 65" xfId="24235"/>
    <cellStyle name="Обычный 7 6 65 2" xfId="24236"/>
    <cellStyle name="Обычный 7 6 65 3" xfId="24237"/>
    <cellStyle name="Обычный 7 6 66" xfId="24238"/>
    <cellStyle name="Обычный 7 6 66 2" xfId="24239"/>
    <cellStyle name="Обычный 7 6 66 3" xfId="24240"/>
    <cellStyle name="Обычный 7 6 67" xfId="24241"/>
    <cellStyle name="Обычный 7 6 67 2" xfId="24242"/>
    <cellStyle name="Обычный 7 6 67 3" xfId="24243"/>
    <cellStyle name="Обычный 7 6 68" xfId="24244"/>
    <cellStyle name="Обычный 7 6 68 2" xfId="24245"/>
    <cellStyle name="Обычный 7 6 68 3" xfId="24246"/>
    <cellStyle name="Обычный 7 6 69" xfId="24247"/>
    <cellStyle name="Обычный 7 6 69 2" xfId="24248"/>
    <cellStyle name="Обычный 7 6 69 3" xfId="24249"/>
    <cellStyle name="Обычный 7 6 7" xfId="24250"/>
    <cellStyle name="Обычный 7 6 7 10" xfId="24251"/>
    <cellStyle name="Обычный 7 6 7 10 2" xfId="24252"/>
    <cellStyle name="Обычный 7 6 7 10 3" xfId="24253"/>
    <cellStyle name="Обычный 7 6 7 11" xfId="24254"/>
    <cellStyle name="Обычный 7 6 7 11 2" xfId="24255"/>
    <cellStyle name="Обычный 7 6 7 11 3" xfId="24256"/>
    <cellStyle name="Обычный 7 6 7 12" xfId="24257"/>
    <cellStyle name="Обычный 7 6 7 12 2" xfId="24258"/>
    <cellStyle name="Обычный 7 6 7 12 3" xfId="24259"/>
    <cellStyle name="Обычный 7 6 7 13" xfId="24260"/>
    <cellStyle name="Обычный 7 6 7 13 2" xfId="24261"/>
    <cellStyle name="Обычный 7 6 7 13 3" xfId="24262"/>
    <cellStyle name="Обычный 7 6 7 14" xfId="24263"/>
    <cellStyle name="Обычный 7 6 7 14 2" xfId="24264"/>
    <cellStyle name="Обычный 7 6 7 14 3" xfId="24265"/>
    <cellStyle name="Обычный 7 6 7 15" xfId="24266"/>
    <cellStyle name="Обычный 7 6 7 15 2" xfId="24267"/>
    <cellStyle name="Обычный 7 6 7 15 3" xfId="24268"/>
    <cellStyle name="Обычный 7 6 7 16" xfId="24269"/>
    <cellStyle name="Обычный 7 6 7 16 2" xfId="24270"/>
    <cellStyle name="Обычный 7 6 7 16 3" xfId="24271"/>
    <cellStyle name="Обычный 7 6 7 17" xfId="24272"/>
    <cellStyle name="Обычный 7 6 7 17 2" xfId="24273"/>
    <cellStyle name="Обычный 7 6 7 17 3" xfId="24274"/>
    <cellStyle name="Обычный 7 6 7 18" xfId="24275"/>
    <cellStyle name="Обычный 7 6 7 18 2" xfId="24276"/>
    <cellStyle name="Обычный 7 6 7 18 3" xfId="24277"/>
    <cellStyle name="Обычный 7 6 7 19" xfId="24278"/>
    <cellStyle name="Обычный 7 6 7 19 2" xfId="24279"/>
    <cellStyle name="Обычный 7 6 7 19 3" xfId="24280"/>
    <cellStyle name="Обычный 7 6 7 2" xfId="24281"/>
    <cellStyle name="Обычный 7 6 7 2 2" xfId="24282"/>
    <cellStyle name="Обычный 7 6 7 2 3" xfId="24283"/>
    <cellStyle name="Обычный 7 6 7 20" xfId="24284"/>
    <cellStyle name="Обычный 7 6 7 20 2" xfId="24285"/>
    <cellStyle name="Обычный 7 6 7 20 3" xfId="24286"/>
    <cellStyle name="Обычный 7 6 7 21" xfId="24287"/>
    <cellStyle name="Обычный 7 6 7 21 2" xfId="24288"/>
    <cellStyle name="Обычный 7 6 7 21 3" xfId="24289"/>
    <cellStyle name="Обычный 7 6 7 22" xfId="24290"/>
    <cellStyle name="Обычный 7 6 7 22 2" xfId="24291"/>
    <cellStyle name="Обычный 7 6 7 22 3" xfId="24292"/>
    <cellStyle name="Обычный 7 6 7 23" xfId="24293"/>
    <cellStyle name="Обычный 7 6 7 23 2" xfId="24294"/>
    <cellStyle name="Обычный 7 6 7 23 3" xfId="24295"/>
    <cellStyle name="Обычный 7 6 7 24" xfId="24296"/>
    <cellStyle name="Обычный 7 6 7 24 2" xfId="24297"/>
    <cellStyle name="Обычный 7 6 7 24 3" xfId="24298"/>
    <cellStyle name="Обычный 7 6 7 25" xfId="24299"/>
    <cellStyle name="Обычный 7 6 7 25 2" xfId="24300"/>
    <cellStyle name="Обычный 7 6 7 25 3" xfId="24301"/>
    <cellStyle name="Обычный 7 6 7 26" xfId="24302"/>
    <cellStyle name="Обычный 7 6 7 26 2" xfId="24303"/>
    <cellStyle name="Обычный 7 6 7 26 3" xfId="24304"/>
    <cellStyle name="Обычный 7 6 7 27" xfId="24305"/>
    <cellStyle name="Обычный 7 6 7 27 2" xfId="24306"/>
    <cellStyle name="Обычный 7 6 7 27 3" xfId="24307"/>
    <cellStyle name="Обычный 7 6 7 28" xfId="24308"/>
    <cellStyle name="Обычный 7 6 7 28 2" xfId="24309"/>
    <cellStyle name="Обычный 7 6 7 28 3" xfId="24310"/>
    <cellStyle name="Обычный 7 6 7 29" xfId="24311"/>
    <cellStyle name="Обычный 7 6 7 29 2" xfId="24312"/>
    <cellStyle name="Обычный 7 6 7 29 3" xfId="24313"/>
    <cellStyle name="Обычный 7 6 7 3" xfId="24314"/>
    <cellStyle name="Обычный 7 6 7 3 2" xfId="24315"/>
    <cellStyle name="Обычный 7 6 7 3 3" xfId="24316"/>
    <cellStyle name="Обычный 7 6 7 30" xfId="24317"/>
    <cellStyle name="Обычный 7 6 7 30 2" xfId="24318"/>
    <cellStyle name="Обычный 7 6 7 30 3" xfId="24319"/>
    <cellStyle name="Обычный 7 6 7 31" xfId="24320"/>
    <cellStyle name="Обычный 7 6 7 31 2" xfId="24321"/>
    <cellStyle name="Обычный 7 6 7 31 3" xfId="24322"/>
    <cellStyle name="Обычный 7 6 7 32" xfId="24323"/>
    <cellStyle name="Обычный 7 6 7 32 2" xfId="24324"/>
    <cellStyle name="Обычный 7 6 7 32 3" xfId="24325"/>
    <cellStyle name="Обычный 7 6 7 33" xfId="24326"/>
    <cellStyle name="Обычный 7 6 7 33 2" xfId="24327"/>
    <cellStyle name="Обычный 7 6 7 33 3" xfId="24328"/>
    <cellStyle name="Обычный 7 6 7 34" xfId="24329"/>
    <cellStyle name="Обычный 7 6 7 34 2" xfId="24330"/>
    <cellStyle name="Обычный 7 6 7 34 3" xfId="24331"/>
    <cellStyle name="Обычный 7 6 7 35" xfId="24332"/>
    <cellStyle name="Обычный 7 6 7 35 2" xfId="24333"/>
    <cellStyle name="Обычный 7 6 7 35 3" xfId="24334"/>
    <cellStyle name="Обычный 7 6 7 36" xfId="24335"/>
    <cellStyle name="Обычный 7 6 7 36 2" xfId="24336"/>
    <cellStyle name="Обычный 7 6 7 36 3" xfId="24337"/>
    <cellStyle name="Обычный 7 6 7 37" xfId="24338"/>
    <cellStyle name="Обычный 7 6 7 37 2" xfId="24339"/>
    <cellStyle name="Обычный 7 6 7 37 3" xfId="24340"/>
    <cellStyle name="Обычный 7 6 7 38" xfId="24341"/>
    <cellStyle name="Обычный 7 6 7 38 2" xfId="24342"/>
    <cellStyle name="Обычный 7 6 7 38 3" xfId="24343"/>
    <cellStyle name="Обычный 7 6 7 39" xfId="24344"/>
    <cellStyle name="Обычный 7 6 7 39 2" xfId="24345"/>
    <cellStyle name="Обычный 7 6 7 39 3" xfId="24346"/>
    <cellStyle name="Обычный 7 6 7 4" xfId="24347"/>
    <cellStyle name="Обычный 7 6 7 4 2" xfId="24348"/>
    <cellStyle name="Обычный 7 6 7 4 3" xfId="24349"/>
    <cellStyle name="Обычный 7 6 7 40" xfId="24350"/>
    <cellStyle name="Обычный 7 6 7 40 2" xfId="24351"/>
    <cellStyle name="Обычный 7 6 7 40 3" xfId="24352"/>
    <cellStyle name="Обычный 7 6 7 41" xfId="24353"/>
    <cellStyle name="Обычный 7 6 7 41 2" xfId="24354"/>
    <cellStyle name="Обычный 7 6 7 41 3" xfId="24355"/>
    <cellStyle name="Обычный 7 6 7 42" xfId="24356"/>
    <cellStyle name="Обычный 7 6 7 42 2" xfId="24357"/>
    <cellStyle name="Обычный 7 6 7 42 3" xfId="24358"/>
    <cellStyle name="Обычный 7 6 7 43" xfId="24359"/>
    <cellStyle name="Обычный 7 6 7 43 2" xfId="24360"/>
    <cellStyle name="Обычный 7 6 7 43 3" xfId="24361"/>
    <cellStyle name="Обычный 7 6 7 44" xfId="24362"/>
    <cellStyle name="Обычный 7 6 7 44 2" xfId="24363"/>
    <cellStyle name="Обычный 7 6 7 44 3" xfId="24364"/>
    <cellStyle name="Обычный 7 6 7 45" xfId="24365"/>
    <cellStyle name="Обычный 7 6 7 45 2" xfId="24366"/>
    <cellStyle name="Обычный 7 6 7 45 3" xfId="24367"/>
    <cellStyle name="Обычный 7 6 7 46" xfId="24368"/>
    <cellStyle name="Обычный 7 6 7 46 2" xfId="24369"/>
    <cellStyle name="Обычный 7 6 7 46 3" xfId="24370"/>
    <cellStyle name="Обычный 7 6 7 47" xfId="24371"/>
    <cellStyle name="Обычный 7 6 7 47 2" xfId="24372"/>
    <cellStyle name="Обычный 7 6 7 47 3" xfId="24373"/>
    <cellStyle name="Обычный 7 6 7 48" xfId="24374"/>
    <cellStyle name="Обычный 7 6 7 48 2" xfId="24375"/>
    <cellStyle name="Обычный 7 6 7 48 3" xfId="24376"/>
    <cellStyle name="Обычный 7 6 7 49" xfId="24377"/>
    <cellStyle name="Обычный 7 6 7 49 2" xfId="24378"/>
    <cellStyle name="Обычный 7 6 7 49 3" xfId="24379"/>
    <cellStyle name="Обычный 7 6 7 5" xfId="24380"/>
    <cellStyle name="Обычный 7 6 7 5 2" xfId="24381"/>
    <cellStyle name="Обычный 7 6 7 5 3" xfId="24382"/>
    <cellStyle name="Обычный 7 6 7 50" xfId="24383"/>
    <cellStyle name="Обычный 7 6 7 50 2" xfId="24384"/>
    <cellStyle name="Обычный 7 6 7 50 3" xfId="24385"/>
    <cellStyle name="Обычный 7 6 7 51" xfId="24386"/>
    <cellStyle name="Обычный 7 6 7 51 2" xfId="24387"/>
    <cellStyle name="Обычный 7 6 7 51 3" xfId="24388"/>
    <cellStyle name="Обычный 7 6 7 52" xfId="24389"/>
    <cellStyle name="Обычный 7 6 7 52 2" xfId="24390"/>
    <cellStyle name="Обычный 7 6 7 52 3" xfId="24391"/>
    <cellStyle name="Обычный 7 6 7 53" xfId="24392"/>
    <cellStyle name="Обычный 7 6 7 53 2" xfId="24393"/>
    <cellStyle name="Обычный 7 6 7 53 3" xfId="24394"/>
    <cellStyle name="Обычный 7 6 7 54" xfId="24395"/>
    <cellStyle name="Обычный 7 6 7 54 2" xfId="24396"/>
    <cellStyle name="Обычный 7 6 7 54 3" xfId="24397"/>
    <cellStyle name="Обычный 7 6 7 55" xfId="24398"/>
    <cellStyle name="Обычный 7 6 7 55 2" xfId="24399"/>
    <cellStyle name="Обычный 7 6 7 55 3" xfId="24400"/>
    <cellStyle name="Обычный 7 6 7 56" xfId="24401"/>
    <cellStyle name="Обычный 7 6 7 56 2" xfId="24402"/>
    <cellStyle name="Обычный 7 6 7 56 3" xfId="24403"/>
    <cellStyle name="Обычный 7 6 7 57" xfId="24404"/>
    <cellStyle name="Обычный 7 6 7 57 2" xfId="24405"/>
    <cellStyle name="Обычный 7 6 7 57 3" xfId="24406"/>
    <cellStyle name="Обычный 7 6 7 58" xfId="24407"/>
    <cellStyle name="Обычный 7 6 7 58 2" xfId="24408"/>
    <cellStyle name="Обычный 7 6 7 58 3" xfId="24409"/>
    <cellStyle name="Обычный 7 6 7 59" xfId="24410"/>
    <cellStyle name="Обычный 7 6 7 59 2" xfId="24411"/>
    <cellStyle name="Обычный 7 6 7 59 3" xfId="24412"/>
    <cellStyle name="Обычный 7 6 7 6" xfId="24413"/>
    <cellStyle name="Обычный 7 6 7 6 2" xfId="24414"/>
    <cellStyle name="Обычный 7 6 7 6 3" xfId="24415"/>
    <cellStyle name="Обычный 7 6 7 60" xfId="24416"/>
    <cellStyle name="Обычный 7 6 7 60 2" xfId="24417"/>
    <cellStyle name="Обычный 7 6 7 60 3" xfId="24418"/>
    <cellStyle name="Обычный 7 6 7 61" xfId="24419"/>
    <cellStyle name="Обычный 7 6 7 61 2" xfId="24420"/>
    <cellStyle name="Обычный 7 6 7 61 3" xfId="24421"/>
    <cellStyle name="Обычный 7 6 7 62" xfId="24422"/>
    <cellStyle name="Обычный 7 6 7 62 2" xfId="24423"/>
    <cellStyle name="Обычный 7 6 7 62 3" xfId="24424"/>
    <cellStyle name="Обычный 7 6 7 63" xfId="24425"/>
    <cellStyle name="Обычный 7 6 7 63 2" xfId="24426"/>
    <cellStyle name="Обычный 7 6 7 63 3" xfId="24427"/>
    <cellStyle name="Обычный 7 6 7 64" xfId="24428"/>
    <cellStyle name="Обычный 7 6 7 65" xfId="24429"/>
    <cellStyle name="Обычный 7 6 7 7" xfId="24430"/>
    <cellStyle name="Обычный 7 6 7 7 2" xfId="24431"/>
    <cellStyle name="Обычный 7 6 7 7 3" xfId="24432"/>
    <cellStyle name="Обычный 7 6 7 8" xfId="24433"/>
    <cellStyle name="Обычный 7 6 7 8 2" xfId="24434"/>
    <cellStyle name="Обычный 7 6 7 8 3" xfId="24435"/>
    <cellStyle name="Обычный 7 6 7 9" xfId="24436"/>
    <cellStyle name="Обычный 7 6 7 9 2" xfId="24437"/>
    <cellStyle name="Обычный 7 6 7 9 3" xfId="24438"/>
    <cellStyle name="Обычный 7 6 70" xfId="24439"/>
    <cellStyle name="Обычный 7 6 70 2" xfId="24440"/>
    <cellStyle name="Обычный 7 6 70 3" xfId="24441"/>
    <cellStyle name="Обычный 7 6 71" xfId="24442"/>
    <cellStyle name="Обычный 7 6 72" xfId="24443"/>
    <cellStyle name="Обычный 7 6 8" xfId="24444"/>
    <cellStyle name="Обычный 7 6 8 10" xfId="24445"/>
    <cellStyle name="Обычный 7 6 8 10 2" xfId="24446"/>
    <cellStyle name="Обычный 7 6 8 10 3" xfId="24447"/>
    <cellStyle name="Обычный 7 6 8 11" xfId="24448"/>
    <cellStyle name="Обычный 7 6 8 11 2" xfId="24449"/>
    <cellStyle name="Обычный 7 6 8 11 3" xfId="24450"/>
    <cellStyle name="Обычный 7 6 8 12" xfId="24451"/>
    <cellStyle name="Обычный 7 6 8 12 2" xfId="24452"/>
    <cellStyle name="Обычный 7 6 8 12 3" xfId="24453"/>
    <cellStyle name="Обычный 7 6 8 13" xfId="24454"/>
    <cellStyle name="Обычный 7 6 8 13 2" xfId="24455"/>
    <cellStyle name="Обычный 7 6 8 13 3" xfId="24456"/>
    <cellStyle name="Обычный 7 6 8 14" xfId="24457"/>
    <cellStyle name="Обычный 7 6 8 14 2" xfId="24458"/>
    <cellStyle name="Обычный 7 6 8 14 3" xfId="24459"/>
    <cellStyle name="Обычный 7 6 8 15" xfId="24460"/>
    <cellStyle name="Обычный 7 6 8 15 2" xfId="24461"/>
    <cellStyle name="Обычный 7 6 8 15 3" xfId="24462"/>
    <cellStyle name="Обычный 7 6 8 16" xfId="24463"/>
    <cellStyle name="Обычный 7 6 8 16 2" xfId="24464"/>
    <cellStyle name="Обычный 7 6 8 16 3" xfId="24465"/>
    <cellStyle name="Обычный 7 6 8 17" xfId="24466"/>
    <cellStyle name="Обычный 7 6 8 17 2" xfId="24467"/>
    <cellStyle name="Обычный 7 6 8 17 3" xfId="24468"/>
    <cellStyle name="Обычный 7 6 8 18" xfId="24469"/>
    <cellStyle name="Обычный 7 6 8 18 2" xfId="24470"/>
    <cellStyle name="Обычный 7 6 8 18 3" xfId="24471"/>
    <cellStyle name="Обычный 7 6 8 19" xfId="24472"/>
    <cellStyle name="Обычный 7 6 8 19 2" xfId="24473"/>
    <cellStyle name="Обычный 7 6 8 19 3" xfId="24474"/>
    <cellStyle name="Обычный 7 6 8 2" xfId="24475"/>
    <cellStyle name="Обычный 7 6 8 2 2" xfId="24476"/>
    <cellStyle name="Обычный 7 6 8 2 3" xfId="24477"/>
    <cellStyle name="Обычный 7 6 8 20" xfId="24478"/>
    <cellStyle name="Обычный 7 6 8 20 2" xfId="24479"/>
    <cellStyle name="Обычный 7 6 8 20 3" xfId="24480"/>
    <cellStyle name="Обычный 7 6 8 21" xfId="24481"/>
    <cellStyle name="Обычный 7 6 8 21 2" xfId="24482"/>
    <cellStyle name="Обычный 7 6 8 21 3" xfId="24483"/>
    <cellStyle name="Обычный 7 6 8 22" xfId="24484"/>
    <cellStyle name="Обычный 7 6 8 22 2" xfId="24485"/>
    <cellStyle name="Обычный 7 6 8 22 3" xfId="24486"/>
    <cellStyle name="Обычный 7 6 8 23" xfId="24487"/>
    <cellStyle name="Обычный 7 6 8 23 2" xfId="24488"/>
    <cellStyle name="Обычный 7 6 8 23 3" xfId="24489"/>
    <cellStyle name="Обычный 7 6 8 24" xfId="24490"/>
    <cellStyle name="Обычный 7 6 8 24 2" xfId="24491"/>
    <cellStyle name="Обычный 7 6 8 24 3" xfId="24492"/>
    <cellStyle name="Обычный 7 6 8 25" xfId="24493"/>
    <cellStyle name="Обычный 7 6 8 25 2" xfId="24494"/>
    <cellStyle name="Обычный 7 6 8 25 3" xfId="24495"/>
    <cellStyle name="Обычный 7 6 8 26" xfId="24496"/>
    <cellStyle name="Обычный 7 6 8 26 2" xfId="24497"/>
    <cellStyle name="Обычный 7 6 8 26 3" xfId="24498"/>
    <cellStyle name="Обычный 7 6 8 27" xfId="24499"/>
    <cellStyle name="Обычный 7 6 8 27 2" xfId="24500"/>
    <cellStyle name="Обычный 7 6 8 27 3" xfId="24501"/>
    <cellStyle name="Обычный 7 6 8 28" xfId="24502"/>
    <cellStyle name="Обычный 7 6 8 28 2" xfId="24503"/>
    <cellStyle name="Обычный 7 6 8 28 3" xfId="24504"/>
    <cellStyle name="Обычный 7 6 8 29" xfId="24505"/>
    <cellStyle name="Обычный 7 6 8 29 2" xfId="24506"/>
    <cellStyle name="Обычный 7 6 8 29 3" xfId="24507"/>
    <cellStyle name="Обычный 7 6 8 3" xfId="24508"/>
    <cellStyle name="Обычный 7 6 8 3 2" xfId="24509"/>
    <cellStyle name="Обычный 7 6 8 3 3" xfId="24510"/>
    <cellStyle name="Обычный 7 6 8 30" xfId="24511"/>
    <cellStyle name="Обычный 7 6 8 30 2" xfId="24512"/>
    <cellStyle name="Обычный 7 6 8 30 3" xfId="24513"/>
    <cellStyle name="Обычный 7 6 8 31" xfId="24514"/>
    <cellStyle name="Обычный 7 6 8 31 2" xfId="24515"/>
    <cellStyle name="Обычный 7 6 8 31 3" xfId="24516"/>
    <cellStyle name="Обычный 7 6 8 32" xfId="24517"/>
    <cellStyle name="Обычный 7 6 8 32 2" xfId="24518"/>
    <cellStyle name="Обычный 7 6 8 32 3" xfId="24519"/>
    <cellStyle name="Обычный 7 6 8 33" xfId="24520"/>
    <cellStyle name="Обычный 7 6 8 33 2" xfId="24521"/>
    <cellStyle name="Обычный 7 6 8 33 3" xfId="24522"/>
    <cellStyle name="Обычный 7 6 8 34" xfId="24523"/>
    <cellStyle name="Обычный 7 6 8 34 2" xfId="24524"/>
    <cellStyle name="Обычный 7 6 8 34 3" xfId="24525"/>
    <cellStyle name="Обычный 7 6 8 35" xfId="24526"/>
    <cellStyle name="Обычный 7 6 8 35 2" xfId="24527"/>
    <cellStyle name="Обычный 7 6 8 35 3" xfId="24528"/>
    <cellStyle name="Обычный 7 6 8 36" xfId="24529"/>
    <cellStyle name="Обычный 7 6 8 36 2" xfId="24530"/>
    <cellStyle name="Обычный 7 6 8 36 3" xfId="24531"/>
    <cellStyle name="Обычный 7 6 8 37" xfId="24532"/>
    <cellStyle name="Обычный 7 6 8 37 2" xfId="24533"/>
    <cellStyle name="Обычный 7 6 8 37 3" xfId="24534"/>
    <cellStyle name="Обычный 7 6 8 38" xfId="24535"/>
    <cellStyle name="Обычный 7 6 8 38 2" xfId="24536"/>
    <cellStyle name="Обычный 7 6 8 38 3" xfId="24537"/>
    <cellStyle name="Обычный 7 6 8 39" xfId="24538"/>
    <cellStyle name="Обычный 7 6 8 39 2" xfId="24539"/>
    <cellStyle name="Обычный 7 6 8 39 3" xfId="24540"/>
    <cellStyle name="Обычный 7 6 8 4" xfId="24541"/>
    <cellStyle name="Обычный 7 6 8 4 2" xfId="24542"/>
    <cellStyle name="Обычный 7 6 8 4 3" xfId="24543"/>
    <cellStyle name="Обычный 7 6 8 40" xfId="24544"/>
    <cellStyle name="Обычный 7 6 8 40 2" xfId="24545"/>
    <cellStyle name="Обычный 7 6 8 40 3" xfId="24546"/>
    <cellStyle name="Обычный 7 6 8 41" xfId="24547"/>
    <cellStyle name="Обычный 7 6 8 41 2" xfId="24548"/>
    <cellStyle name="Обычный 7 6 8 41 3" xfId="24549"/>
    <cellStyle name="Обычный 7 6 8 42" xfId="24550"/>
    <cellStyle name="Обычный 7 6 8 42 2" xfId="24551"/>
    <cellStyle name="Обычный 7 6 8 42 3" xfId="24552"/>
    <cellStyle name="Обычный 7 6 8 43" xfId="24553"/>
    <cellStyle name="Обычный 7 6 8 43 2" xfId="24554"/>
    <cellStyle name="Обычный 7 6 8 43 3" xfId="24555"/>
    <cellStyle name="Обычный 7 6 8 44" xfId="24556"/>
    <cellStyle name="Обычный 7 6 8 44 2" xfId="24557"/>
    <cellStyle name="Обычный 7 6 8 44 3" xfId="24558"/>
    <cellStyle name="Обычный 7 6 8 45" xfId="24559"/>
    <cellStyle name="Обычный 7 6 8 45 2" xfId="24560"/>
    <cellStyle name="Обычный 7 6 8 45 3" xfId="24561"/>
    <cellStyle name="Обычный 7 6 8 46" xfId="24562"/>
    <cellStyle name="Обычный 7 6 8 46 2" xfId="24563"/>
    <cellStyle name="Обычный 7 6 8 46 3" xfId="24564"/>
    <cellStyle name="Обычный 7 6 8 47" xfId="24565"/>
    <cellStyle name="Обычный 7 6 8 47 2" xfId="24566"/>
    <cellStyle name="Обычный 7 6 8 47 3" xfId="24567"/>
    <cellStyle name="Обычный 7 6 8 48" xfId="24568"/>
    <cellStyle name="Обычный 7 6 8 48 2" xfId="24569"/>
    <cellStyle name="Обычный 7 6 8 48 3" xfId="24570"/>
    <cellStyle name="Обычный 7 6 8 49" xfId="24571"/>
    <cellStyle name="Обычный 7 6 8 49 2" xfId="24572"/>
    <cellStyle name="Обычный 7 6 8 49 3" xfId="24573"/>
    <cellStyle name="Обычный 7 6 8 5" xfId="24574"/>
    <cellStyle name="Обычный 7 6 8 5 2" xfId="24575"/>
    <cellStyle name="Обычный 7 6 8 5 3" xfId="24576"/>
    <cellStyle name="Обычный 7 6 8 50" xfId="24577"/>
    <cellStyle name="Обычный 7 6 8 50 2" xfId="24578"/>
    <cellStyle name="Обычный 7 6 8 50 3" xfId="24579"/>
    <cellStyle name="Обычный 7 6 8 51" xfId="24580"/>
    <cellStyle name="Обычный 7 6 8 51 2" xfId="24581"/>
    <cellStyle name="Обычный 7 6 8 51 3" xfId="24582"/>
    <cellStyle name="Обычный 7 6 8 52" xfId="24583"/>
    <cellStyle name="Обычный 7 6 8 52 2" xfId="24584"/>
    <cellStyle name="Обычный 7 6 8 52 3" xfId="24585"/>
    <cellStyle name="Обычный 7 6 8 53" xfId="24586"/>
    <cellStyle name="Обычный 7 6 8 53 2" xfId="24587"/>
    <cellStyle name="Обычный 7 6 8 53 3" xfId="24588"/>
    <cellStyle name="Обычный 7 6 8 54" xfId="24589"/>
    <cellStyle name="Обычный 7 6 8 54 2" xfId="24590"/>
    <cellStyle name="Обычный 7 6 8 54 3" xfId="24591"/>
    <cellStyle name="Обычный 7 6 8 55" xfId="24592"/>
    <cellStyle name="Обычный 7 6 8 55 2" xfId="24593"/>
    <cellStyle name="Обычный 7 6 8 55 3" xfId="24594"/>
    <cellStyle name="Обычный 7 6 8 56" xfId="24595"/>
    <cellStyle name="Обычный 7 6 8 56 2" xfId="24596"/>
    <cellStyle name="Обычный 7 6 8 56 3" xfId="24597"/>
    <cellStyle name="Обычный 7 6 8 57" xfId="24598"/>
    <cellStyle name="Обычный 7 6 8 57 2" xfId="24599"/>
    <cellStyle name="Обычный 7 6 8 57 3" xfId="24600"/>
    <cellStyle name="Обычный 7 6 8 58" xfId="24601"/>
    <cellStyle name="Обычный 7 6 8 58 2" xfId="24602"/>
    <cellStyle name="Обычный 7 6 8 58 3" xfId="24603"/>
    <cellStyle name="Обычный 7 6 8 59" xfId="24604"/>
    <cellStyle name="Обычный 7 6 8 59 2" xfId="24605"/>
    <cellStyle name="Обычный 7 6 8 59 3" xfId="24606"/>
    <cellStyle name="Обычный 7 6 8 6" xfId="24607"/>
    <cellStyle name="Обычный 7 6 8 6 2" xfId="24608"/>
    <cellStyle name="Обычный 7 6 8 6 3" xfId="24609"/>
    <cellStyle name="Обычный 7 6 8 60" xfId="24610"/>
    <cellStyle name="Обычный 7 6 8 60 2" xfId="24611"/>
    <cellStyle name="Обычный 7 6 8 60 3" xfId="24612"/>
    <cellStyle name="Обычный 7 6 8 61" xfId="24613"/>
    <cellStyle name="Обычный 7 6 8 61 2" xfId="24614"/>
    <cellStyle name="Обычный 7 6 8 61 3" xfId="24615"/>
    <cellStyle name="Обычный 7 6 8 62" xfId="24616"/>
    <cellStyle name="Обычный 7 6 8 62 2" xfId="24617"/>
    <cellStyle name="Обычный 7 6 8 62 3" xfId="24618"/>
    <cellStyle name="Обычный 7 6 8 63" xfId="24619"/>
    <cellStyle name="Обычный 7 6 8 63 2" xfId="24620"/>
    <cellStyle name="Обычный 7 6 8 63 3" xfId="24621"/>
    <cellStyle name="Обычный 7 6 8 64" xfId="24622"/>
    <cellStyle name="Обычный 7 6 8 65" xfId="24623"/>
    <cellStyle name="Обычный 7 6 8 7" xfId="24624"/>
    <cellStyle name="Обычный 7 6 8 7 2" xfId="24625"/>
    <cellStyle name="Обычный 7 6 8 7 3" xfId="24626"/>
    <cellStyle name="Обычный 7 6 8 8" xfId="24627"/>
    <cellStyle name="Обычный 7 6 8 8 2" xfId="24628"/>
    <cellStyle name="Обычный 7 6 8 8 3" xfId="24629"/>
    <cellStyle name="Обычный 7 6 8 9" xfId="24630"/>
    <cellStyle name="Обычный 7 6 8 9 2" xfId="24631"/>
    <cellStyle name="Обычный 7 6 8 9 3" xfId="24632"/>
    <cellStyle name="Обычный 7 6 9" xfId="24633"/>
    <cellStyle name="Обычный 7 6 9 2" xfId="24634"/>
    <cellStyle name="Обычный 7 6 9 3" xfId="24635"/>
    <cellStyle name="Обычный 7 60" xfId="24636"/>
    <cellStyle name="Обычный 7 60 2" xfId="24637"/>
    <cellStyle name="Обычный 7 60 3" xfId="24638"/>
    <cellStyle name="Обычный 7 61" xfId="24639"/>
    <cellStyle name="Обычный 7 61 2" xfId="24640"/>
    <cellStyle name="Обычный 7 61 3" xfId="24641"/>
    <cellStyle name="Обычный 7 62" xfId="24642"/>
    <cellStyle name="Обычный 7 62 2" xfId="24643"/>
    <cellStyle name="Обычный 7 62 3" xfId="24644"/>
    <cellStyle name="Обычный 7 63" xfId="24645"/>
    <cellStyle name="Обычный 7 63 2" xfId="24646"/>
    <cellStyle name="Обычный 7 63 3" xfId="24647"/>
    <cellStyle name="Обычный 7 64" xfId="24648"/>
    <cellStyle name="Обычный 7 64 2" xfId="24649"/>
    <cellStyle name="Обычный 7 64 3" xfId="24650"/>
    <cellStyle name="Обычный 7 65" xfId="24651"/>
    <cellStyle name="Обычный 7 65 2" xfId="24652"/>
    <cellStyle name="Обычный 7 65 3" xfId="24653"/>
    <cellStyle name="Обычный 7 66" xfId="24654"/>
    <cellStyle name="Обычный 7 66 2" xfId="24655"/>
    <cellStyle name="Обычный 7 66 3" xfId="24656"/>
    <cellStyle name="Обычный 7 67" xfId="24657"/>
    <cellStyle name="Обычный 7 67 2" xfId="24658"/>
    <cellStyle name="Обычный 7 67 3" xfId="24659"/>
    <cellStyle name="Обычный 7 68" xfId="24660"/>
    <cellStyle name="Обычный 7 68 2" xfId="24661"/>
    <cellStyle name="Обычный 7 68 3" xfId="24662"/>
    <cellStyle name="Обычный 7 69" xfId="24663"/>
    <cellStyle name="Обычный 7 69 2" xfId="24664"/>
    <cellStyle name="Обычный 7 69 3" xfId="24665"/>
    <cellStyle name="Обычный 7 7" xfId="24666"/>
    <cellStyle name="Обычный 7 7 10" xfId="24667"/>
    <cellStyle name="Обычный 7 7 10 2" xfId="24668"/>
    <cellStyle name="Обычный 7 7 10 3" xfId="24669"/>
    <cellStyle name="Обычный 7 7 11" xfId="24670"/>
    <cellStyle name="Обычный 7 7 11 2" xfId="24671"/>
    <cellStyle name="Обычный 7 7 11 3" xfId="24672"/>
    <cellStyle name="Обычный 7 7 12" xfId="24673"/>
    <cellStyle name="Обычный 7 7 12 2" xfId="24674"/>
    <cellStyle name="Обычный 7 7 12 3" xfId="24675"/>
    <cellStyle name="Обычный 7 7 13" xfId="24676"/>
    <cellStyle name="Обычный 7 7 13 2" xfId="24677"/>
    <cellStyle name="Обычный 7 7 13 3" xfId="24678"/>
    <cellStyle name="Обычный 7 7 14" xfId="24679"/>
    <cellStyle name="Обычный 7 7 14 2" xfId="24680"/>
    <cellStyle name="Обычный 7 7 14 3" xfId="24681"/>
    <cellStyle name="Обычный 7 7 15" xfId="24682"/>
    <cellStyle name="Обычный 7 7 15 2" xfId="24683"/>
    <cellStyle name="Обычный 7 7 15 3" xfId="24684"/>
    <cellStyle name="Обычный 7 7 16" xfId="24685"/>
    <cellStyle name="Обычный 7 7 16 2" xfId="24686"/>
    <cellStyle name="Обычный 7 7 16 3" xfId="24687"/>
    <cellStyle name="Обычный 7 7 17" xfId="24688"/>
    <cellStyle name="Обычный 7 7 17 2" xfId="24689"/>
    <cellStyle name="Обычный 7 7 17 3" xfId="24690"/>
    <cellStyle name="Обычный 7 7 18" xfId="24691"/>
    <cellStyle name="Обычный 7 7 18 2" xfId="24692"/>
    <cellStyle name="Обычный 7 7 18 3" xfId="24693"/>
    <cellStyle name="Обычный 7 7 19" xfId="24694"/>
    <cellStyle name="Обычный 7 7 19 2" xfId="24695"/>
    <cellStyle name="Обычный 7 7 19 3" xfId="24696"/>
    <cellStyle name="Обычный 7 7 2" xfId="24697"/>
    <cellStyle name="Обычный 7 7 2 10" xfId="24698"/>
    <cellStyle name="Обычный 7 7 2 10 2" xfId="24699"/>
    <cellStyle name="Обычный 7 7 2 10 3" xfId="24700"/>
    <cellStyle name="Обычный 7 7 2 11" xfId="24701"/>
    <cellStyle name="Обычный 7 7 2 11 2" xfId="24702"/>
    <cellStyle name="Обычный 7 7 2 11 3" xfId="24703"/>
    <cellStyle name="Обычный 7 7 2 12" xfId="24704"/>
    <cellStyle name="Обычный 7 7 2 12 2" xfId="24705"/>
    <cellStyle name="Обычный 7 7 2 12 3" xfId="24706"/>
    <cellStyle name="Обычный 7 7 2 13" xfId="24707"/>
    <cellStyle name="Обычный 7 7 2 13 2" xfId="24708"/>
    <cellStyle name="Обычный 7 7 2 13 3" xfId="24709"/>
    <cellStyle name="Обычный 7 7 2 14" xfId="24710"/>
    <cellStyle name="Обычный 7 7 2 14 2" xfId="24711"/>
    <cellStyle name="Обычный 7 7 2 14 3" xfId="24712"/>
    <cellStyle name="Обычный 7 7 2 15" xfId="24713"/>
    <cellStyle name="Обычный 7 7 2 15 2" xfId="24714"/>
    <cellStyle name="Обычный 7 7 2 15 3" xfId="24715"/>
    <cellStyle name="Обычный 7 7 2 16" xfId="24716"/>
    <cellStyle name="Обычный 7 7 2 16 2" xfId="24717"/>
    <cellStyle name="Обычный 7 7 2 16 3" xfId="24718"/>
    <cellStyle name="Обычный 7 7 2 17" xfId="24719"/>
    <cellStyle name="Обычный 7 7 2 17 2" xfId="24720"/>
    <cellStyle name="Обычный 7 7 2 17 3" xfId="24721"/>
    <cellStyle name="Обычный 7 7 2 18" xfId="24722"/>
    <cellStyle name="Обычный 7 7 2 18 2" xfId="24723"/>
    <cellStyle name="Обычный 7 7 2 18 3" xfId="24724"/>
    <cellStyle name="Обычный 7 7 2 19" xfId="24725"/>
    <cellStyle name="Обычный 7 7 2 19 2" xfId="24726"/>
    <cellStyle name="Обычный 7 7 2 19 3" xfId="24727"/>
    <cellStyle name="Обычный 7 7 2 2" xfId="24728"/>
    <cellStyle name="Обычный 7 7 2 2 2" xfId="24729"/>
    <cellStyle name="Обычный 7 7 2 2 3" xfId="24730"/>
    <cellStyle name="Обычный 7 7 2 20" xfId="24731"/>
    <cellStyle name="Обычный 7 7 2 20 2" xfId="24732"/>
    <cellStyle name="Обычный 7 7 2 20 3" xfId="24733"/>
    <cellStyle name="Обычный 7 7 2 21" xfId="24734"/>
    <cellStyle name="Обычный 7 7 2 21 2" xfId="24735"/>
    <cellStyle name="Обычный 7 7 2 21 3" xfId="24736"/>
    <cellStyle name="Обычный 7 7 2 22" xfId="24737"/>
    <cellStyle name="Обычный 7 7 2 22 2" xfId="24738"/>
    <cellStyle name="Обычный 7 7 2 22 3" xfId="24739"/>
    <cellStyle name="Обычный 7 7 2 23" xfId="24740"/>
    <cellStyle name="Обычный 7 7 2 23 2" xfId="24741"/>
    <cellStyle name="Обычный 7 7 2 23 3" xfId="24742"/>
    <cellStyle name="Обычный 7 7 2 24" xfId="24743"/>
    <cellStyle name="Обычный 7 7 2 24 2" xfId="24744"/>
    <cellStyle name="Обычный 7 7 2 24 3" xfId="24745"/>
    <cellStyle name="Обычный 7 7 2 25" xfId="24746"/>
    <cellStyle name="Обычный 7 7 2 25 2" xfId="24747"/>
    <cellStyle name="Обычный 7 7 2 25 3" xfId="24748"/>
    <cellStyle name="Обычный 7 7 2 26" xfId="24749"/>
    <cellStyle name="Обычный 7 7 2 26 2" xfId="24750"/>
    <cellStyle name="Обычный 7 7 2 26 3" xfId="24751"/>
    <cellStyle name="Обычный 7 7 2 27" xfId="24752"/>
    <cellStyle name="Обычный 7 7 2 27 2" xfId="24753"/>
    <cellStyle name="Обычный 7 7 2 27 3" xfId="24754"/>
    <cellStyle name="Обычный 7 7 2 28" xfId="24755"/>
    <cellStyle name="Обычный 7 7 2 28 2" xfId="24756"/>
    <cellStyle name="Обычный 7 7 2 28 3" xfId="24757"/>
    <cellStyle name="Обычный 7 7 2 29" xfId="24758"/>
    <cellStyle name="Обычный 7 7 2 29 2" xfId="24759"/>
    <cellStyle name="Обычный 7 7 2 29 3" xfId="24760"/>
    <cellStyle name="Обычный 7 7 2 3" xfId="24761"/>
    <cellStyle name="Обычный 7 7 2 3 2" xfId="24762"/>
    <cellStyle name="Обычный 7 7 2 3 3" xfId="24763"/>
    <cellStyle name="Обычный 7 7 2 30" xfId="24764"/>
    <cellStyle name="Обычный 7 7 2 30 2" xfId="24765"/>
    <cellStyle name="Обычный 7 7 2 30 3" xfId="24766"/>
    <cellStyle name="Обычный 7 7 2 31" xfId="24767"/>
    <cellStyle name="Обычный 7 7 2 31 2" xfId="24768"/>
    <cellStyle name="Обычный 7 7 2 31 3" xfId="24769"/>
    <cellStyle name="Обычный 7 7 2 32" xfId="24770"/>
    <cellStyle name="Обычный 7 7 2 32 2" xfId="24771"/>
    <cellStyle name="Обычный 7 7 2 32 3" xfId="24772"/>
    <cellStyle name="Обычный 7 7 2 33" xfId="24773"/>
    <cellStyle name="Обычный 7 7 2 33 2" xfId="24774"/>
    <cellStyle name="Обычный 7 7 2 33 3" xfId="24775"/>
    <cellStyle name="Обычный 7 7 2 34" xfId="24776"/>
    <cellStyle name="Обычный 7 7 2 34 2" xfId="24777"/>
    <cellStyle name="Обычный 7 7 2 34 3" xfId="24778"/>
    <cellStyle name="Обычный 7 7 2 35" xfId="24779"/>
    <cellStyle name="Обычный 7 7 2 35 2" xfId="24780"/>
    <cellStyle name="Обычный 7 7 2 35 3" xfId="24781"/>
    <cellStyle name="Обычный 7 7 2 36" xfId="24782"/>
    <cellStyle name="Обычный 7 7 2 36 2" xfId="24783"/>
    <cellStyle name="Обычный 7 7 2 36 3" xfId="24784"/>
    <cellStyle name="Обычный 7 7 2 37" xfId="24785"/>
    <cellStyle name="Обычный 7 7 2 37 2" xfId="24786"/>
    <cellStyle name="Обычный 7 7 2 37 3" xfId="24787"/>
    <cellStyle name="Обычный 7 7 2 38" xfId="24788"/>
    <cellStyle name="Обычный 7 7 2 38 2" xfId="24789"/>
    <cellStyle name="Обычный 7 7 2 38 3" xfId="24790"/>
    <cellStyle name="Обычный 7 7 2 39" xfId="24791"/>
    <cellStyle name="Обычный 7 7 2 39 2" xfId="24792"/>
    <cellStyle name="Обычный 7 7 2 39 3" xfId="24793"/>
    <cellStyle name="Обычный 7 7 2 4" xfId="24794"/>
    <cellStyle name="Обычный 7 7 2 4 2" xfId="24795"/>
    <cellStyle name="Обычный 7 7 2 4 3" xfId="24796"/>
    <cellStyle name="Обычный 7 7 2 40" xfId="24797"/>
    <cellStyle name="Обычный 7 7 2 40 2" xfId="24798"/>
    <cellStyle name="Обычный 7 7 2 40 3" xfId="24799"/>
    <cellStyle name="Обычный 7 7 2 41" xfId="24800"/>
    <cellStyle name="Обычный 7 7 2 41 2" xfId="24801"/>
    <cellStyle name="Обычный 7 7 2 41 3" xfId="24802"/>
    <cellStyle name="Обычный 7 7 2 42" xfId="24803"/>
    <cellStyle name="Обычный 7 7 2 42 2" xfId="24804"/>
    <cellStyle name="Обычный 7 7 2 42 3" xfId="24805"/>
    <cellStyle name="Обычный 7 7 2 43" xfId="24806"/>
    <cellStyle name="Обычный 7 7 2 43 2" xfId="24807"/>
    <cellStyle name="Обычный 7 7 2 43 3" xfId="24808"/>
    <cellStyle name="Обычный 7 7 2 44" xfId="24809"/>
    <cellStyle name="Обычный 7 7 2 44 2" xfId="24810"/>
    <cellStyle name="Обычный 7 7 2 44 3" xfId="24811"/>
    <cellStyle name="Обычный 7 7 2 45" xfId="24812"/>
    <cellStyle name="Обычный 7 7 2 45 2" xfId="24813"/>
    <cellStyle name="Обычный 7 7 2 45 3" xfId="24814"/>
    <cellStyle name="Обычный 7 7 2 46" xfId="24815"/>
    <cellStyle name="Обычный 7 7 2 46 2" xfId="24816"/>
    <cellStyle name="Обычный 7 7 2 46 3" xfId="24817"/>
    <cellStyle name="Обычный 7 7 2 47" xfId="24818"/>
    <cellStyle name="Обычный 7 7 2 47 2" xfId="24819"/>
    <cellStyle name="Обычный 7 7 2 47 3" xfId="24820"/>
    <cellStyle name="Обычный 7 7 2 48" xfId="24821"/>
    <cellStyle name="Обычный 7 7 2 48 2" xfId="24822"/>
    <cellStyle name="Обычный 7 7 2 48 3" xfId="24823"/>
    <cellStyle name="Обычный 7 7 2 49" xfId="24824"/>
    <cellStyle name="Обычный 7 7 2 49 2" xfId="24825"/>
    <cellStyle name="Обычный 7 7 2 49 3" xfId="24826"/>
    <cellStyle name="Обычный 7 7 2 5" xfId="24827"/>
    <cellStyle name="Обычный 7 7 2 5 2" xfId="24828"/>
    <cellStyle name="Обычный 7 7 2 5 3" xfId="24829"/>
    <cellStyle name="Обычный 7 7 2 50" xfId="24830"/>
    <cellStyle name="Обычный 7 7 2 50 2" xfId="24831"/>
    <cellStyle name="Обычный 7 7 2 50 3" xfId="24832"/>
    <cellStyle name="Обычный 7 7 2 51" xfId="24833"/>
    <cellStyle name="Обычный 7 7 2 51 2" xfId="24834"/>
    <cellStyle name="Обычный 7 7 2 51 3" xfId="24835"/>
    <cellStyle name="Обычный 7 7 2 52" xfId="24836"/>
    <cellStyle name="Обычный 7 7 2 52 2" xfId="24837"/>
    <cellStyle name="Обычный 7 7 2 52 3" xfId="24838"/>
    <cellStyle name="Обычный 7 7 2 53" xfId="24839"/>
    <cellStyle name="Обычный 7 7 2 53 2" xfId="24840"/>
    <cellStyle name="Обычный 7 7 2 53 3" xfId="24841"/>
    <cellStyle name="Обычный 7 7 2 54" xfId="24842"/>
    <cellStyle name="Обычный 7 7 2 54 2" xfId="24843"/>
    <cellStyle name="Обычный 7 7 2 54 3" xfId="24844"/>
    <cellStyle name="Обычный 7 7 2 55" xfId="24845"/>
    <cellStyle name="Обычный 7 7 2 55 2" xfId="24846"/>
    <cellStyle name="Обычный 7 7 2 55 3" xfId="24847"/>
    <cellStyle name="Обычный 7 7 2 56" xfId="24848"/>
    <cellStyle name="Обычный 7 7 2 56 2" xfId="24849"/>
    <cellStyle name="Обычный 7 7 2 56 3" xfId="24850"/>
    <cellStyle name="Обычный 7 7 2 57" xfId="24851"/>
    <cellStyle name="Обычный 7 7 2 57 2" xfId="24852"/>
    <cellStyle name="Обычный 7 7 2 57 3" xfId="24853"/>
    <cellStyle name="Обычный 7 7 2 58" xfId="24854"/>
    <cellStyle name="Обычный 7 7 2 58 2" xfId="24855"/>
    <cellStyle name="Обычный 7 7 2 58 3" xfId="24856"/>
    <cellStyle name="Обычный 7 7 2 59" xfId="24857"/>
    <cellStyle name="Обычный 7 7 2 59 2" xfId="24858"/>
    <cellStyle name="Обычный 7 7 2 59 3" xfId="24859"/>
    <cellStyle name="Обычный 7 7 2 6" xfId="24860"/>
    <cellStyle name="Обычный 7 7 2 6 2" xfId="24861"/>
    <cellStyle name="Обычный 7 7 2 6 3" xfId="24862"/>
    <cellStyle name="Обычный 7 7 2 60" xfId="24863"/>
    <cellStyle name="Обычный 7 7 2 60 2" xfId="24864"/>
    <cellStyle name="Обычный 7 7 2 60 3" xfId="24865"/>
    <cellStyle name="Обычный 7 7 2 61" xfId="24866"/>
    <cellStyle name="Обычный 7 7 2 61 2" xfId="24867"/>
    <cellStyle name="Обычный 7 7 2 61 3" xfId="24868"/>
    <cellStyle name="Обычный 7 7 2 62" xfId="24869"/>
    <cellStyle name="Обычный 7 7 2 62 2" xfId="24870"/>
    <cellStyle name="Обычный 7 7 2 62 3" xfId="24871"/>
    <cellStyle name="Обычный 7 7 2 63" xfId="24872"/>
    <cellStyle name="Обычный 7 7 2 63 2" xfId="24873"/>
    <cellStyle name="Обычный 7 7 2 63 3" xfId="24874"/>
    <cellStyle name="Обычный 7 7 2 64" xfId="24875"/>
    <cellStyle name="Обычный 7 7 2 65" xfId="24876"/>
    <cellStyle name="Обычный 7 7 2 7" xfId="24877"/>
    <cellStyle name="Обычный 7 7 2 7 2" xfId="24878"/>
    <cellStyle name="Обычный 7 7 2 7 3" xfId="24879"/>
    <cellStyle name="Обычный 7 7 2 8" xfId="24880"/>
    <cellStyle name="Обычный 7 7 2 8 2" xfId="24881"/>
    <cellStyle name="Обычный 7 7 2 8 3" xfId="24882"/>
    <cellStyle name="Обычный 7 7 2 9" xfId="24883"/>
    <cellStyle name="Обычный 7 7 2 9 2" xfId="24884"/>
    <cellStyle name="Обычный 7 7 2 9 3" xfId="24885"/>
    <cellStyle name="Обычный 7 7 20" xfId="24886"/>
    <cellStyle name="Обычный 7 7 20 2" xfId="24887"/>
    <cellStyle name="Обычный 7 7 20 3" xfId="24888"/>
    <cellStyle name="Обычный 7 7 21" xfId="24889"/>
    <cellStyle name="Обычный 7 7 21 2" xfId="24890"/>
    <cellStyle name="Обычный 7 7 21 3" xfId="24891"/>
    <cellStyle name="Обычный 7 7 22" xfId="24892"/>
    <cellStyle name="Обычный 7 7 22 2" xfId="24893"/>
    <cellStyle name="Обычный 7 7 22 3" xfId="24894"/>
    <cellStyle name="Обычный 7 7 23" xfId="24895"/>
    <cellStyle name="Обычный 7 7 23 2" xfId="24896"/>
    <cellStyle name="Обычный 7 7 23 3" xfId="24897"/>
    <cellStyle name="Обычный 7 7 24" xfId="24898"/>
    <cellStyle name="Обычный 7 7 24 2" xfId="24899"/>
    <cellStyle name="Обычный 7 7 24 3" xfId="24900"/>
    <cellStyle name="Обычный 7 7 25" xfId="24901"/>
    <cellStyle name="Обычный 7 7 25 2" xfId="24902"/>
    <cellStyle name="Обычный 7 7 25 3" xfId="24903"/>
    <cellStyle name="Обычный 7 7 26" xfId="24904"/>
    <cellStyle name="Обычный 7 7 26 2" xfId="24905"/>
    <cellStyle name="Обычный 7 7 26 3" xfId="24906"/>
    <cellStyle name="Обычный 7 7 27" xfId="24907"/>
    <cellStyle name="Обычный 7 7 27 2" xfId="24908"/>
    <cellStyle name="Обычный 7 7 27 3" xfId="24909"/>
    <cellStyle name="Обычный 7 7 28" xfId="24910"/>
    <cellStyle name="Обычный 7 7 28 2" xfId="24911"/>
    <cellStyle name="Обычный 7 7 28 3" xfId="24912"/>
    <cellStyle name="Обычный 7 7 29" xfId="24913"/>
    <cellStyle name="Обычный 7 7 29 2" xfId="24914"/>
    <cellStyle name="Обычный 7 7 29 3" xfId="24915"/>
    <cellStyle name="Обычный 7 7 3" xfId="24916"/>
    <cellStyle name="Обычный 7 7 3 10" xfId="24917"/>
    <cellStyle name="Обычный 7 7 3 10 2" xfId="24918"/>
    <cellStyle name="Обычный 7 7 3 10 3" xfId="24919"/>
    <cellStyle name="Обычный 7 7 3 11" xfId="24920"/>
    <cellStyle name="Обычный 7 7 3 11 2" xfId="24921"/>
    <cellStyle name="Обычный 7 7 3 11 3" xfId="24922"/>
    <cellStyle name="Обычный 7 7 3 12" xfId="24923"/>
    <cellStyle name="Обычный 7 7 3 12 2" xfId="24924"/>
    <cellStyle name="Обычный 7 7 3 12 3" xfId="24925"/>
    <cellStyle name="Обычный 7 7 3 13" xfId="24926"/>
    <cellStyle name="Обычный 7 7 3 13 2" xfId="24927"/>
    <cellStyle name="Обычный 7 7 3 13 3" xfId="24928"/>
    <cellStyle name="Обычный 7 7 3 14" xfId="24929"/>
    <cellStyle name="Обычный 7 7 3 14 2" xfId="24930"/>
    <cellStyle name="Обычный 7 7 3 14 3" xfId="24931"/>
    <cellStyle name="Обычный 7 7 3 15" xfId="24932"/>
    <cellStyle name="Обычный 7 7 3 15 2" xfId="24933"/>
    <cellStyle name="Обычный 7 7 3 15 3" xfId="24934"/>
    <cellStyle name="Обычный 7 7 3 16" xfId="24935"/>
    <cellStyle name="Обычный 7 7 3 16 2" xfId="24936"/>
    <cellStyle name="Обычный 7 7 3 16 3" xfId="24937"/>
    <cellStyle name="Обычный 7 7 3 17" xfId="24938"/>
    <cellStyle name="Обычный 7 7 3 17 2" xfId="24939"/>
    <cellStyle name="Обычный 7 7 3 17 3" xfId="24940"/>
    <cellStyle name="Обычный 7 7 3 18" xfId="24941"/>
    <cellStyle name="Обычный 7 7 3 18 2" xfId="24942"/>
    <cellStyle name="Обычный 7 7 3 18 3" xfId="24943"/>
    <cellStyle name="Обычный 7 7 3 19" xfId="24944"/>
    <cellStyle name="Обычный 7 7 3 19 2" xfId="24945"/>
    <cellStyle name="Обычный 7 7 3 19 3" xfId="24946"/>
    <cellStyle name="Обычный 7 7 3 2" xfId="24947"/>
    <cellStyle name="Обычный 7 7 3 2 2" xfId="24948"/>
    <cellStyle name="Обычный 7 7 3 2 3" xfId="24949"/>
    <cellStyle name="Обычный 7 7 3 20" xfId="24950"/>
    <cellStyle name="Обычный 7 7 3 20 2" xfId="24951"/>
    <cellStyle name="Обычный 7 7 3 20 3" xfId="24952"/>
    <cellStyle name="Обычный 7 7 3 21" xfId="24953"/>
    <cellStyle name="Обычный 7 7 3 21 2" xfId="24954"/>
    <cellStyle name="Обычный 7 7 3 21 3" xfId="24955"/>
    <cellStyle name="Обычный 7 7 3 22" xfId="24956"/>
    <cellStyle name="Обычный 7 7 3 22 2" xfId="24957"/>
    <cellStyle name="Обычный 7 7 3 22 3" xfId="24958"/>
    <cellStyle name="Обычный 7 7 3 23" xfId="24959"/>
    <cellStyle name="Обычный 7 7 3 23 2" xfId="24960"/>
    <cellStyle name="Обычный 7 7 3 23 3" xfId="24961"/>
    <cellStyle name="Обычный 7 7 3 24" xfId="24962"/>
    <cellStyle name="Обычный 7 7 3 24 2" xfId="24963"/>
    <cellStyle name="Обычный 7 7 3 24 3" xfId="24964"/>
    <cellStyle name="Обычный 7 7 3 25" xfId="24965"/>
    <cellStyle name="Обычный 7 7 3 25 2" xfId="24966"/>
    <cellStyle name="Обычный 7 7 3 25 3" xfId="24967"/>
    <cellStyle name="Обычный 7 7 3 26" xfId="24968"/>
    <cellStyle name="Обычный 7 7 3 26 2" xfId="24969"/>
    <cellStyle name="Обычный 7 7 3 26 3" xfId="24970"/>
    <cellStyle name="Обычный 7 7 3 27" xfId="24971"/>
    <cellStyle name="Обычный 7 7 3 27 2" xfId="24972"/>
    <cellStyle name="Обычный 7 7 3 27 3" xfId="24973"/>
    <cellStyle name="Обычный 7 7 3 28" xfId="24974"/>
    <cellStyle name="Обычный 7 7 3 28 2" xfId="24975"/>
    <cellStyle name="Обычный 7 7 3 28 3" xfId="24976"/>
    <cellStyle name="Обычный 7 7 3 29" xfId="24977"/>
    <cellStyle name="Обычный 7 7 3 29 2" xfId="24978"/>
    <cellStyle name="Обычный 7 7 3 29 3" xfId="24979"/>
    <cellStyle name="Обычный 7 7 3 3" xfId="24980"/>
    <cellStyle name="Обычный 7 7 3 3 2" xfId="24981"/>
    <cellStyle name="Обычный 7 7 3 3 3" xfId="24982"/>
    <cellStyle name="Обычный 7 7 3 30" xfId="24983"/>
    <cellStyle name="Обычный 7 7 3 30 2" xfId="24984"/>
    <cellStyle name="Обычный 7 7 3 30 3" xfId="24985"/>
    <cellStyle name="Обычный 7 7 3 31" xfId="24986"/>
    <cellStyle name="Обычный 7 7 3 31 2" xfId="24987"/>
    <cellStyle name="Обычный 7 7 3 31 3" xfId="24988"/>
    <cellStyle name="Обычный 7 7 3 32" xfId="24989"/>
    <cellStyle name="Обычный 7 7 3 32 2" xfId="24990"/>
    <cellStyle name="Обычный 7 7 3 32 3" xfId="24991"/>
    <cellStyle name="Обычный 7 7 3 33" xfId="24992"/>
    <cellStyle name="Обычный 7 7 3 33 2" xfId="24993"/>
    <cellStyle name="Обычный 7 7 3 33 3" xfId="24994"/>
    <cellStyle name="Обычный 7 7 3 34" xfId="24995"/>
    <cellStyle name="Обычный 7 7 3 34 2" xfId="24996"/>
    <cellStyle name="Обычный 7 7 3 34 3" xfId="24997"/>
    <cellStyle name="Обычный 7 7 3 35" xfId="24998"/>
    <cellStyle name="Обычный 7 7 3 35 2" xfId="24999"/>
    <cellStyle name="Обычный 7 7 3 35 3" xfId="25000"/>
    <cellStyle name="Обычный 7 7 3 36" xfId="25001"/>
    <cellStyle name="Обычный 7 7 3 36 2" xfId="25002"/>
    <cellStyle name="Обычный 7 7 3 36 3" xfId="25003"/>
    <cellStyle name="Обычный 7 7 3 37" xfId="25004"/>
    <cellStyle name="Обычный 7 7 3 37 2" xfId="25005"/>
    <cellStyle name="Обычный 7 7 3 37 3" xfId="25006"/>
    <cellStyle name="Обычный 7 7 3 38" xfId="25007"/>
    <cellStyle name="Обычный 7 7 3 38 2" xfId="25008"/>
    <cellStyle name="Обычный 7 7 3 38 3" xfId="25009"/>
    <cellStyle name="Обычный 7 7 3 39" xfId="25010"/>
    <cellStyle name="Обычный 7 7 3 39 2" xfId="25011"/>
    <cellStyle name="Обычный 7 7 3 39 3" xfId="25012"/>
    <cellStyle name="Обычный 7 7 3 4" xfId="25013"/>
    <cellStyle name="Обычный 7 7 3 4 2" xfId="25014"/>
    <cellStyle name="Обычный 7 7 3 4 3" xfId="25015"/>
    <cellStyle name="Обычный 7 7 3 40" xfId="25016"/>
    <cellStyle name="Обычный 7 7 3 40 2" xfId="25017"/>
    <cellStyle name="Обычный 7 7 3 40 3" xfId="25018"/>
    <cellStyle name="Обычный 7 7 3 41" xfId="25019"/>
    <cellStyle name="Обычный 7 7 3 41 2" xfId="25020"/>
    <cellStyle name="Обычный 7 7 3 41 3" xfId="25021"/>
    <cellStyle name="Обычный 7 7 3 42" xfId="25022"/>
    <cellStyle name="Обычный 7 7 3 42 2" xfId="25023"/>
    <cellStyle name="Обычный 7 7 3 42 3" xfId="25024"/>
    <cellStyle name="Обычный 7 7 3 43" xfId="25025"/>
    <cellStyle name="Обычный 7 7 3 43 2" xfId="25026"/>
    <cellStyle name="Обычный 7 7 3 43 3" xfId="25027"/>
    <cellStyle name="Обычный 7 7 3 44" xfId="25028"/>
    <cellStyle name="Обычный 7 7 3 44 2" xfId="25029"/>
    <cellStyle name="Обычный 7 7 3 44 3" xfId="25030"/>
    <cellStyle name="Обычный 7 7 3 45" xfId="25031"/>
    <cellStyle name="Обычный 7 7 3 45 2" xfId="25032"/>
    <cellStyle name="Обычный 7 7 3 45 3" xfId="25033"/>
    <cellStyle name="Обычный 7 7 3 46" xfId="25034"/>
    <cellStyle name="Обычный 7 7 3 46 2" xfId="25035"/>
    <cellStyle name="Обычный 7 7 3 46 3" xfId="25036"/>
    <cellStyle name="Обычный 7 7 3 47" xfId="25037"/>
    <cellStyle name="Обычный 7 7 3 47 2" xfId="25038"/>
    <cellStyle name="Обычный 7 7 3 47 3" xfId="25039"/>
    <cellStyle name="Обычный 7 7 3 48" xfId="25040"/>
    <cellStyle name="Обычный 7 7 3 48 2" xfId="25041"/>
    <cellStyle name="Обычный 7 7 3 48 3" xfId="25042"/>
    <cellStyle name="Обычный 7 7 3 49" xfId="25043"/>
    <cellStyle name="Обычный 7 7 3 49 2" xfId="25044"/>
    <cellStyle name="Обычный 7 7 3 49 3" xfId="25045"/>
    <cellStyle name="Обычный 7 7 3 5" xfId="25046"/>
    <cellStyle name="Обычный 7 7 3 5 2" xfId="25047"/>
    <cellStyle name="Обычный 7 7 3 5 3" xfId="25048"/>
    <cellStyle name="Обычный 7 7 3 50" xfId="25049"/>
    <cellStyle name="Обычный 7 7 3 50 2" xfId="25050"/>
    <cellStyle name="Обычный 7 7 3 50 3" xfId="25051"/>
    <cellStyle name="Обычный 7 7 3 51" xfId="25052"/>
    <cellStyle name="Обычный 7 7 3 51 2" xfId="25053"/>
    <cellStyle name="Обычный 7 7 3 51 3" xfId="25054"/>
    <cellStyle name="Обычный 7 7 3 52" xfId="25055"/>
    <cellStyle name="Обычный 7 7 3 52 2" xfId="25056"/>
    <cellStyle name="Обычный 7 7 3 52 3" xfId="25057"/>
    <cellStyle name="Обычный 7 7 3 53" xfId="25058"/>
    <cellStyle name="Обычный 7 7 3 53 2" xfId="25059"/>
    <cellStyle name="Обычный 7 7 3 53 3" xfId="25060"/>
    <cellStyle name="Обычный 7 7 3 54" xfId="25061"/>
    <cellStyle name="Обычный 7 7 3 54 2" xfId="25062"/>
    <cellStyle name="Обычный 7 7 3 54 3" xfId="25063"/>
    <cellStyle name="Обычный 7 7 3 55" xfId="25064"/>
    <cellStyle name="Обычный 7 7 3 55 2" xfId="25065"/>
    <cellStyle name="Обычный 7 7 3 55 3" xfId="25066"/>
    <cellStyle name="Обычный 7 7 3 56" xfId="25067"/>
    <cellStyle name="Обычный 7 7 3 56 2" xfId="25068"/>
    <cellStyle name="Обычный 7 7 3 56 3" xfId="25069"/>
    <cellStyle name="Обычный 7 7 3 57" xfId="25070"/>
    <cellStyle name="Обычный 7 7 3 57 2" xfId="25071"/>
    <cellStyle name="Обычный 7 7 3 57 3" xfId="25072"/>
    <cellStyle name="Обычный 7 7 3 58" xfId="25073"/>
    <cellStyle name="Обычный 7 7 3 58 2" xfId="25074"/>
    <cellStyle name="Обычный 7 7 3 58 3" xfId="25075"/>
    <cellStyle name="Обычный 7 7 3 59" xfId="25076"/>
    <cellStyle name="Обычный 7 7 3 59 2" xfId="25077"/>
    <cellStyle name="Обычный 7 7 3 59 3" xfId="25078"/>
    <cellStyle name="Обычный 7 7 3 6" xfId="25079"/>
    <cellStyle name="Обычный 7 7 3 6 2" xfId="25080"/>
    <cellStyle name="Обычный 7 7 3 6 3" xfId="25081"/>
    <cellStyle name="Обычный 7 7 3 60" xfId="25082"/>
    <cellStyle name="Обычный 7 7 3 60 2" xfId="25083"/>
    <cellStyle name="Обычный 7 7 3 60 3" xfId="25084"/>
    <cellStyle name="Обычный 7 7 3 61" xfId="25085"/>
    <cellStyle name="Обычный 7 7 3 61 2" xfId="25086"/>
    <cellStyle name="Обычный 7 7 3 61 3" xfId="25087"/>
    <cellStyle name="Обычный 7 7 3 62" xfId="25088"/>
    <cellStyle name="Обычный 7 7 3 62 2" xfId="25089"/>
    <cellStyle name="Обычный 7 7 3 62 3" xfId="25090"/>
    <cellStyle name="Обычный 7 7 3 63" xfId="25091"/>
    <cellStyle name="Обычный 7 7 3 63 2" xfId="25092"/>
    <cellStyle name="Обычный 7 7 3 63 3" xfId="25093"/>
    <cellStyle name="Обычный 7 7 3 64" xfId="25094"/>
    <cellStyle name="Обычный 7 7 3 65" xfId="25095"/>
    <cellStyle name="Обычный 7 7 3 7" xfId="25096"/>
    <cellStyle name="Обычный 7 7 3 7 2" xfId="25097"/>
    <cellStyle name="Обычный 7 7 3 7 3" xfId="25098"/>
    <cellStyle name="Обычный 7 7 3 8" xfId="25099"/>
    <cellStyle name="Обычный 7 7 3 8 2" xfId="25100"/>
    <cellStyle name="Обычный 7 7 3 8 3" xfId="25101"/>
    <cellStyle name="Обычный 7 7 3 9" xfId="25102"/>
    <cellStyle name="Обычный 7 7 3 9 2" xfId="25103"/>
    <cellStyle name="Обычный 7 7 3 9 3" xfId="25104"/>
    <cellStyle name="Обычный 7 7 30" xfId="25105"/>
    <cellStyle name="Обычный 7 7 30 2" xfId="25106"/>
    <cellStyle name="Обычный 7 7 30 3" xfId="25107"/>
    <cellStyle name="Обычный 7 7 31" xfId="25108"/>
    <cellStyle name="Обычный 7 7 31 2" xfId="25109"/>
    <cellStyle name="Обычный 7 7 31 3" xfId="25110"/>
    <cellStyle name="Обычный 7 7 32" xfId="25111"/>
    <cellStyle name="Обычный 7 7 32 2" xfId="25112"/>
    <cellStyle name="Обычный 7 7 32 3" xfId="25113"/>
    <cellStyle name="Обычный 7 7 33" xfId="25114"/>
    <cellStyle name="Обычный 7 7 33 2" xfId="25115"/>
    <cellStyle name="Обычный 7 7 33 3" xfId="25116"/>
    <cellStyle name="Обычный 7 7 34" xfId="25117"/>
    <cellStyle name="Обычный 7 7 34 2" xfId="25118"/>
    <cellStyle name="Обычный 7 7 34 3" xfId="25119"/>
    <cellStyle name="Обычный 7 7 35" xfId="25120"/>
    <cellStyle name="Обычный 7 7 35 2" xfId="25121"/>
    <cellStyle name="Обычный 7 7 35 3" xfId="25122"/>
    <cellStyle name="Обычный 7 7 36" xfId="25123"/>
    <cellStyle name="Обычный 7 7 36 2" xfId="25124"/>
    <cellStyle name="Обычный 7 7 36 3" xfId="25125"/>
    <cellStyle name="Обычный 7 7 37" xfId="25126"/>
    <cellStyle name="Обычный 7 7 37 2" xfId="25127"/>
    <cellStyle name="Обычный 7 7 37 3" xfId="25128"/>
    <cellStyle name="Обычный 7 7 38" xfId="25129"/>
    <cellStyle name="Обычный 7 7 38 2" xfId="25130"/>
    <cellStyle name="Обычный 7 7 38 3" xfId="25131"/>
    <cellStyle name="Обычный 7 7 39" xfId="25132"/>
    <cellStyle name="Обычный 7 7 39 2" xfId="25133"/>
    <cellStyle name="Обычный 7 7 39 3" xfId="25134"/>
    <cellStyle name="Обычный 7 7 4" xfId="25135"/>
    <cellStyle name="Обычный 7 7 4 10" xfId="25136"/>
    <cellStyle name="Обычный 7 7 4 10 2" xfId="25137"/>
    <cellStyle name="Обычный 7 7 4 10 3" xfId="25138"/>
    <cellStyle name="Обычный 7 7 4 11" xfId="25139"/>
    <cellStyle name="Обычный 7 7 4 11 2" xfId="25140"/>
    <cellStyle name="Обычный 7 7 4 11 3" xfId="25141"/>
    <cellStyle name="Обычный 7 7 4 12" xfId="25142"/>
    <cellStyle name="Обычный 7 7 4 12 2" xfId="25143"/>
    <cellStyle name="Обычный 7 7 4 12 3" xfId="25144"/>
    <cellStyle name="Обычный 7 7 4 13" xfId="25145"/>
    <cellStyle name="Обычный 7 7 4 13 2" xfId="25146"/>
    <cellStyle name="Обычный 7 7 4 13 3" xfId="25147"/>
    <cellStyle name="Обычный 7 7 4 14" xfId="25148"/>
    <cellStyle name="Обычный 7 7 4 14 2" xfId="25149"/>
    <cellStyle name="Обычный 7 7 4 14 3" xfId="25150"/>
    <cellStyle name="Обычный 7 7 4 15" xfId="25151"/>
    <cellStyle name="Обычный 7 7 4 15 2" xfId="25152"/>
    <cellStyle name="Обычный 7 7 4 15 3" xfId="25153"/>
    <cellStyle name="Обычный 7 7 4 16" xfId="25154"/>
    <cellStyle name="Обычный 7 7 4 16 2" xfId="25155"/>
    <cellStyle name="Обычный 7 7 4 16 3" xfId="25156"/>
    <cellStyle name="Обычный 7 7 4 17" xfId="25157"/>
    <cellStyle name="Обычный 7 7 4 17 2" xfId="25158"/>
    <cellStyle name="Обычный 7 7 4 17 3" xfId="25159"/>
    <cellStyle name="Обычный 7 7 4 18" xfId="25160"/>
    <cellStyle name="Обычный 7 7 4 18 2" xfId="25161"/>
    <cellStyle name="Обычный 7 7 4 18 3" xfId="25162"/>
    <cellStyle name="Обычный 7 7 4 19" xfId="25163"/>
    <cellStyle name="Обычный 7 7 4 19 2" xfId="25164"/>
    <cellStyle name="Обычный 7 7 4 19 3" xfId="25165"/>
    <cellStyle name="Обычный 7 7 4 2" xfId="25166"/>
    <cellStyle name="Обычный 7 7 4 2 2" xfId="25167"/>
    <cellStyle name="Обычный 7 7 4 2 3" xfId="25168"/>
    <cellStyle name="Обычный 7 7 4 20" xfId="25169"/>
    <cellStyle name="Обычный 7 7 4 20 2" xfId="25170"/>
    <cellStyle name="Обычный 7 7 4 20 3" xfId="25171"/>
    <cellStyle name="Обычный 7 7 4 21" xfId="25172"/>
    <cellStyle name="Обычный 7 7 4 21 2" xfId="25173"/>
    <cellStyle name="Обычный 7 7 4 21 3" xfId="25174"/>
    <cellStyle name="Обычный 7 7 4 22" xfId="25175"/>
    <cellStyle name="Обычный 7 7 4 22 2" xfId="25176"/>
    <cellStyle name="Обычный 7 7 4 22 3" xfId="25177"/>
    <cellStyle name="Обычный 7 7 4 23" xfId="25178"/>
    <cellStyle name="Обычный 7 7 4 23 2" xfId="25179"/>
    <cellStyle name="Обычный 7 7 4 23 3" xfId="25180"/>
    <cellStyle name="Обычный 7 7 4 24" xfId="25181"/>
    <cellStyle name="Обычный 7 7 4 24 2" xfId="25182"/>
    <cellStyle name="Обычный 7 7 4 24 3" xfId="25183"/>
    <cellStyle name="Обычный 7 7 4 25" xfId="25184"/>
    <cellStyle name="Обычный 7 7 4 25 2" xfId="25185"/>
    <cellStyle name="Обычный 7 7 4 25 3" xfId="25186"/>
    <cellStyle name="Обычный 7 7 4 26" xfId="25187"/>
    <cellStyle name="Обычный 7 7 4 26 2" xfId="25188"/>
    <cellStyle name="Обычный 7 7 4 26 3" xfId="25189"/>
    <cellStyle name="Обычный 7 7 4 27" xfId="25190"/>
    <cellStyle name="Обычный 7 7 4 27 2" xfId="25191"/>
    <cellStyle name="Обычный 7 7 4 27 3" xfId="25192"/>
    <cellStyle name="Обычный 7 7 4 28" xfId="25193"/>
    <cellStyle name="Обычный 7 7 4 28 2" xfId="25194"/>
    <cellStyle name="Обычный 7 7 4 28 3" xfId="25195"/>
    <cellStyle name="Обычный 7 7 4 29" xfId="25196"/>
    <cellStyle name="Обычный 7 7 4 29 2" xfId="25197"/>
    <cellStyle name="Обычный 7 7 4 29 3" xfId="25198"/>
    <cellStyle name="Обычный 7 7 4 3" xfId="25199"/>
    <cellStyle name="Обычный 7 7 4 3 2" xfId="25200"/>
    <cellStyle name="Обычный 7 7 4 3 3" xfId="25201"/>
    <cellStyle name="Обычный 7 7 4 30" xfId="25202"/>
    <cellStyle name="Обычный 7 7 4 30 2" xfId="25203"/>
    <cellStyle name="Обычный 7 7 4 30 3" xfId="25204"/>
    <cellStyle name="Обычный 7 7 4 31" xfId="25205"/>
    <cellStyle name="Обычный 7 7 4 31 2" xfId="25206"/>
    <cellStyle name="Обычный 7 7 4 31 3" xfId="25207"/>
    <cellStyle name="Обычный 7 7 4 32" xfId="25208"/>
    <cellStyle name="Обычный 7 7 4 32 2" xfId="25209"/>
    <cellStyle name="Обычный 7 7 4 32 3" xfId="25210"/>
    <cellStyle name="Обычный 7 7 4 33" xfId="25211"/>
    <cellStyle name="Обычный 7 7 4 33 2" xfId="25212"/>
    <cellStyle name="Обычный 7 7 4 33 3" xfId="25213"/>
    <cellStyle name="Обычный 7 7 4 34" xfId="25214"/>
    <cellStyle name="Обычный 7 7 4 34 2" xfId="25215"/>
    <cellStyle name="Обычный 7 7 4 34 3" xfId="25216"/>
    <cellStyle name="Обычный 7 7 4 35" xfId="25217"/>
    <cellStyle name="Обычный 7 7 4 35 2" xfId="25218"/>
    <cellStyle name="Обычный 7 7 4 35 3" xfId="25219"/>
    <cellStyle name="Обычный 7 7 4 36" xfId="25220"/>
    <cellStyle name="Обычный 7 7 4 36 2" xfId="25221"/>
    <cellStyle name="Обычный 7 7 4 36 3" xfId="25222"/>
    <cellStyle name="Обычный 7 7 4 37" xfId="25223"/>
    <cellStyle name="Обычный 7 7 4 37 2" xfId="25224"/>
    <cellStyle name="Обычный 7 7 4 37 3" xfId="25225"/>
    <cellStyle name="Обычный 7 7 4 38" xfId="25226"/>
    <cellStyle name="Обычный 7 7 4 38 2" xfId="25227"/>
    <cellStyle name="Обычный 7 7 4 38 3" xfId="25228"/>
    <cellStyle name="Обычный 7 7 4 39" xfId="25229"/>
    <cellStyle name="Обычный 7 7 4 39 2" xfId="25230"/>
    <cellStyle name="Обычный 7 7 4 39 3" xfId="25231"/>
    <cellStyle name="Обычный 7 7 4 4" xfId="25232"/>
    <cellStyle name="Обычный 7 7 4 4 2" xfId="25233"/>
    <cellStyle name="Обычный 7 7 4 4 3" xfId="25234"/>
    <cellStyle name="Обычный 7 7 4 40" xfId="25235"/>
    <cellStyle name="Обычный 7 7 4 40 2" xfId="25236"/>
    <cellStyle name="Обычный 7 7 4 40 3" xfId="25237"/>
    <cellStyle name="Обычный 7 7 4 41" xfId="25238"/>
    <cellStyle name="Обычный 7 7 4 41 2" xfId="25239"/>
    <cellStyle name="Обычный 7 7 4 41 3" xfId="25240"/>
    <cellStyle name="Обычный 7 7 4 42" xfId="25241"/>
    <cellStyle name="Обычный 7 7 4 42 2" xfId="25242"/>
    <cellStyle name="Обычный 7 7 4 42 3" xfId="25243"/>
    <cellStyle name="Обычный 7 7 4 43" xfId="25244"/>
    <cellStyle name="Обычный 7 7 4 43 2" xfId="25245"/>
    <cellStyle name="Обычный 7 7 4 43 3" xfId="25246"/>
    <cellStyle name="Обычный 7 7 4 44" xfId="25247"/>
    <cellStyle name="Обычный 7 7 4 44 2" xfId="25248"/>
    <cellStyle name="Обычный 7 7 4 44 3" xfId="25249"/>
    <cellStyle name="Обычный 7 7 4 45" xfId="25250"/>
    <cellStyle name="Обычный 7 7 4 45 2" xfId="25251"/>
    <cellStyle name="Обычный 7 7 4 45 3" xfId="25252"/>
    <cellStyle name="Обычный 7 7 4 46" xfId="25253"/>
    <cellStyle name="Обычный 7 7 4 46 2" xfId="25254"/>
    <cellStyle name="Обычный 7 7 4 46 3" xfId="25255"/>
    <cellStyle name="Обычный 7 7 4 47" xfId="25256"/>
    <cellStyle name="Обычный 7 7 4 47 2" xfId="25257"/>
    <cellStyle name="Обычный 7 7 4 47 3" xfId="25258"/>
    <cellStyle name="Обычный 7 7 4 48" xfId="25259"/>
    <cellStyle name="Обычный 7 7 4 48 2" xfId="25260"/>
    <cellStyle name="Обычный 7 7 4 48 3" xfId="25261"/>
    <cellStyle name="Обычный 7 7 4 49" xfId="25262"/>
    <cellStyle name="Обычный 7 7 4 49 2" xfId="25263"/>
    <cellStyle name="Обычный 7 7 4 49 3" xfId="25264"/>
    <cellStyle name="Обычный 7 7 4 5" xfId="25265"/>
    <cellStyle name="Обычный 7 7 4 5 2" xfId="25266"/>
    <cellStyle name="Обычный 7 7 4 5 3" xfId="25267"/>
    <cellStyle name="Обычный 7 7 4 50" xfId="25268"/>
    <cellStyle name="Обычный 7 7 4 50 2" xfId="25269"/>
    <cellStyle name="Обычный 7 7 4 50 3" xfId="25270"/>
    <cellStyle name="Обычный 7 7 4 51" xfId="25271"/>
    <cellStyle name="Обычный 7 7 4 51 2" xfId="25272"/>
    <cellStyle name="Обычный 7 7 4 51 3" xfId="25273"/>
    <cellStyle name="Обычный 7 7 4 52" xfId="25274"/>
    <cellStyle name="Обычный 7 7 4 52 2" xfId="25275"/>
    <cellStyle name="Обычный 7 7 4 52 3" xfId="25276"/>
    <cellStyle name="Обычный 7 7 4 53" xfId="25277"/>
    <cellStyle name="Обычный 7 7 4 53 2" xfId="25278"/>
    <cellStyle name="Обычный 7 7 4 53 3" xfId="25279"/>
    <cellStyle name="Обычный 7 7 4 54" xfId="25280"/>
    <cellStyle name="Обычный 7 7 4 54 2" xfId="25281"/>
    <cellStyle name="Обычный 7 7 4 54 3" xfId="25282"/>
    <cellStyle name="Обычный 7 7 4 55" xfId="25283"/>
    <cellStyle name="Обычный 7 7 4 55 2" xfId="25284"/>
    <cellStyle name="Обычный 7 7 4 55 3" xfId="25285"/>
    <cellStyle name="Обычный 7 7 4 56" xfId="25286"/>
    <cellStyle name="Обычный 7 7 4 56 2" xfId="25287"/>
    <cellStyle name="Обычный 7 7 4 56 3" xfId="25288"/>
    <cellStyle name="Обычный 7 7 4 57" xfId="25289"/>
    <cellStyle name="Обычный 7 7 4 57 2" xfId="25290"/>
    <cellStyle name="Обычный 7 7 4 57 3" xfId="25291"/>
    <cellStyle name="Обычный 7 7 4 58" xfId="25292"/>
    <cellStyle name="Обычный 7 7 4 58 2" xfId="25293"/>
    <cellStyle name="Обычный 7 7 4 58 3" xfId="25294"/>
    <cellStyle name="Обычный 7 7 4 59" xfId="25295"/>
    <cellStyle name="Обычный 7 7 4 59 2" xfId="25296"/>
    <cellStyle name="Обычный 7 7 4 59 3" xfId="25297"/>
    <cellStyle name="Обычный 7 7 4 6" xfId="25298"/>
    <cellStyle name="Обычный 7 7 4 6 2" xfId="25299"/>
    <cellStyle name="Обычный 7 7 4 6 3" xfId="25300"/>
    <cellStyle name="Обычный 7 7 4 60" xfId="25301"/>
    <cellStyle name="Обычный 7 7 4 60 2" xfId="25302"/>
    <cellStyle name="Обычный 7 7 4 60 3" xfId="25303"/>
    <cellStyle name="Обычный 7 7 4 61" xfId="25304"/>
    <cellStyle name="Обычный 7 7 4 61 2" xfId="25305"/>
    <cellStyle name="Обычный 7 7 4 61 3" xfId="25306"/>
    <cellStyle name="Обычный 7 7 4 62" xfId="25307"/>
    <cellStyle name="Обычный 7 7 4 62 2" xfId="25308"/>
    <cellStyle name="Обычный 7 7 4 62 3" xfId="25309"/>
    <cellStyle name="Обычный 7 7 4 63" xfId="25310"/>
    <cellStyle name="Обычный 7 7 4 63 2" xfId="25311"/>
    <cellStyle name="Обычный 7 7 4 63 3" xfId="25312"/>
    <cellStyle name="Обычный 7 7 4 64" xfId="25313"/>
    <cellStyle name="Обычный 7 7 4 65" xfId="25314"/>
    <cellStyle name="Обычный 7 7 4 7" xfId="25315"/>
    <cellStyle name="Обычный 7 7 4 7 2" xfId="25316"/>
    <cellStyle name="Обычный 7 7 4 7 3" xfId="25317"/>
    <cellStyle name="Обычный 7 7 4 8" xfId="25318"/>
    <cellStyle name="Обычный 7 7 4 8 2" xfId="25319"/>
    <cellStyle name="Обычный 7 7 4 8 3" xfId="25320"/>
    <cellStyle name="Обычный 7 7 4 9" xfId="25321"/>
    <cellStyle name="Обычный 7 7 4 9 2" xfId="25322"/>
    <cellStyle name="Обычный 7 7 4 9 3" xfId="25323"/>
    <cellStyle name="Обычный 7 7 40" xfId="25324"/>
    <cellStyle name="Обычный 7 7 40 2" xfId="25325"/>
    <cellStyle name="Обычный 7 7 40 3" xfId="25326"/>
    <cellStyle name="Обычный 7 7 41" xfId="25327"/>
    <cellStyle name="Обычный 7 7 41 2" xfId="25328"/>
    <cellStyle name="Обычный 7 7 41 3" xfId="25329"/>
    <cellStyle name="Обычный 7 7 42" xfId="25330"/>
    <cellStyle name="Обычный 7 7 42 2" xfId="25331"/>
    <cellStyle name="Обычный 7 7 42 3" xfId="25332"/>
    <cellStyle name="Обычный 7 7 43" xfId="25333"/>
    <cellStyle name="Обычный 7 7 43 2" xfId="25334"/>
    <cellStyle name="Обычный 7 7 43 3" xfId="25335"/>
    <cellStyle name="Обычный 7 7 44" xfId="25336"/>
    <cellStyle name="Обычный 7 7 44 2" xfId="25337"/>
    <cellStyle name="Обычный 7 7 44 3" xfId="25338"/>
    <cellStyle name="Обычный 7 7 45" xfId="25339"/>
    <cellStyle name="Обычный 7 7 45 2" xfId="25340"/>
    <cellStyle name="Обычный 7 7 45 3" xfId="25341"/>
    <cellStyle name="Обычный 7 7 46" xfId="25342"/>
    <cellStyle name="Обычный 7 7 46 2" xfId="25343"/>
    <cellStyle name="Обычный 7 7 46 3" xfId="25344"/>
    <cellStyle name="Обычный 7 7 47" xfId="25345"/>
    <cellStyle name="Обычный 7 7 47 2" xfId="25346"/>
    <cellStyle name="Обычный 7 7 47 3" xfId="25347"/>
    <cellStyle name="Обычный 7 7 48" xfId="25348"/>
    <cellStyle name="Обычный 7 7 48 2" xfId="25349"/>
    <cellStyle name="Обычный 7 7 48 3" xfId="25350"/>
    <cellStyle name="Обычный 7 7 49" xfId="25351"/>
    <cellStyle name="Обычный 7 7 49 2" xfId="25352"/>
    <cellStyle name="Обычный 7 7 49 3" xfId="25353"/>
    <cellStyle name="Обычный 7 7 5" xfId="25354"/>
    <cellStyle name="Обычный 7 7 5 10" xfId="25355"/>
    <cellStyle name="Обычный 7 7 5 10 2" xfId="25356"/>
    <cellStyle name="Обычный 7 7 5 10 3" xfId="25357"/>
    <cellStyle name="Обычный 7 7 5 11" xfId="25358"/>
    <cellStyle name="Обычный 7 7 5 11 2" xfId="25359"/>
    <cellStyle name="Обычный 7 7 5 11 3" xfId="25360"/>
    <cellStyle name="Обычный 7 7 5 12" xfId="25361"/>
    <cellStyle name="Обычный 7 7 5 12 2" xfId="25362"/>
    <cellStyle name="Обычный 7 7 5 12 3" xfId="25363"/>
    <cellStyle name="Обычный 7 7 5 13" xfId="25364"/>
    <cellStyle name="Обычный 7 7 5 13 2" xfId="25365"/>
    <cellStyle name="Обычный 7 7 5 13 3" xfId="25366"/>
    <cellStyle name="Обычный 7 7 5 14" xfId="25367"/>
    <cellStyle name="Обычный 7 7 5 14 2" xfId="25368"/>
    <cellStyle name="Обычный 7 7 5 14 3" xfId="25369"/>
    <cellStyle name="Обычный 7 7 5 15" xfId="25370"/>
    <cellStyle name="Обычный 7 7 5 15 2" xfId="25371"/>
    <cellStyle name="Обычный 7 7 5 15 3" xfId="25372"/>
    <cellStyle name="Обычный 7 7 5 16" xfId="25373"/>
    <cellStyle name="Обычный 7 7 5 16 2" xfId="25374"/>
    <cellStyle name="Обычный 7 7 5 16 3" xfId="25375"/>
    <cellStyle name="Обычный 7 7 5 17" xfId="25376"/>
    <cellStyle name="Обычный 7 7 5 17 2" xfId="25377"/>
    <cellStyle name="Обычный 7 7 5 17 3" xfId="25378"/>
    <cellStyle name="Обычный 7 7 5 18" xfId="25379"/>
    <cellStyle name="Обычный 7 7 5 18 2" xfId="25380"/>
    <cellStyle name="Обычный 7 7 5 18 3" xfId="25381"/>
    <cellStyle name="Обычный 7 7 5 19" xfId="25382"/>
    <cellStyle name="Обычный 7 7 5 19 2" xfId="25383"/>
    <cellStyle name="Обычный 7 7 5 19 3" xfId="25384"/>
    <cellStyle name="Обычный 7 7 5 2" xfId="25385"/>
    <cellStyle name="Обычный 7 7 5 2 2" xfId="25386"/>
    <cellStyle name="Обычный 7 7 5 2 3" xfId="25387"/>
    <cellStyle name="Обычный 7 7 5 20" xfId="25388"/>
    <cellStyle name="Обычный 7 7 5 20 2" xfId="25389"/>
    <cellStyle name="Обычный 7 7 5 20 3" xfId="25390"/>
    <cellStyle name="Обычный 7 7 5 21" xfId="25391"/>
    <cellStyle name="Обычный 7 7 5 21 2" xfId="25392"/>
    <cellStyle name="Обычный 7 7 5 21 3" xfId="25393"/>
    <cellStyle name="Обычный 7 7 5 22" xfId="25394"/>
    <cellStyle name="Обычный 7 7 5 22 2" xfId="25395"/>
    <cellStyle name="Обычный 7 7 5 22 3" xfId="25396"/>
    <cellStyle name="Обычный 7 7 5 23" xfId="25397"/>
    <cellStyle name="Обычный 7 7 5 23 2" xfId="25398"/>
    <cellStyle name="Обычный 7 7 5 23 3" xfId="25399"/>
    <cellStyle name="Обычный 7 7 5 24" xfId="25400"/>
    <cellStyle name="Обычный 7 7 5 24 2" xfId="25401"/>
    <cellStyle name="Обычный 7 7 5 24 3" xfId="25402"/>
    <cellStyle name="Обычный 7 7 5 25" xfId="25403"/>
    <cellStyle name="Обычный 7 7 5 25 2" xfId="25404"/>
    <cellStyle name="Обычный 7 7 5 25 3" xfId="25405"/>
    <cellStyle name="Обычный 7 7 5 26" xfId="25406"/>
    <cellStyle name="Обычный 7 7 5 26 2" xfId="25407"/>
    <cellStyle name="Обычный 7 7 5 26 3" xfId="25408"/>
    <cellStyle name="Обычный 7 7 5 27" xfId="25409"/>
    <cellStyle name="Обычный 7 7 5 27 2" xfId="25410"/>
    <cellStyle name="Обычный 7 7 5 27 3" xfId="25411"/>
    <cellStyle name="Обычный 7 7 5 28" xfId="25412"/>
    <cellStyle name="Обычный 7 7 5 28 2" xfId="25413"/>
    <cellStyle name="Обычный 7 7 5 28 3" xfId="25414"/>
    <cellStyle name="Обычный 7 7 5 29" xfId="25415"/>
    <cellStyle name="Обычный 7 7 5 29 2" xfId="25416"/>
    <cellStyle name="Обычный 7 7 5 29 3" xfId="25417"/>
    <cellStyle name="Обычный 7 7 5 3" xfId="25418"/>
    <cellStyle name="Обычный 7 7 5 3 2" xfId="25419"/>
    <cellStyle name="Обычный 7 7 5 3 3" xfId="25420"/>
    <cellStyle name="Обычный 7 7 5 30" xfId="25421"/>
    <cellStyle name="Обычный 7 7 5 30 2" xfId="25422"/>
    <cellStyle name="Обычный 7 7 5 30 3" xfId="25423"/>
    <cellStyle name="Обычный 7 7 5 31" xfId="25424"/>
    <cellStyle name="Обычный 7 7 5 31 2" xfId="25425"/>
    <cellStyle name="Обычный 7 7 5 31 3" xfId="25426"/>
    <cellStyle name="Обычный 7 7 5 32" xfId="25427"/>
    <cellStyle name="Обычный 7 7 5 32 2" xfId="25428"/>
    <cellStyle name="Обычный 7 7 5 32 3" xfId="25429"/>
    <cellStyle name="Обычный 7 7 5 33" xfId="25430"/>
    <cellStyle name="Обычный 7 7 5 33 2" xfId="25431"/>
    <cellStyle name="Обычный 7 7 5 33 3" xfId="25432"/>
    <cellStyle name="Обычный 7 7 5 34" xfId="25433"/>
    <cellStyle name="Обычный 7 7 5 34 2" xfId="25434"/>
    <cellStyle name="Обычный 7 7 5 34 3" xfId="25435"/>
    <cellStyle name="Обычный 7 7 5 35" xfId="25436"/>
    <cellStyle name="Обычный 7 7 5 35 2" xfId="25437"/>
    <cellStyle name="Обычный 7 7 5 35 3" xfId="25438"/>
    <cellStyle name="Обычный 7 7 5 36" xfId="25439"/>
    <cellStyle name="Обычный 7 7 5 36 2" xfId="25440"/>
    <cellStyle name="Обычный 7 7 5 36 3" xfId="25441"/>
    <cellStyle name="Обычный 7 7 5 37" xfId="25442"/>
    <cellStyle name="Обычный 7 7 5 37 2" xfId="25443"/>
    <cellStyle name="Обычный 7 7 5 37 3" xfId="25444"/>
    <cellStyle name="Обычный 7 7 5 38" xfId="25445"/>
    <cellStyle name="Обычный 7 7 5 38 2" xfId="25446"/>
    <cellStyle name="Обычный 7 7 5 38 3" xfId="25447"/>
    <cellStyle name="Обычный 7 7 5 39" xfId="25448"/>
    <cellStyle name="Обычный 7 7 5 39 2" xfId="25449"/>
    <cellStyle name="Обычный 7 7 5 39 3" xfId="25450"/>
    <cellStyle name="Обычный 7 7 5 4" xfId="25451"/>
    <cellStyle name="Обычный 7 7 5 4 2" xfId="25452"/>
    <cellStyle name="Обычный 7 7 5 4 3" xfId="25453"/>
    <cellStyle name="Обычный 7 7 5 40" xfId="25454"/>
    <cellStyle name="Обычный 7 7 5 40 2" xfId="25455"/>
    <cellStyle name="Обычный 7 7 5 40 3" xfId="25456"/>
    <cellStyle name="Обычный 7 7 5 41" xfId="25457"/>
    <cellStyle name="Обычный 7 7 5 41 2" xfId="25458"/>
    <cellStyle name="Обычный 7 7 5 41 3" xfId="25459"/>
    <cellStyle name="Обычный 7 7 5 42" xfId="25460"/>
    <cellStyle name="Обычный 7 7 5 42 2" xfId="25461"/>
    <cellStyle name="Обычный 7 7 5 42 3" xfId="25462"/>
    <cellStyle name="Обычный 7 7 5 43" xfId="25463"/>
    <cellStyle name="Обычный 7 7 5 43 2" xfId="25464"/>
    <cellStyle name="Обычный 7 7 5 43 3" xfId="25465"/>
    <cellStyle name="Обычный 7 7 5 44" xfId="25466"/>
    <cellStyle name="Обычный 7 7 5 44 2" xfId="25467"/>
    <cellStyle name="Обычный 7 7 5 44 3" xfId="25468"/>
    <cellStyle name="Обычный 7 7 5 45" xfId="25469"/>
    <cellStyle name="Обычный 7 7 5 45 2" xfId="25470"/>
    <cellStyle name="Обычный 7 7 5 45 3" xfId="25471"/>
    <cellStyle name="Обычный 7 7 5 46" xfId="25472"/>
    <cellStyle name="Обычный 7 7 5 46 2" xfId="25473"/>
    <cellStyle name="Обычный 7 7 5 46 3" xfId="25474"/>
    <cellStyle name="Обычный 7 7 5 47" xfId="25475"/>
    <cellStyle name="Обычный 7 7 5 47 2" xfId="25476"/>
    <cellStyle name="Обычный 7 7 5 47 3" xfId="25477"/>
    <cellStyle name="Обычный 7 7 5 48" xfId="25478"/>
    <cellStyle name="Обычный 7 7 5 48 2" xfId="25479"/>
    <cellStyle name="Обычный 7 7 5 48 3" xfId="25480"/>
    <cellStyle name="Обычный 7 7 5 49" xfId="25481"/>
    <cellStyle name="Обычный 7 7 5 49 2" xfId="25482"/>
    <cellStyle name="Обычный 7 7 5 49 3" xfId="25483"/>
    <cellStyle name="Обычный 7 7 5 5" xfId="25484"/>
    <cellStyle name="Обычный 7 7 5 5 2" xfId="25485"/>
    <cellStyle name="Обычный 7 7 5 5 3" xfId="25486"/>
    <cellStyle name="Обычный 7 7 5 50" xfId="25487"/>
    <cellStyle name="Обычный 7 7 5 50 2" xfId="25488"/>
    <cellStyle name="Обычный 7 7 5 50 3" xfId="25489"/>
    <cellStyle name="Обычный 7 7 5 51" xfId="25490"/>
    <cellStyle name="Обычный 7 7 5 51 2" xfId="25491"/>
    <cellStyle name="Обычный 7 7 5 51 3" xfId="25492"/>
    <cellStyle name="Обычный 7 7 5 52" xfId="25493"/>
    <cellStyle name="Обычный 7 7 5 52 2" xfId="25494"/>
    <cellStyle name="Обычный 7 7 5 52 3" xfId="25495"/>
    <cellStyle name="Обычный 7 7 5 53" xfId="25496"/>
    <cellStyle name="Обычный 7 7 5 53 2" xfId="25497"/>
    <cellStyle name="Обычный 7 7 5 53 3" xfId="25498"/>
    <cellStyle name="Обычный 7 7 5 54" xfId="25499"/>
    <cellStyle name="Обычный 7 7 5 54 2" xfId="25500"/>
    <cellStyle name="Обычный 7 7 5 54 3" xfId="25501"/>
    <cellStyle name="Обычный 7 7 5 55" xfId="25502"/>
    <cellStyle name="Обычный 7 7 5 55 2" xfId="25503"/>
    <cellStyle name="Обычный 7 7 5 55 3" xfId="25504"/>
    <cellStyle name="Обычный 7 7 5 56" xfId="25505"/>
    <cellStyle name="Обычный 7 7 5 56 2" xfId="25506"/>
    <cellStyle name="Обычный 7 7 5 56 3" xfId="25507"/>
    <cellStyle name="Обычный 7 7 5 57" xfId="25508"/>
    <cellStyle name="Обычный 7 7 5 57 2" xfId="25509"/>
    <cellStyle name="Обычный 7 7 5 57 3" xfId="25510"/>
    <cellStyle name="Обычный 7 7 5 58" xfId="25511"/>
    <cellStyle name="Обычный 7 7 5 58 2" xfId="25512"/>
    <cellStyle name="Обычный 7 7 5 58 3" xfId="25513"/>
    <cellStyle name="Обычный 7 7 5 59" xfId="25514"/>
    <cellStyle name="Обычный 7 7 5 59 2" xfId="25515"/>
    <cellStyle name="Обычный 7 7 5 59 3" xfId="25516"/>
    <cellStyle name="Обычный 7 7 5 6" xfId="25517"/>
    <cellStyle name="Обычный 7 7 5 6 2" xfId="25518"/>
    <cellStyle name="Обычный 7 7 5 6 3" xfId="25519"/>
    <cellStyle name="Обычный 7 7 5 60" xfId="25520"/>
    <cellStyle name="Обычный 7 7 5 60 2" xfId="25521"/>
    <cellStyle name="Обычный 7 7 5 60 3" xfId="25522"/>
    <cellStyle name="Обычный 7 7 5 61" xfId="25523"/>
    <cellStyle name="Обычный 7 7 5 61 2" xfId="25524"/>
    <cellStyle name="Обычный 7 7 5 61 3" xfId="25525"/>
    <cellStyle name="Обычный 7 7 5 62" xfId="25526"/>
    <cellStyle name="Обычный 7 7 5 62 2" xfId="25527"/>
    <cellStyle name="Обычный 7 7 5 62 3" xfId="25528"/>
    <cellStyle name="Обычный 7 7 5 63" xfId="25529"/>
    <cellStyle name="Обычный 7 7 5 63 2" xfId="25530"/>
    <cellStyle name="Обычный 7 7 5 63 3" xfId="25531"/>
    <cellStyle name="Обычный 7 7 5 64" xfId="25532"/>
    <cellStyle name="Обычный 7 7 5 65" xfId="25533"/>
    <cellStyle name="Обычный 7 7 5 7" xfId="25534"/>
    <cellStyle name="Обычный 7 7 5 7 2" xfId="25535"/>
    <cellStyle name="Обычный 7 7 5 7 3" xfId="25536"/>
    <cellStyle name="Обычный 7 7 5 8" xfId="25537"/>
    <cellStyle name="Обычный 7 7 5 8 2" xfId="25538"/>
    <cellStyle name="Обычный 7 7 5 8 3" xfId="25539"/>
    <cellStyle name="Обычный 7 7 5 9" xfId="25540"/>
    <cellStyle name="Обычный 7 7 5 9 2" xfId="25541"/>
    <cellStyle name="Обычный 7 7 5 9 3" xfId="25542"/>
    <cellStyle name="Обычный 7 7 50" xfId="25543"/>
    <cellStyle name="Обычный 7 7 50 2" xfId="25544"/>
    <cellStyle name="Обычный 7 7 50 3" xfId="25545"/>
    <cellStyle name="Обычный 7 7 51" xfId="25546"/>
    <cellStyle name="Обычный 7 7 51 2" xfId="25547"/>
    <cellStyle name="Обычный 7 7 51 3" xfId="25548"/>
    <cellStyle name="Обычный 7 7 52" xfId="25549"/>
    <cellStyle name="Обычный 7 7 52 2" xfId="25550"/>
    <cellStyle name="Обычный 7 7 52 3" xfId="25551"/>
    <cellStyle name="Обычный 7 7 53" xfId="25552"/>
    <cellStyle name="Обычный 7 7 53 2" xfId="25553"/>
    <cellStyle name="Обычный 7 7 53 3" xfId="25554"/>
    <cellStyle name="Обычный 7 7 54" xfId="25555"/>
    <cellStyle name="Обычный 7 7 54 2" xfId="25556"/>
    <cellStyle name="Обычный 7 7 54 3" xfId="25557"/>
    <cellStyle name="Обычный 7 7 55" xfId="25558"/>
    <cellStyle name="Обычный 7 7 55 2" xfId="25559"/>
    <cellStyle name="Обычный 7 7 55 3" xfId="25560"/>
    <cellStyle name="Обычный 7 7 56" xfId="25561"/>
    <cellStyle name="Обычный 7 7 56 2" xfId="25562"/>
    <cellStyle name="Обычный 7 7 56 3" xfId="25563"/>
    <cellStyle name="Обычный 7 7 57" xfId="25564"/>
    <cellStyle name="Обычный 7 7 57 2" xfId="25565"/>
    <cellStyle name="Обычный 7 7 57 3" xfId="25566"/>
    <cellStyle name="Обычный 7 7 58" xfId="25567"/>
    <cellStyle name="Обычный 7 7 58 2" xfId="25568"/>
    <cellStyle name="Обычный 7 7 58 3" xfId="25569"/>
    <cellStyle name="Обычный 7 7 59" xfId="25570"/>
    <cellStyle name="Обычный 7 7 59 2" xfId="25571"/>
    <cellStyle name="Обычный 7 7 59 3" xfId="25572"/>
    <cellStyle name="Обычный 7 7 6" xfId="25573"/>
    <cellStyle name="Обычный 7 7 6 10" xfId="25574"/>
    <cellStyle name="Обычный 7 7 6 10 2" xfId="25575"/>
    <cellStyle name="Обычный 7 7 6 10 3" xfId="25576"/>
    <cellStyle name="Обычный 7 7 6 11" xfId="25577"/>
    <cellStyle name="Обычный 7 7 6 11 2" xfId="25578"/>
    <cellStyle name="Обычный 7 7 6 11 3" xfId="25579"/>
    <cellStyle name="Обычный 7 7 6 12" xfId="25580"/>
    <cellStyle name="Обычный 7 7 6 12 2" xfId="25581"/>
    <cellStyle name="Обычный 7 7 6 12 3" xfId="25582"/>
    <cellStyle name="Обычный 7 7 6 13" xfId="25583"/>
    <cellStyle name="Обычный 7 7 6 13 2" xfId="25584"/>
    <cellStyle name="Обычный 7 7 6 13 3" xfId="25585"/>
    <cellStyle name="Обычный 7 7 6 14" xfId="25586"/>
    <cellStyle name="Обычный 7 7 6 14 2" xfId="25587"/>
    <cellStyle name="Обычный 7 7 6 14 3" xfId="25588"/>
    <cellStyle name="Обычный 7 7 6 15" xfId="25589"/>
    <cellStyle name="Обычный 7 7 6 15 2" xfId="25590"/>
    <cellStyle name="Обычный 7 7 6 15 3" xfId="25591"/>
    <cellStyle name="Обычный 7 7 6 16" xfId="25592"/>
    <cellStyle name="Обычный 7 7 6 16 2" xfId="25593"/>
    <cellStyle name="Обычный 7 7 6 16 3" xfId="25594"/>
    <cellStyle name="Обычный 7 7 6 17" xfId="25595"/>
    <cellStyle name="Обычный 7 7 6 17 2" xfId="25596"/>
    <cellStyle name="Обычный 7 7 6 17 3" xfId="25597"/>
    <cellStyle name="Обычный 7 7 6 18" xfId="25598"/>
    <cellStyle name="Обычный 7 7 6 18 2" xfId="25599"/>
    <cellStyle name="Обычный 7 7 6 18 3" xfId="25600"/>
    <cellStyle name="Обычный 7 7 6 19" xfId="25601"/>
    <cellStyle name="Обычный 7 7 6 19 2" xfId="25602"/>
    <cellStyle name="Обычный 7 7 6 19 3" xfId="25603"/>
    <cellStyle name="Обычный 7 7 6 2" xfId="25604"/>
    <cellStyle name="Обычный 7 7 6 2 2" xfId="25605"/>
    <cellStyle name="Обычный 7 7 6 2 3" xfId="25606"/>
    <cellStyle name="Обычный 7 7 6 20" xfId="25607"/>
    <cellStyle name="Обычный 7 7 6 20 2" xfId="25608"/>
    <cellStyle name="Обычный 7 7 6 20 3" xfId="25609"/>
    <cellStyle name="Обычный 7 7 6 21" xfId="25610"/>
    <cellStyle name="Обычный 7 7 6 21 2" xfId="25611"/>
    <cellStyle name="Обычный 7 7 6 21 3" xfId="25612"/>
    <cellStyle name="Обычный 7 7 6 22" xfId="25613"/>
    <cellStyle name="Обычный 7 7 6 22 2" xfId="25614"/>
    <cellStyle name="Обычный 7 7 6 22 3" xfId="25615"/>
    <cellStyle name="Обычный 7 7 6 23" xfId="25616"/>
    <cellStyle name="Обычный 7 7 6 23 2" xfId="25617"/>
    <cellStyle name="Обычный 7 7 6 23 3" xfId="25618"/>
    <cellStyle name="Обычный 7 7 6 24" xfId="25619"/>
    <cellStyle name="Обычный 7 7 6 24 2" xfId="25620"/>
    <cellStyle name="Обычный 7 7 6 24 3" xfId="25621"/>
    <cellStyle name="Обычный 7 7 6 25" xfId="25622"/>
    <cellStyle name="Обычный 7 7 6 25 2" xfId="25623"/>
    <cellStyle name="Обычный 7 7 6 25 3" xfId="25624"/>
    <cellStyle name="Обычный 7 7 6 26" xfId="25625"/>
    <cellStyle name="Обычный 7 7 6 26 2" xfId="25626"/>
    <cellStyle name="Обычный 7 7 6 26 3" xfId="25627"/>
    <cellStyle name="Обычный 7 7 6 27" xfId="25628"/>
    <cellStyle name="Обычный 7 7 6 27 2" xfId="25629"/>
    <cellStyle name="Обычный 7 7 6 27 3" xfId="25630"/>
    <cellStyle name="Обычный 7 7 6 28" xfId="25631"/>
    <cellStyle name="Обычный 7 7 6 28 2" xfId="25632"/>
    <cellStyle name="Обычный 7 7 6 28 3" xfId="25633"/>
    <cellStyle name="Обычный 7 7 6 29" xfId="25634"/>
    <cellStyle name="Обычный 7 7 6 29 2" xfId="25635"/>
    <cellStyle name="Обычный 7 7 6 29 3" xfId="25636"/>
    <cellStyle name="Обычный 7 7 6 3" xfId="25637"/>
    <cellStyle name="Обычный 7 7 6 3 2" xfId="25638"/>
    <cellStyle name="Обычный 7 7 6 3 3" xfId="25639"/>
    <cellStyle name="Обычный 7 7 6 30" xfId="25640"/>
    <cellStyle name="Обычный 7 7 6 30 2" xfId="25641"/>
    <cellStyle name="Обычный 7 7 6 30 3" xfId="25642"/>
    <cellStyle name="Обычный 7 7 6 31" xfId="25643"/>
    <cellStyle name="Обычный 7 7 6 31 2" xfId="25644"/>
    <cellStyle name="Обычный 7 7 6 31 3" xfId="25645"/>
    <cellStyle name="Обычный 7 7 6 32" xfId="25646"/>
    <cellStyle name="Обычный 7 7 6 32 2" xfId="25647"/>
    <cellStyle name="Обычный 7 7 6 32 3" xfId="25648"/>
    <cellStyle name="Обычный 7 7 6 33" xfId="25649"/>
    <cellStyle name="Обычный 7 7 6 33 2" xfId="25650"/>
    <cellStyle name="Обычный 7 7 6 33 3" xfId="25651"/>
    <cellStyle name="Обычный 7 7 6 34" xfId="25652"/>
    <cellStyle name="Обычный 7 7 6 34 2" xfId="25653"/>
    <cellStyle name="Обычный 7 7 6 34 3" xfId="25654"/>
    <cellStyle name="Обычный 7 7 6 35" xfId="25655"/>
    <cellStyle name="Обычный 7 7 6 35 2" xfId="25656"/>
    <cellStyle name="Обычный 7 7 6 35 3" xfId="25657"/>
    <cellStyle name="Обычный 7 7 6 36" xfId="25658"/>
    <cellStyle name="Обычный 7 7 6 36 2" xfId="25659"/>
    <cellStyle name="Обычный 7 7 6 36 3" xfId="25660"/>
    <cellStyle name="Обычный 7 7 6 37" xfId="25661"/>
    <cellStyle name="Обычный 7 7 6 37 2" xfId="25662"/>
    <cellStyle name="Обычный 7 7 6 37 3" xfId="25663"/>
    <cellStyle name="Обычный 7 7 6 38" xfId="25664"/>
    <cellStyle name="Обычный 7 7 6 38 2" xfId="25665"/>
    <cellStyle name="Обычный 7 7 6 38 3" xfId="25666"/>
    <cellStyle name="Обычный 7 7 6 39" xfId="25667"/>
    <cellStyle name="Обычный 7 7 6 39 2" xfId="25668"/>
    <cellStyle name="Обычный 7 7 6 39 3" xfId="25669"/>
    <cellStyle name="Обычный 7 7 6 4" xfId="25670"/>
    <cellStyle name="Обычный 7 7 6 4 2" xfId="25671"/>
    <cellStyle name="Обычный 7 7 6 4 3" xfId="25672"/>
    <cellStyle name="Обычный 7 7 6 40" xfId="25673"/>
    <cellStyle name="Обычный 7 7 6 40 2" xfId="25674"/>
    <cellStyle name="Обычный 7 7 6 40 3" xfId="25675"/>
    <cellStyle name="Обычный 7 7 6 41" xfId="25676"/>
    <cellStyle name="Обычный 7 7 6 41 2" xfId="25677"/>
    <cellStyle name="Обычный 7 7 6 41 3" xfId="25678"/>
    <cellStyle name="Обычный 7 7 6 42" xfId="25679"/>
    <cellStyle name="Обычный 7 7 6 42 2" xfId="25680"/>
    <cellStyle name="Обычный 7 7 6 42 3" xfId="25681"/>
    <cellStyle name="Обычный 7 7 6 43" xfId="25682"/>
    <cellStyle name="Обычный 7 7 6 43 2" xfId="25683"/>
    <cellStyle name="Обычный 7 7 6 43 3" xfId="25684"/>
    <cellStyle name="Обычный 7 7 6 44" xfId="25685"/>
    <cellStyle name="Обычный 7 7 6 44 2" xfId="25686"/>
    <cellStyle name="Обычный 7 7 6 44 3" xfId="25687"/>
    <cellStyle name="Обычный 7 7 6 45" xfId="25688"/>
    <cellStyle name="Обычный 7 7 6 45 2" xfId="25689"/>
    <cellStyle name="Обычный 7 7 6 45 3" xfId="25690"/>
    <cellStyle name="Обычный 7 7 6 46" xfId="25691"/>
    <cellStyle name="Обычный 7 7 6 46 2" xfId="25692"/>
    <cellStyle name="Обычный 7 7 6 46 3" xfId="25693"/>
    <cellStyle name="Обычный 7 7 6 47" xfId="25694"/>
    <cellStyle name="Обычный 7 7 6 47 2" xfId="25695"/>
    <cellStyle name="Обычный 7 7 6 47 3" xfId="25696"/>
    <cellStyle name="Обычный 7 7 6 48" xfId="25697"/>
    <cellStyle name="Обычный 7 7 6 48 2" xfId="25698"/>
    <cellStyle name="Обычный 7 7 6 48 3" xfId="25699"/>
    <cellStyle name="Обычный 7 7 6 49" xfId="25700"/>
    <cellStyle name="Обычный 7 7 6 49 2" xfId="25701"/>
    <cellStyle name="Обычный 7 7 6 49 3" xfId="25702"/>
    <cellStyle name="Обычный 7 7 6 5" xfId="25703"/>
    <cellStyle name="Обычный 7 7 6 5 2" xfId="25704"/>
    <cellStyle name="Обычный 7 7 6 5 3" xfId="25705"/>
    <cellStyle name="Обычный 7 7 6 50" xfId="25706"/>
    <cellStyle name="Обычный 7 7 6 50 2" xfId="25707"/>
    <cellStyle name="Обычный 7 7 6 50 3" xfId="25708"/>
    <cellStyle name="Обычный 7 7 6 51" xfId="25709"/>
    <cellStyle name="Обычный 7 7 6 51 2" xfId="25710"/>
    <cellStyle name="Обычный 7 7 6 51 3" xfId="25711"/>
    <cellStyle name="Обычный 7 7 6 52" xfId="25712"/>
    <cellStyle name="Обычный 7 7 6 52 2" xfId="25713"/>
    <cellStyle name="Обычный 7 7 6 52 3" xfId="25714"/>
    <cellStyle name="Обычный 7 7 6 53" xfId="25715"/>
    <cellStyle name="Обычный 7 7 6 53 2" xfId="25716"/>
    <cellStyle name="Обычный 7 7 6 53 3" xfId="25717"/>
    <cellStyle name="Обычный 7 7 6 54" xfId="25718"/>
    <cellStyle name="Обычный 7 7 6 54 2" xfId="25719"/>
    <cellStyle name="Обычный 7 7 6 54 3" xfId="25720"/>
    <cellStyle name="Обычный 7 7 6 55" xfId="25721"/>
    <cellStyle name="Обычный 7 7 6 55 2" xfId="25722"/>
    <cellStyle name="Обычный 7 7 6 55 3" xfId="25723"/>
    <cellStyle name="Обычный 7 7 6 56" xfId="25724"/>
    <cellStyle name="Обычный 7 7 6 56 2" xfId="25725"/>
    <cellStyle name="Обычный 7 7 6 56 3" xfId="25726"/>
    <cellStyle name="Обычный 7 7 6 57" xfId="25727"/>
    <cellStyle name="Обычный 7 7 6 57 2" xfId="25728"/>
    <cellStyle name="Обычный 7 7 6 57 3" xfId="25729"/>
    <cellStyle name="Обычный 7 7 6 58" xfId="25730"/>
    <cellStyle name="Обычный 7 7 6 58 2" xfId="25731"/>
    <cellStyle name="Обычный 7 7 6 58 3" xfId="25732"/>
    <cellStyle name="Обычный 7 7 6 59" xfId="25733"/>
    <cellStyle name="Обычный 7 7 6 59 2" xfId="25734"/>
    <cellStyle name="Обычный 7 7 6 59 3" xfId="25735"/>
    <cellStyle name="Обычный 7 7 6 6" xfId="25736"/>
    <cellStyle name="Обычный 7 7 6 6 2" xfId="25737"/>
    <cellStyle name="Обычный 7 7 6 6 3" xfId="25738"/>
    <cellStyle name="Обычный 7 7 6 60" xfId="25739"/>
    <cellStyle name="Обычный 7 7 6 60 2" xfId="25740"/>
    <cellStyle name="Обычный 7 7 6 60 3" xfId="25741"/>
    <cellStyle name="Обычный 7 7 6 61" xfId="25742"/>
    <cellStyle name="Обычный 7 7 6 61 2" xfId="25743"/>
    <cellStyle name="Обычный 7 7 6 61 3" xfId="25744"/>
    <cellStyle name="Обычный 7 7 6 62" xfId="25745"/>
    <cellStyle name="Обычный 7 7 6 62 2" xfId="25746"/>
    <cellStyle name="Обычный 7 7 6 62 3" xfId="25747"/>
    <cellStyle name="Обычный 7 7 6 63" xfId="25748"/>
    <cellStyle name="Обычный 7 7 6 63 2" xfId="25749"/>
    <cellStyle name="Обычный 7 7 6 63 3" xfId="25750"/>
    <cellStyle name="Обычный 7 7 6 64" xfId="25751"/>
    <cellStyle name="Обычный 7 7 6 65" xfId="25752"/>
    <cellStyle name="Обычный 7 7 6 7" xfId="25753"/>
    <cellStyle name="Обычный 7 7 6 7 2" xfId="25754"/>
    <cellStyle name="Обычный 7 7 6 7 3" xfId="25755"/>
    <cellStyle name="Обычный 7 7 6 8" xfId="25756"/>
    <cellStyle name="Обычный 7 7 6 8 2" xfId="25757"/>
    <cellStyle name="Обычный 7 7 6 8 3" xfId="25758"/>
    <cellStyle name="Обычный 7 7 6 9" xfId="25759"/>
    <cellStyle name="Обычный 7 7 6 9 2" xfId="25760"/>
    <cellStyle name="Обычный 7 7 6 9 3" xfId="25761"/>
    <cellStyle name="Обычный 7 7 60" xfId="25762"/>
    <cellStyle name="Обычный 7 7 60 2" xfId="25763"/>
    <cellStyle name="Обычный 7 7 60 3" xfId="25764"/>
    <cellStyle name="Обычный 7 7 61" xfId="25765"/>
    <cellStyle name="Обычный 7 7 61 2" xfId="25766"/>
    <cellStyle name="Обычный 7 7 61 3" xfId="25767"/>
    <cellStyle name="Обычный 7 7 62" xfId="25768"/>
    <cellStyle name="Обычный 7 7 62 2" xfId="25769"/>
    <cellStyle name="Обычный 7 7 62 3" xfId="25770"/>
    <cellStyle name="Обычный 7 7 63" xfId="25771"/>
    <cellStyle name="Обычный 7 7 63 2" xfId="25772"/>
    <cellStyle name="Обычный 7 7 63 3" xfId="25773"/>
    <cellStyle name="Обычный 7 7 64" xfId="25774"/>
    <cellStyle name="Обычный 7 7 64 2" xfId="25775"/>
    <cellStyle name="Обычный 7 7 64 3" xfId="25776"/>
    <cellStyle name="Обычный 7 7 65" xfId="25777"/>
    <cellStyle name="Обычный 7 7 65 2" xfId="25778"/>
    <cellStyle name="Обычный 7 7 65 3" xfId="25779"/>
    <cellStyle name="Обычный 7 7 66" xfId="25780"/>
    <cellStyle name="Обычный 7 7 66 2" xfId="25781"/>
    <cellStyle name="Обычный 7 7 66 3" xfId="25782"/>
    <cellStyle name="Обычный 7 7 67" xfId="25783"/>
    <cellStyle name="Обычный 7 7 67 2" xfId="25784"/>
    <cellStyle name="Обычный 7 7 67 3" xfId="25785"/>
    <cellStyle name="Обычный 7 7 68" xfId="25786"/>
    <cellStyle name="Обычный 7 7 68 2" xfId="25787"/>
    <cellStyle name="Обычный 7 7 68 3" xfId="25788"/>
    <cellStyle name="Обычный 7 7 69" xfId="25789"/>
    <cellStyle name="Обычный 7 7 69 2" xfId="25790"/>
    <cellStyle name="Обычный 7 7 69 3" xfId="25791"/>
    <cellStyle name="Обычный 7 7 7" xfId="25792"/>
    <cellStyle name="Обычный 7 7 7 10" xfId="25793"/>
    <cellStyle name="Обычный 7 7 7 10 2" xfId="25794"/>
    <cellStyle name="Обычный 7 7 7 10 3" xfId="25795"/>
    <cellStyle name="Обычный 7 7 7 11" xfId="25796"/>
    <cellStyle name="Обычный 7 7 7 11 2" xfId="25797"/>
    <cellStyle name="Обычный 7 7 7 11 3" xfId="25798"/>
    <cellStyle name="Обычный 7 7 7 12" xfId="25799"/>
    <cellStyle name="Обычный 7 7 7 12 2" xfId="25800"/>
    <cellStyle name="Обычный 7 7 7 12 3" xfId="25801"/>
    <cellStyle name="Обычный 7 7 7 13" xfId="25802"/>
    <cellStyle name="Обычный 7 7 7 13 2" xfId="25803"/>
    <cellStyle name="Обычный 7 7 7 13 3" xfId="25804"/>
    <cellStyle name="Обычный 7 7 7 14" xfId="25805"/>
    <cellStyle name="Обычный 7 7 7 14 2" xfId="25806"/>
    <cellStyle name="Обычный 7 7 7 14 3" xfId="25807"/>
    <cellStyle name="Обычный 7 7 7 15" xfId="25808"/>
    <cellStyle name="Обычный 7 7 7 15 2" xfId="25809"/>
    <cellStyle name="Обычный 7 7 7 15 3" xfId="25810"/>
    <cellStyle name="Обычный 7 7 7 16" xfId="25811"/>
    <cellStyle name="Обычный 7 7 7 16 2" xfId="25812"/>
    <cellStyle name="Обычный 7 7 7 16 3" xfId="25813"/>
    <cellStyle name="Обычный 7 7 7 17" xfId="25814"/>
    <cellStyle name="Обычный 7 7 7 17 2" xfId="25815"/>
    <cellStyle name="Обычный 7 7 7 17 3" xfId="25816"/>
    <cellStyle name="Обычный 7 7 7 18" xfId="25817"/>
    <cellStyle name="Обычный 7 7 7 18 2" xfId="25818"/>
    <cellStyle name="Обычный 7 7 7 18 3" xfId="25819"/>
    <cellStyle name="Обычный 7 7 7 19" xfId="25820"/>
    <cellStyle name="Обычный 7 7 7 19 2" xfId="25821"/>
    <cellStyle name="Обычный 7 7 7 19 3" xfId="25822"/>
    <cellStyle name="Обычный 7 7 7 2" xfId="25823"/>
    <cellStyle name="Обычный 7 7 7 2 2" xfId="25824"/>
    <cellStyle name="Обычный 7 7 7 2 3" xfId="25825"/>
    <cellStyle name="Обычный 7 7 7 20" xfId="25826"/>
    <cellStyle name="Обычный 7 7 7 20 2" xfId="25827"/>
    <cellStyle name="Обычный 7 7 7 20 3" xfId="25828"/>
    <cellStyle name="Обычный 7 7 7 21" xfId="25829"/>
    <cellStyle name="Обычный 7 7 7 21 2" xfId="25830"/>
    <cellStyle name="Обычный 7 7 7 21 3" xfId="25831"/>
    <cellStyle name="Обычный 7 7 7 22" xfId="25832"/>
    <cellStyle name="Обычный 7 7 7 22 2" xfId="25833"/>
    <cellStyle name="Обычный 7 7 7 22 3" xfId="25834"/>
    <cellStyle name="Обычный 7 7 7 23" xfId="25835"/>
    <cellStyle name="Обычный 7 7 7 23 2" xfId="25836"/>
    <cellStyle name="Обычный 7 7 7 23 3" xfId="25837"/>
    <cellStyle name="Обычный 7 7 7 24" xfId="25838"/>
    <cellStyle name="Обычный 7 7 7 24 2" xfId="25839"/>
    <cellStyle name="Обычный 7 7 7 24 3" xfId="25840"/>
    <cellStyle name="Обычный 7 7 7 25" xfId="25841"/>
    <cellStyle name="Обычный 7 7 7 25 2" xfId="25842"/>
    <cellStyle name="Обычный 7 7 7 25 3" xfId="25843"/>
    <cellStyle name="Обычный 7 7 7 26" xfId="25844"/>
    <cellStyle name="Обычный 7 7 7 26 2" xfId="25845"/>
    <cellStyle name="Обычный 7 7 7 26 3" xfId="25846"/>
    <cellStyle name="Обычный 7 7 7 27" xfId="25847"/>
    <cellStyle name="Обычный 7 7 7 27 2" xfId="25848"/>
    <cellStyle name="Обычный 7 7 7 27 3" xfId="25849"/>
    <cellStyle name="Обычный 7 7 7 28" xfId="25850"/>
    <cellStyle name="Обычный 7 7 7 28 2" xfId="25851"/>
    <cellStyle name="Обычный 7 7 7 28 3" xfId="25852"/>
    <cellStyle name="Обычный 7 7 7 29" xfId="25853"/>
    <cellStyle name="Обычный 7 7 7 29 2" xfId="25854"/>
    <cellStyle name="Обычный 7 7 7 29 3" xfId="25855"/>
    <cellStyle name="Обычный 7 7 7 3" xfId="25856"/>
    <cellStyle name="Обычный 7 7 7 3 2" xfId="25857"/>
    <cellStyle name="Обычный 7 7 7 3 3" xfId="25858"/>
    <cellStyle name="Обычный 7 7 7 30" xfId="25859"/>
    <cellStyle name="Обычный 7 7 7 30 2" xfId="25860"/>
    <cellStyle name="Обычный 7 7 7 30 3" xfId="25861"/>
    <cellStyle name="Обычный 7 7 7 31" xfId="25862"/>
    <cellStyle name="Обычный 7 7 7 31 2" xfId="25863"/>
    <cellStyle name="Обычный 7 7 7 31 3" xfId="25864"/>
    <cellStyle name="Обычный 7 7 7 32" xfId="25865"/>
    <cellStyle name="Обычный 7 7 7 32 2" xfId="25866"/>
    <cellStyle name="Обычный 7 7 7 32 3" xfId="25867"/>
    <cellStyle name="Обычный 7 7 7 33" xfId="25868"/>
    <cellStyle name="Обычный 7 7 7 33 2" xfId="25869"/>
    <cellStyle name="Обычный 7 7 7 33 3" xfId="25870"/>
    <cellStyle name="Обычный 7 7 7 34" xfId="25871"/>
    <cellStyle name="Обычный 7 7 7 34 2" xfId="25872"/>
    <cellStyle name="Обычный 7 7 7 34 3" xfId="25873"/>
    <cellStyle name="Обычный 7 7 7 35" xfId="25874"/>
    <cellStyle name="Обычный 7 7 7 35 2" xfId="25875"/>
    <cellStyle name="Обычный 7 7 7 35 3" xfId="25876"/>
    <cellStyle name="Обычный 7 7 7 36" xfId="25877"/>
    <cellStyle name="Обычный 7 7 7 36 2" xfId="25878"/>
    <cellStyle name="Обычный 7 7 7 36 3" xfId="25879"/>
    <cellStyle name="Обычный 7 7 7 37" xfId="25880"/>
    <cellStyle name="Обычный 7 7 7 37 2" xfId="25881"/>
    <cellStyle name="Обычный 7 7 7 37 3" xfId="25882"/>
    <cellStyle name="Обычный 7 7 7 38" xfId="25883"/>
    <cellStyle name="Обычный 7 7 7 38 2" xfId="25884"/>
    <cellStyle name="Обычный 7 7 7 38 3" xfId="25885"/>
    <cellStyle name="Обычный 7 7 7 39" xfId="25886"/>
    <cellStyle name="Обычный 7 7 7 39 2" xfId="25887"/>
    <cellStyle name="Обычный 7 7 7 39 3" xfId="25888"/>
    <cellStyle name="Обычный 7 7 7 4" xfId="25889"/>
    <cellStyle name="Обычный 7 7 7 4 2" xfId="25890"/>
    <cellStyle name="Обычный 7 7 7 4 3" xfId="25891"/>
    <cellStyle name="Обычный 7 7 7 40" xfId="25892"/>
    <cellStyle name="Обычный 7 7 7 40 2" xfId="25893"/>
    <cellStyle name="Обычный 7 7 7 40 3" xfId="25894"/>
    <cellStyle name="Обычный 7 7 7 41" xfId="25895"/>
    <cellStyle name="Обычный 7 7 7 41 2" xfId="25896"/>
    <cellStyle name="Обычный 7 7 7 41 3" xfId="25897"/>
    <cellStyle name="Обычный 7 7 7 42" xfId="25898"/>
    <cellStyle name="Обычный 7 7 7 42 2" xfId="25899"/>
    <cellStyle name="Обычный 7 7 7 42 3" xfId="25900"/>
    <cellStyle name="Обычный 7 7 7 43" xfId="25901"/>
    <cellStyle name="Обычный 7 7 7 43 2" xfId="25902"/>
    <cellStyle name="Обычный 7 7 7 43 3" xfId="25903"/>
    <cellStyle name="Обычный 7 7 7 44" xfId="25904"/>
    <cellStyle name="Обычный 7 7 7 44 2" xfId="25905"/>
    <cellStyle name="Обычный 7 7 7 44 3" xfId="25906"/>
    <cellStyle name="Обычный 7 7 7 45" xfId="25907"/>
    <cellStyle name="Обычный 7 7 7 45 2" xfId="25908"/>
    <cellStyle name="Обычный 7 7 7 45 3" xfId="25909"/>
    <cellStyle name="Обычный 7 7 7 46" xfId="25910"/>
    <cellStyle name="Обычный 7 7 7 46 2" xfId="25911"/>
    <cellStyle name="Обычный 7 7 7 46 3" xfId="25912"/>
    <cellStyle name="Обычный 7 7 7 47" xfId="25913"/>
    <cellStyle name="Обычный 7 7 7 47 2" xfId="25914"/>
    <cellStyle name="Обычный 7 7 7 47 3" xfId="25915"/>
    <cellStyle name="Обычный 7 7 7 48" xfId="25916"/>
    <cellStyle name="Обычный 7 7 7 48 2" xfId="25917"/>
    <cellStyle name="Обычный 7 7 7 48 3" xfId="25918"/>
    <cellStyle name="Обычный 7 7 7 49" xfId="25919"/>
    <cellStyle name="Обычный 7 7 7 49 2" xfId="25920"/>
    <cellStyle name="Обычный 7 7 7 49 3" xfId="25921"/>
    <cellStyle name="Обычный 7 7 7 5" xfId="25922"/>
    <cellStyle name="Обычный 7 7 7 5 2" xfId="25923"/>
    <cellStyle name="Обычный 7 7 7 5 3" xfId="25924"/>
    <cellStyle name="Обычный 7 7 7 50" xfId="25925"/>
    <cellStyle name="Обычный 7 7 7 50 2" xfId="25926"/>
    <cellStyle name="Обычный 7 7 7 50 3" xfId="25927"/>
    <cellStyle name="Обычный 7 7 7 51" xfId="25928"/>
    <cellStyle name="Обычный 7 7 7 51 2" xfId="25929"/>
    <cellStyle name="Обычный 7 7 7 51 3" xfId="25930"/>
    <cellStyle name="Обычный 7 7 7 52" xfId="25931"/>
    <cellStyle name="Обычный 7 7 7 52 2" xfId="25932"/>
    <cellStyle name="Обычный 7 7 7 52 3" xfId="25933"/>
    <cellStyle name="Обычный 7 7 7 53" xfId="25934"/>
    <cellStyle name="Обычный 7 7 7 53 2" xfId="25935"/>
    <cellStyle name="Обычный 7 7 7 53 3" xfId="25936"/>
    <cellStyle name="Обычный 7 7 7 54" xfId="25937"/>
    <cellStyle name="Обычный 7 7 7 54 2" xfId="25938"/>
    <cellStyle name="Обычный 7 7 7 54 3" xfId="25939"/>
    <cellStyle name="Обычный 7 7 7 55" xfId="25940"/>
    <cellStyle name="Обычный 7 7 7 55 2" xfId="25941"/>
    <cellStyle name="Обычный 7 7 7 55 3" xfId="25942"/>
    <cellStyle name="Обычный 7 7 7 56" xfId="25943"/>
    <cellStyle name="Обычный 7 7 7 56 2" xfId="25944"/>
    <cellStyle name="Обычный 7 7 7 56 3" xfId="25945"/>
    <cellStyle name="Обычный 7 7 7 57" xfId="25946"/>
    <cellStyle name="Обычный 7 7 7 57 2" xfId="25947"/>
    <cellStyle name="Обычный 7 7 7 57 3" xfId="25948"/>
    <cellStyle name="Обычный 7 7 7 58" xfId="25949"/>
    <cellStyle name="Обычный 7 7 7 58 2" xfId="25950"/>
    <cellStyle name="Обычный 7 7 7 58 3" xfId="25951"/>
    <cellStyle name="Обычный 7 7 7 59" xfId="25952"/>
    <cellStyle name="Обычный 7 7 7 59 2" xfId="25953"/>
    <cellStyle name="Обычный 7 7 7 59 3" xfId="25954"/>
    <cellStyle name="Обычный 7 7 7 6" xfId="25955"/>
    <cellStyle name="Обычный 7 7 7 6 2" xfId="25956"/>
    <cellStyle name="Обычный 7 7 7 6 3" xfId="25957"/>
    <cellStyle name="Обычный 7 7 7 60" xfId="25958"/>
    <cellStyle name="Обычный 7 7 7 60 2" xfId="25959"/>
    <cellStyle name="Обычный 7 7 7 60 3" xfId="25960"/>
    <cellStyle name="Обычный 7 7 7 61" xfId="25961"/>
    <cellStyle name="Обычный 7 7 7 61 2" xfId="25962"/>
    <cellStyle name="Обычный 7 7 7 61 3" xfId="25963"/>
    <cellStyle name="Обычный 7 7 7 62" xfId="25964"/>
    <cellStyle name="Обычный 7 7 7 62 2" xfId="25965"/>
    <cellStyle name="Обычный 7 7 7 62 3" xfId="25966"/>
    <cellStyle name="Обычный 7 7 7 63" xfId="25967"/>
    <cellStyle name="Обычный 7 7 7 63 2" xfId="25968"/>
    <cellStyle name="Обычный 7 7 7 63 3" xfId="25969"/>
    <cellStyle name="Обычный 7 7 7 64" xfId="25970"/>
    <cellStyle name="Обычный 7 7 7 65" xfId="25971"/>
    <cellStyle name="Обычный 7 7 7 7" xfId="25972"/>
    <cellStyle name="Обычный 7 7 7 7 2" xfId="25973"/>
    <cellStyle name="Обычный 7 7 7 7 3" xfId="25974"/>
    <cellStyle name="Обычный 7 7 7 8" xfId="25975"/>
    <cellStyle name="Обычный 7 7 7 8 2" xfId="25976"/>
    <cellStyle name="Обычный 7 7 7 8 3" xfId="25977"/>
    <cellStyle name="Обычный 7 7 7 9" xfId="25978"/>
    <cellStyle name="Обычный 7 7 7 9 2" xfId="25979"/>
    <cellStyle name="Обычный 7 7 7 9 3" xfId="25980"/>
    <cellStyle name="Обычный 7 7 70" xfId="25981"/>
    <cellStyle name="Обычный 7 7 70 2" xfId="25982"/>
    <cellStyle name="Обычный 7 7 70 3" xfId="25983"/>
    <cellStyle name="Обычный 7 7 71" xfId="25984"/>
    <cellStyle name="Обычный 7 7 72" xfId="25985"/>
    <cellStyle name="Обычный 7 7 8" xfId="25986"/>
    <cellStyle name="Обычный 7 7 8 10" xfId="25987"/>
    <cellStyle name="Обычный 7 7 8 10 2" xfId="25988"/>
    <cellStyle name="Обычный 7 7 8 10 3" xfId="25989"/>
    <cellStyle name="Обычный 7 7 8 11" xfId="25990"/>
    <cellStyle name="Обычный 7 7 8 11 2" xfId="25991"/>
    <cellStyle name="Обычный 7 7 8 11 3" xfId="25992"/>
    <cellStyle name="Обычный 7 7 8 12" xfId="25993"/>
    <cellStyle name="Обычный 7 7 8 12 2" xfId="25994"/>
    <cellStyle name="Обычный 7 7 8 12 3" xfId="25995"/>
    <cellStyle name="Обычный 7 7 8 13" xfId="25996"/>
    <cellStyle name="Обычный 7 7 8 13 2" xfId="25997"/>
    <cellStyle name="Обычный 7 7 8 13 3" xfId="25998"/>
    <cellStyle name="Обычный 7 7 8 14" xfId="25999"/>
    <cellStyle name="Обычный 7 7 8 14 2" xfId="26000"/>
    <cellStyle name="Обычный 7 7 8 14 3" xfId="26001"/>
    <cellStyle name="Обычный 7 7 8 15" xfId="26002"/>
    <cellStyle name="Обычный 7 7 8 15 2" xfId="26003"/>
    <cellStyle name="Обычный 7 7 8 15 3" xfId="26004"/>
    <cellStyle name="Обычный 7 7 8 16" xfId="26005"/>
    <cellStyle name="Обычный 7 7 8 16 2" xfId="26006"/>
    <cellStyle name="Обычный 7 7 8 16 3" xfId="26007"/>
    <cellStyle name="Обычный 7 7 8 17" xfId="26008"/>
    <cellStyle name="Обычный 7 7 8 17 2" xfId="26009"/>
    <cellStyle name="Обычный 7 7 8 17 3" xfId="26010"/>
    <cellStyle name="Обычный 7 7 8 18" xfId="26011"/>
    <cellStyle name="Обычный 7 7 8 18 2" xfId="26012"/>
    <cellStyle name="Обычный 7 7 8 18 3" xfId="26013"/>
    <cellStyle name="Обычный 7 7 8 19" xfId="26014"/>
    <cellStyle name="Обычный 7 7 8 19 2" xfId="26015"/>
    <cellStyle name="Обычный 7 7 8 19 3" xfId="26016"/>
    <cellStyle name="Обычный 7 7 8 2" xfId="26017"/>
    <cellStyle name="Обычный 7 7 8 2 2" xfId="26018"/>
    <cellStyle name="Обычный 7 7 8 2 3" xfId="26019"/>
    <cellStyle name="Обычный 7 7 8 20" xfId="26020"/>
    <cellStyle name="Обычный 7 7 8 20 2" xfId="26021"/>
    <cellStyle name="Обычный 7 7 8 20 3" xfId="26022"/>
    <cellStyle name="Обычный 7 7 8 21" xfId="26023"/>
    <cellStyle name="Обычный 7 7 8 21 2" xfId="26024"/>
    <cellStyle name="Обычный 7 7 8 21 3" xfId="26025"/>
    <cellStyle name="Обычный 7 7 8 22" xfId="26026"/>
    <cellStyle name="Обычный 7 7 8 22 2" xfId="26027"/>
    <cellStyle name="Обычный 7 7 8 22 3" xfId="26028"/>
    <cellStyle name="Обычный 7 7 8 23" xfId="26029"/>
    <cellStyle name="Обычный 7 7 8 23 2" xfId="26030"/>
    <cellStyle name="Обычный 7 7 8 23 3" xfId="26031"/>
    <cellStyle name="Обычный 7 7 8 24" xfId="26032"/>
    <cellStyle name="Обычный 7 7 8 24 2" xfId="26033"/>
    <cellStyle name="Обычный 7 7 8 24 3" xfId="26034"/>
    <cellStyle name="Обычный 7 7 8 25" xfId="26035"/>
    <cellStyle name="Обычный 7 7 8 25 2" xfId="26036"/>
    <cellStyle name="Обычный 7 7 8 25 3" xfId="26037"/>
    <cellStyle name="Обычный 7 7 8 26" xfId="26038"/>
    <cellStyle name="Обычный 7 7 8 26 2" xfId="26039"/>
    <cellStyle name="Обычный 7 7 8 26 3" xfId="26040"/>
    <cellStyle name="Обычный 7 7 8 27" xfId="26041"/>
    <cellStyle name="Обычный 7 7 8 27 2" xfId="26042"/>
    <cellStyle name="Обычный 7 7 8 27 3" xfId="26043"/>
    <cellStyle name="Обычный 7 7 8 28" xfId="26044"/>
    <cellStyle name="Обычный 7 7 8 28 2" xfId="26045"/>
    <cellStyle name="Обычный 7 7 8 28 3" xfId="26046"/>
    <cellStyle name="Обычный 7 7 8 29" xfId="26047"/>
    <cellStyle name="Обычный 7 7 8 29 2" xfId="26048"/>
    <cellStyle name="Обычный 7 7 8 29 3" xfId="26049"/>
    <cellStyle name="Обычный 7 7 8 3" xfId="26050"/>
    <cellStyle name="Обычный 7 7 8 3 2" xfId="26051"/>
    <cellStyle name="Обычный 7 7 8 3 3" xfId="26052"/>
    <cellStyle name="Обычный 7 7 8 30" xfId="26053"/>
    <cellStyle name="Обычный 7 7 8 30 2" xfId="26054"/>
    <cellStyle name="Обычный 7 7 8 30 3" xfId="26055"/>
    <cellStyle name="Обычный 7 7 8 31" xfId="26056"/>
    <cellStyle name="Обычный 7 7 8 31 2" xfId="26057"/>
    <cellStyle name="Обычный 7 7 8 31 3" xfId="26058"/>
    <cellStyle name="Обычный 7 7 8 32" xfId="26059"/>
    <cellStyle name="Обычный 7 7 8 32 2" xfId="26060"/>
    <cellStyle name="Обычный 7 7 8 32 3" xfId="26061"/>
    <cellStyle name="Обычный 7 7 8 33" xfId="26062"/>
    <cellStyle name="Обычный 7 7 8 33 2" xfId="26063"/>
    <cellStyle name="Обычный 7 7 8 33 3" xfId="26064"/>
    <cellStyle name="Обычный 7 7 8 34" xfId="26065"/>
    <cellStyle name="Обычный 7 7 8 34 2" xfId="26066"/>
    <cellStyle name="Обычный 7 7 8 34 3" xfId="26067"/>
    <cellStyle name="Обычный 7 7 8 35" xfId="26068"/>
    <cellStyle name="Обычный 7 7 8 35 2" xfId="26069"/>
    <cellStyle name="Обычный 7 7 8 35 3" xfId="26070"/>
    <cellStyle name="Обычный 7 7 8 36" xfId="26071"/>
    <cellStyle name="Обычный 7 7 8 36 2" xfId="26072"/>
    <cellStyle name="Обычный 7 7 8 36 3" xfId="26073"/>
    <cellStyle name="Обычный 7 7 8 37" xfId="26074"/>
    <cellStyle name="Обычный 7 7 8 37 2" xfId="26075"/>
    <cellStyle name="Обычный 7 7 8 37 3" xfId="26076"/>
    <cellStyle name="Обычный 7 7 8 38" xfId="26077"/>
    <cellStyle name="Обычный 7 7 8 38 2" xfId="26078"/>
    <cellStyle name="Обычный 7 7 8 38 3" xfId="26079"/>
    <cellStyle name="Обычный 7 7 8 39" xfId="26080"/>
    <cellStyle name="Обычный 7 7 8 39 2" xfId="26081"/>
    <cellStyle name="Обычный 7 7 8 39 3" xfId="26082"/>
    <cellStyle name="Обычный 7 7 8 4" xfId="26083"/>
    <cellStyle name="Обычный 7 7 8 4 2" xfId="26084"/>
    <cellStyle name="Обычный 7 7 8 4 3" xfId="26085"/>
    <cellStyle name="Обычный 7 7 8 40" xfId="26086"/>
    <cellStyle name="Обычный 7 7 8 40 2" xfId="26087"/>
    <cellStyle name="Обычный 7 7 8 40 3" xfId="26088"/>
    <cellStyle name="Обычный 7 7 8 41" xfId="26089"/>
    <cellStyle name="Обычный 7 7 8 41 2" xfId="26090"/>
    <cellStyle name="Обычный 7 7 8 41 3" xfId="26091"/>
    <cellStyle name="Обычный 7 7 8 42" xfId="26092"/>
    <cellStyle name="Обычный 7 7 8 42 2" xfId="26093"/>
    <cellStyle name="Обычный 7 7 8 42 3" xfId="26094"/>
    <cellStyle name="Обычный 7 7 8 43" xfId="26095"/>
    <cellStyle name="Обычный 7 7 8 43 2" xfId="26096"/>
    <cellStyle name="Обычный 7 7 8 43 3" xfId="26097"/>
    <cellStyle name="Обычный 7 7 8 44" xfId="26098"/>
    <cellStyle name="Обычный 7 7 8 44 2" xfId="26099"/>
    <cellStyle name="Обычный 7 7 8 44 3" xfId="26100"/>
    <cellStyle name="Обычный 7 7 8 45" xfId="26101"/>
    <cellStyle name="Обычный 7 7 8 45 2" xfId="26102"/>
    <cellStyle name="Обычный 7 7 8 45 3" xfId="26103"/>
    <cellStyle name="Обычный 7 7 8 46" xfId="26104"/>
    <cellStyle name="Обычный 7 7 8 46 2" xfId="26105"/>
    <cellStyle name="Обычный 7 7 8 46 3" xfId="26106"/>
    <cellStyle name="Обычный 7 7 8 47" xfId="26107"/>
    <cellStyle name="Обычный 7 7 8 47 2" xfId="26108"/>
    <cellStyle name="Обычный 7 7 8 47 3" xfId="26109"/>
    <cellStyle name="Обычный 7 7 8 48" xfId="26110"/>
    <cellStyle name="Обычный 7 7 8 48 2" xfId="26111"/>
    <cellStyle name="Обычный 7 7 8 48 3" xfId="26112"/>
    <cellStyle name="Обычный 7 7 8 49" xfId="26113"/>
    <cellStyle name="Обычный 7 7 8 49 2" xfId="26114"/>
    <cellStyle name="Обычный 7 7 8 49 3" xfId="26115"/>
    <cellStyle name="Обычный 7 7 8 5" xfId="26116"/>
    <cellStyle name="Обычный 7 7 8 5 2" xfId="26117"/>
    <cellStyle name="Обычный 7 7 8 5 3" xfId="26118"/>
    <cellStyle name="Обычный 7 7 8 50" xfId="26119"/>
    <cellStyle name="Обычный 7 7 8 50 2" xfId="26120"/>
    <cellStyle name="Обычный 7 7 8 50 3" xfId="26121"/>
    <cellStyle name="Обычный 7 7 8 51" xfId="26122"/>
    <cellStyle name="Обычный 7 7 8 51 2" xfId="26123"/>
    <cellStyle name="Обычный 7 7 8 51 3" xfId="26124"/>
    <cellStyle name="Обычный 7 7 8 52" xfId="26125"/>
    <cellStyle name="Обычный 7 7 8 52 2" xfId="26126"/>
    <cellStyle name="Обычный 7 7 8 52 3" xfId="26127"/>
    <cellStyle name="Обычный 7 7 8 53" xfId="26128"/>
    <cellStyle name="Обычный 7 7 8 53 2" xfId="26129"/>
    <cellStyle name="Обычный 7 7 8 53 3" xfId="26130"/>
    <cellStyle name="Обычный 7 7 8 54" xfId="26131"/>
    <cellStyle name="Обычный 7 7 8 54 2" xfId="26132"/>
    <cellStyle name="Обычный 7 7 8 54 3" xfId="26133"/>
    <cellStyle name="Обычный 7 7 8 55" xfId="26134"/>
    <cellStyle name="Обычный 7 7 8 55 2" xfId="26135"/>
    <cellStyle name="Обычный 7 7 8 55 3" xfId="26136"/>
    <cellStyle name="Обычный 7 7 8 56" xfId="26137"/>
    <cellStyle name="Обычный 7 7 8 56 2" xfId="26138"/>
    <cellStyle name="Обычный 7 7 8 56 3" xfId="26139"/>
    <cellStyle name="Обычный 7 7 8 57" xfId="26140"/>
    <cellStyle name="Обычный 7 7 8 57 2" xfId="26141"/>
    <cellStyle name="Обычный 7 7 8 57 3" xfId="26142"/>
    <cellStyle name="Обычный 7 7 8 58" xfId="26143"/>
    <cellStyle name="Обычный 7 7 8 58 2" xfId="26144"/>
    <cellStyle name="Обычный 7 7 8 58 3" xfId="26145"/>
    <cellStyle name="Обычный 7 7 8 59" xfId="26146"/>
    <cellStyle name="Обычный 7 7 8 59 2" xfId="26147"/>
    <cellStyle name="Обычный 7 7 8 59 3" xfId="26148"/>
    <cellStyle name="Обычный 7 7 8 6" xfId="26149"/>
    <cellStyle name="Обычный 7 7 8 6 2" xfId="26150"/>
    <cellStyle name="Обычный 7 7 8 6 3" xfId="26151"/>
    <cellStyle name="Обычный 7 7 8 60" xfId="26152"/>
    <cellStyle name="Обычный 7 7 8 60 2" xfId="26153"/>
    <cellStyle name="Обычный 7 7 8 60 3" xfId="26154"/>
    <cellStyle name="Обычный 7 7 8 61" xfId="26155"/>
    <cellStyle name="Обычный 7 7 8 61 2" xfId="26156"/>
    <cellStyle name="Обычный 7 7 8 61 3" xfId="26157"/>
    <cellStyle name="Обычный 7 7 8 62" xfId="26158"/>
    <cellStyle name="Обычный 7 7 8 62 2" xfId="26159"/>
    <cellStyle name="Обычный 7 7 8 62 3" xfId="26160"/>
    <cellStyle name="Обычный 7 7 8 63" xfId="26161"/>
    <cellStyle name="Обычный 7 7 8 63 2" xfId="26162"/>
    <cellStyle name="Обычный 7 7 8 63 3" xfId="26163"/>
    <cellStyle name="Обычный 7 7 8 64" xfId="26164"/>
    <cellStyle name="Обычный 7 7 8 65" xfId="26165"/>
    <cellStyle name="Обычный 7 7 8 7" xfId="26166"/>
    <cellStyle name="Обычный 7 7 8 7 2" xfId="26167"/>
    <cellStyle name="Обычный 7 7 8 7 3" xfId="26168"/>
    <cellStyle name="Обычный 7 7 8 8" xfId="26169"/>
    <cellStyle name="Обычный 7 7 8 8 2" xfId="26170"/>
    <cellStyle name="Обычный 7 7 8 8 3" xfId="26171"/>
    <cellStyle name="Обычный 7 7 8 9" xfId="26172"/>
    <cellStyle name="Обычный 7 7 8 9 2" xfId="26173"/>
    <cellStyle name="Обычный 7 7 8 9 3" xfId="26174"/>
    <cellStyle name="Обычный 7 7 9" xfId="26175"/>
    <cellStyle name="Обычный 7 7 9 2" xfId="26176"/>
    <cellStyle name="Обычный 7 7 9 3" xfId="26177"/>
    <cellStyle name="Обычный 7 70" xfId="26178"/>
    <cellStyle name="Обычный 7 70 2" xfId="26179"/>
    <cellStyle name="Обычный 7 70 3" xfId="26180"/>
    <cellStyle name="Обычный 7 71" xfId="26181"/>
    <cellStyle name="Обычный 7 71 2" xfId="26182"/>
    <cellStyle name="Обычный 7 71 3" xfId="26183"/>
    <cellStyle name="Обычный 7 72" xfId="26184"/>
    <cellStyle name="Обычный 7 72 2" xfId="26185"/>
    <cellStyle name="Обычный 7 72 3" xfId="26186"/>
    <cellStyle name="Обычный 7 73" xfId="26187"/>
    <cellStyle name="Обычный 7 73 2" xfId="26188"/>
    <cellStyle name="Обычный 7 73 3" xfId="26189"/>
    <cellStyle name="Обычный 7 74" xfId="26190"/>
    <cellStyle name="Обычный 7 74 2" xfId="26191"/>
    <cellStyle name="Обычный 7 74 3" xfId="26192"/>
    <cellStyle name="Обычный 7 75" xfId="26193"/>
    <cellStyle name="Обычный 7 75 2" xfId="26194"/>
    <cellStyle name="Обычный 7 75 3" xfId="26195"/>
    <cellStyle name="Обычный 7 76" xfId="26196"/>
    <cellStyle name="Обычный 7 76 2" xfId="26197"/>
    <cellStyle name="Обычный 7 76 3" xfId="26198"/>
    <cellStyle name="Обычный 7 77" xfId="26199"/>
    <cellStyle name="Обычный 7 77 2" xfId="26200"/>
    <cellStyle name="Обычный 7 77 3" xfId="26201"/>
    <cellStyle name="Обычный 7 78" xfId="26202"/>
    <cellStyle name="Обычный 7 79" xfId="26203"/>
    <cellStyle name="Обычный 7 8" xfId="26204"/>
    <cellStyle name="Обычный 7 9" xfId="26205"/>
    <cellStyle name="Обычный 7 9 10" xfId="26206"/>
    <cellStyle name="Обычный 7 9 10 2" xfId="26207"/>
    <cellStyle name="Обычный 7 9 10 3" xfId="26208"/>
    <cellStyle name="Обычный 7 9 11" xfId="26209"/>
    <cellStyle name="Обычный 7 9 11 2" xfId="26210"/>
    <cellStyle name="Обычный 7 9 11 3" xfId="26211"/>
    <cellStyle name="Обычный 7 9 12" xfId="26212"/>
    <cellStyle name="Обычный 7 9 12 2" xfId="26213"/>
    <cellStyle name="Обычный 7 9 12 3" xfId="26214"/>
    <cellStyle name="Обычный 7 9 13" xfId="26215"/>
    <cellStyle name="Обычный 7 9 13 2" xfId="26216"/>
    <cellStyle name="Обычный 7 9 13 3" xfId="26217"/>
    <cellStyle name="Обычный 7 9 14" xfId="26218"/>
    <cellStyle name="Обычный 7 9 14 2" xfId="26219"/>
    <cellStyle name="Обычный 7 9 14 3" xfId="26220"/>
    <cellStyle name="Обычный 7 9 15" xfId="26221"/>
    <cellStyle name="Обычный 7 9 15 2" xfId="26222"/>
    <cellStyle name="Обычный 7 9 15 3" xfId="26223"/>
    <cellStyle name="Обычный 7 9 16" xfId="26224"/>
    <cellStyle name="Обычный 7 9 16 2" xfId="26225"/>
    <cellStyle name="Обычный 7 9 16 3" xfId="26226"/>
    <cellStyle name="Обычный 7 9 17" xfId="26227"/>
    <cellStyle name="Обычный 7 9 17 2" xfId="26228"/>
    <cellStyle name="Обычный 7 9 17 3" xfId="26229"/>
    <cellStyle name="Обычный 7 9 18" xfId="26230"/>
    <cellStyle name="Обычный 7 9 18 2" xfId="26231"/>
    <cellStyle name="Обычный 7 9 18 3" xfId="26232"/>
    <cellStyle name="Обычный 7 9 19" xfId="26233"/>
    <cellStyle name="Обычный 7 9 19 2" xfId="26234"/>
    <cellStyle name="Обычный 7 9 19 3" xfId="26235"/>
    <cellStyle name="Обычный 7 9 2" xfId="26236"/>
    <cellStyle name="Обычный 7 9 2 2" xfId="26237"/>
    <cellStyle name="Обычный 7 9 2 3" xfId="26238"/>
    <cellStyle name="Обычный 7 9 20" xfId="26239"/>
    <cellStyle name="Обычный 7 9 20 2" xfId="26240"/>
    <cellStyle name="Обычный 7 9 20 3" xfId="26241"/>
    <cellStyle name="Обычный 7 9 21" xfId="26242"/>
    <cellStyle name="Обычный 7 9 21 2" xfId="26243"/>
    <cellStyle name="Обычный 7 9 21 3" xfId="26244"/>
    <cellStyle name="Обычный 7 9 22" xfId="26245"/>
    <cellStyle name="Обычный 7 9 22 2" xfId="26246"/>
    <cellStyle name="Обычный 7 9 22 3" xfId="26247"/>
    <cellStyle name="Обычный 7 9 23" xfId="26248"/>
    <cellStyle name="Обычный 7 9 23 2" xfId="26249"/>
    <cellStyle name="Обычный 7 9 23 3" xfId="26250"/>
    <cellStyle name="Обычный 7 9 24" xfId="26251"/>
    <cellStyle name="Обычный 7 9 24 2" xfId="26252"/>
    <cellStyle name="Обычный 7 9 24 3" xfId="26253"/>
    <cellStyle name="Обычный 7 9 25" xfId="26254"/>
    <cellStyle name="Обычный 7 9 25 2" xfId="26255"/>
    <cellStyle name="Обычный 7 9 25 3" xfId="26256"/>
    <cellStyle name="Обычный 7 9 26" xfId="26257"/>
    <cellStyle name="Обычный 7 9 26 2" xfId="26258"/>
    <cellStyle name="Обычный 7 9 26 3" xfId="26259"/>
    <cellStyle name="Обычный 7 9 27" xfId="26260"/>
    <cellStyle name="Обычный 7 9 27 2" xfId="26261"/>
    <cellStyle name="Обычный 7 9 27 3" xfId="26262"/>
    <cellStyle name="Обычный 7 9 28" xfId="26263"/>
    <cellStyle name="Обычный 7 9 28 2" xfId="26264"/>
    <cellStyle name="Обычный 7 9 28 3" xfId="26265"/>
    <cellStyle name="Обычный 7 9 29" xfId="26266"/>
    <cellStyle name="Обычный 7 9 29 2" xfId="26267"/>
    <cellStyle name="Обычный 7 9 29 3" xfId="26268"/>
    <cellStyle name="Обычный 7 9 3" xfId="26269"/>
    <cellStyle name="Обычный 7 9 3 2" xfId="26270"/>
    <cellStyle name="Обычный 7 9 3 3" xfId="26271"/>
    <cellStyle name="Обычный 7 9 30" xfId="26272"/>
    <cellStyle name="Обычный 7 9 30 2" xfId="26273"/>
    <cellStyle name="Обычный 7 9 30 3" xfId="26274"/>
    <cellStyle name="Обычный 7 9 31" xfId="26275"/>
    <cellStyle name="Обычный 7 9 31 2" xfId="26276"/>
    <cellStyle name="Обычный 7 9 31 3" xfId="26277"/>
    <cellStyle name="Обычный 7 9 32" xfId="26278"/>
    <cellStyle name="Обычный 7 9 32 2" xfId="26279"/>
    <cellStyle name="Обычный 7 9 32 3" xfId="26280"/>
    <cellStyle name="Обычный 7 9 33" xfId="26281"/>
    <cellStyle name="Обычный 7 9 33 2" xfId="26282"/>
    <cellStyle name="Обычный 7 9 33 3" xfId="26283"/>
    <cellStyle name="Обычный 7 9 34" xfId="26284"/>
    <cellStyle name="Обычный 7 9 34 2" xfId="26285"/>
    <cellStyle name="Обычный 7 9 34 3" xfId="26286"/>
    <cellStyle name="Обычный 7 9 35" xfId="26287"/>
    <cellStyle name="Обычный 7 9 35 2" xfId="26288"/>
    <cellStyle name="Обычный 7 9 35 3" xfId="26289"/>
    <cellStyle name="Обычный 7 9 36" xfId="26290"/>
    <cellStyle name="Обычный 7 9 36 2" xfId="26291"/>
    <cellStyle name="Обычный 7 9 36 3" xfId="26292"/>
    <cellStyle name="Обычный 7 9 37" xfId="26293"/>
    <cellStyle name="Обычный 7 9 37 2" xfId="26294"/>
    <cellStyle name="Обычный 7 9 37 3" xfId="26295"/>
    <cellStyle name="Обычный 7 9 38" xfId="26296"/>
    <cellStyle name="Обычный 7 9 38 2" xfId="26297"/>
    <cellStyle name="Обычный 7 9 38 3" xfId="26298"/>
    <cellStyle name="Обычный 7 9 39" xfId="26299"/>
    <cellStyle name="Обычный 7 9 39 2" xfId="26300"/>
    <cellStyle name="Обычный 7 9 39 3" xfId="26301"/>
    <cellStyle name="Обычный 7 9 4" xfId="26302"/>
    <cellStyle name="Обычный 7 9 4 2" xfId="26303"/>
    <cellStyle name="Обычный 7 9 4 3" xfId="26304"/>
    <cellStyle name="Обычный 7 9 40" xfId="26305"/>
    <cellStyle name="Обычный 7 9 40 2" xfId="26306"/>
    <cellStyle name="Обычный 7 9 40 3" xfId="26307"/>
    <cellStyle name="Обычный 7 9 41" xfId="26308"/>
    <cellStyle name="Обычный 7 9 41 2" xfId="26309"/>
    <cellStyle name="Обычный 7 9 41 3" xfId="26310"/>
    <cellStyle name="Обычный 7 9 42" xfId="26311"/>
    <cellStyle name="Обычный 7 9 42 2" xfId="26312"/>
    <cellStyle name="Обычный 7 9 42 3" xfId="26313"/>
    <cellStyle name="Обычный 7 9 43" xfId="26314"/>
    <cellStyle name="Обычный 7 9 43 2" xfId="26315"/>
    <cellStyle name="Обычный 7 9 43 3" xfId="26316"/>
    <cellStyle name="Обычный 7 9 44" xfId="26317"/>
    <cellStyle name="Обычный 7 9 44 2" xfId="26318"/>
    <cellStyle name="Обычный 7 9 44 3" xfId="26319"/>
    <cellStyle name="Обычный 7 9 45" xfId="26320"/>
    <cellStyle name="Обычный 7 9 45 2" xfId="26321"/>
    <cellStyle name="Обычный 7 9 45 3" xfId="26322"/>
    <cellStyle name="Обычный 7 9 46" xfId="26323"/>
    <cellStyle name="Обычный 7 9 46 2" xfId="26324"/>
    <cellStyle name="Обычный 7 9 46 3" xfId="26325"/>
    <cellStyle name="Обычный 7 9 47" xfId="26326"/>
    <cellStyle name="Обычный 7 9 47 2" xfId="26327"/>
    <cellStyle name="Обычный 7 9 47 3" xfId="26328"/>
    <cellStyle name="Обычный 7 9 48" xfId="26329"/>
    <cellStyle name="Обычный 7 9 48 2" xfId="26330"/>
    <cellStyle name="Обычный 7 9 48 3" xfId="26331"/>
    <cellStyle name="Обычный 7 9 49" xfId="26332"/>
    <cellStyle name="Обычный 7 9 49 2" xfId="26333"/>
    <cellStyle name="Обычный 7 9 49 3" xfId="26334"/>
    <cellStyle name="Обычный 7 9 5" xfId="26335"/>
    <cellStyle name="Обычный 7 9 5 2" xfId="26336"/>
    <cellStyle name="Обычный 7 9 5 3" xfId="26337"/>
    <cellStyle name="Обычный 7 9 50" xfId="26338"/>
    <cellStyle name="Обычный 7 9 50 2" xfId="26339"/>
    <cellStyle name="Обычный 7 9 50 3" xfId="26340"/>
    <cellStyle name="Обычный 7 9 51" xfId="26341"/>
    <cellStyle name="Обычный 7 9 51 2" xfId="26342"/>
    <cellStyle name="Обычный 7 9 51 3" xfId="26343"/>
    <cellStyle name="Обычный 7 9 52" xfId="26344"/>
    <cellStyle name="Обычный 7 9 52 2" xfId="26345"/>
    <cellStyle name="Обычный 7 9 52 3" xfId="26346"/>
    <cellStyle name="Обычный 7 9 53" xfId="26347"/>
    <cellStyle name="Обычный 7 9 53 2" xfId="26348"/>
    <cellStyle name="Обычный 7 9 53 3" xfId="26349"/>
    <cellStyle name="Обычный 7 9 54" xfId="26350"/>
    <cellStyle name="Обычный 7 9 54 2" xfId="26351"/>
    <cellStyle name="Обычный 7 9 54 3" xfId="26352"/>
    <cellStyle name="Обычный 7 9 55" xfId="26353"/>
    <cellStyle name="Обычный 7 9 55 2" xfId="26354"/>
    <cellStyle name="Обычный 7 9 55 3" xfId="26355"/>
    <cellStyle name="Обычный 7 9 56" xfId="26356"/>
    <cellStyle name="Обычный 7 9 56 2" xfId="26357"/>
    <cellStyle name="Обычный 7 9 56 3" xfId="26358"/>
    <cellStyle name="Обычный 7 9 57" xfId="26359"/>
    <cellStyle name="Обычный 7 9 57 2" xfId="26360"/>
    <cellStyle name="Обычный 7 9 57 3" xfId="26361"/>
    <cellStyle name="Обычный 7 9 58" xfId="26362"/>
    <cellStyle name="Обычный 7 9 58 2" xfId="26363"/>
    <cellStyle name="Обычный 7 9 58 3" xfId="26364"/>
    <cellStyle name="Обычный 7 9 59" xfId="26365"/>
    <cellStyle name="Обычный 7 9 59 2" xfId="26366"/>
    <cellStyle name="Обычный 7 9 59 3" xfId="26367"/>
    <cellStyle name="Обычный 7 9 6" xfId="26368"/>
    <cellStyle name="Обычный 7 9 6 2" xfId="26369"/>
    <cellStyle name="Обычный 7 9 6 3" xfId="26370"/>
    <cellStyle name="Обычный 7 9 60" xfId="26371"/>
    <cellStyle name="Обычный 7 9 60 2" xfId="26372"/>
    <cellStyle name="Обычный 7 9 60 3" xfId="26373"/>
    <cellStyle name="Обычный 7 9 61" xfId="26374"/>
    <cellStyle name="Обычный 7 9 61 2" xfId="26375"/>
    <cellStyle name="Обычный 7 9 61 3" xfId="26376"/>
    <cellStyle name="Обычный 7 9 62" xfId="26377"/>
    <cellStyle name="Обычный 7 9 62 2" xfId="26378"/>
    <cellStyle name="Обычный 7 9 62 3" xfId="26379"/>
    <cellStyle name="Обычный 7 9 63" xfId="26380"/>
    <cellStyle name="Обычный 7 9 63 2" xfId="26381"/>
    <cellStyle name="Обычный 7 9 63 3" xfId="26382"/>
    <cellStyle name="Обычный 7 9 64" xfId="26383"/>
    <cellStyle name="Обычный 7 9 65" xfId="26384"/>
    <cellStyle name="Обычный 7 9 7" xfId="26385"/>
    <cellStyle name="Обычный 7 9 7 2" xfId="26386"/>
    <cellStyle name="Обычный 7 9 7 3" xfId="26387"/>
    <cellStyle name="Обычный 7 9 8" xfId="26388"/>
    <cellStyle name="Обычный 7 9 8 2" xfId="26389"/>
    <cellStyle name="Обычный 7 9 8 3" xfId="26390"/>
    <cellStyle name="Обычный 7 9 9" xfId="26391"/>
    <cellStyle name="Обычный 7 9 9 2" xfId="26392"/>
    <cellStyle name="Обычный 7 9 9 3" xfId="26393"/>
    <cellStyle name="Обычный 70" xfId="26394"/>
    <cellStyle name="Обычный 70 2" xfId="26395"/>
    <cellStyle name="Обычный 70 3" xfId="26396"/>
    <cellStyle name="Обычный 71" xfId="26397"/>
    <cellStyle name="Обычный 71 2" xfId="26398"/>
    <cellStyle name="Обычный 71 3" xfId="26399"/>
    <cellStyle name="Обычный 72" xfId="26400"/>
    <cellStyle name="Обычный 72 2" xfId="26401"/>
    <cellStyle name="Обычный 72 3" xfId="26402"/>
    <cellStyle name="Обычный 73" xfId="26403"/>
    <cellStyle name="Обычный 73 2" xfId="26404"/>
    <cellStyle name="Обычный 73 3" xfId="26405"/>
    <cellStyle name="Обычный 74" xfId="26406"/>
    <cellStyle name="Обычный 74 2" xfId="26407"/>
    <cellStyle name="Обычный 74 3" xfId="26408"/>
    <cellStyle name="Обычный 75" xfId="26409"/>
    <cellStyle name="Обычный 75 2" xfId="26410"/>
    <cellStyle name="Обычный 75 3" xfId="26411"/>
    <cellStyle name="Обычный 76" xfId="26412"/>
    <cellStyle name="Обычный 76 2" xfId="26413"/>
    <cellStyle name="Обычный 76 3" xfId="26414"/>
    <cellStyle name="Обычный 77" xfId="26415"/>
    <cellStyle name="Обычный 77 2" xfId="26416"/>
    <cellStyle name="Обычный 77 3" xfId="26417"/>
    <cellStyle name="Обычный 78" xfId="26418"/>
    <cellStyle name="Обычный 78 2" xfId="26419"/>
    <cellStyle name="Обычный 78 3" xfId="26420"/>
    <cellStyle name="Обычный 79" xfId="26421"/>
    <cellStyle name="Обычный 79 2" xfId="26422"/>
    <cellStyle name="Обычный 79 3" xfId="26423"/>
    <cellStyle name="Обычный 8" xfId="26424"/>
    <cellStyle name="Обычный 8 10" xfId="26425"/>
    <cellStyle name="Обычный 8 10 10" xfId="26426"/>
    <cellStyle name="Обычный 8 10 10 2" xfId="26427"/>
    <cellStyle name="Обычный 8 10 10 3" xfId="26428"/>
    <cellStyle name="Обычный 8 10 11" xfId="26429"/>
    <cellStyle name="Обычный 8 10 11 2" xfId="26430"/>
    <cellStyle name="Обычный 8 10 11 3" xfId="26431"/>
    <cellStyle name="Обычный 8 10 12" xfId="26432"/>
    <cellStyle name="Обычный 8 10 12 2" xfId="26433"/>
    <cellStyle name="Обычный 8 10 12 3" xfId="26434"/>
    <cellStyle name="Обычный 8 10 13" xfId="26435"/>
    <cellStyle name="Обычный 8 10 13 2" xfId="26436"/>
    <cellStyle name="Обычный 8 10 13 3" xfId="26437"/>
    <cellStyle name="Обычный 8 10 14" xfId="26438"/>
    <cellStyle name="Обычный 8 10 14 2" xfId="26439"/>
    <cellStyle name="Обычный 8 10 14 3" xfId="26440"/>
    <cellStyle name="Обычный 8 10 15" xfId="26441"/>
    <cellStyle name="Обычный 8 10 15 2" xfId="26442"/>
    <cellStyle name="Обычный 8 10 15 3" xfId="26443"/>
    <cellStyle name="Обычный 8 10 16" xfId="26444"/>
    <cellStyle name="Обычный 8 10 16 2" xfId="26445"/>
    <cellStyle name="Обычный 8 10 16 3" xfId="26446"/>
    <cellStyle name="Обычный 8 10 17" xfId="26447"/>
    <cellStyle name="Обычный 8 10 17 2" xfId="26448"/>
    <cellStyle name="Обычный 8 10 17 3" xfId="26449"/>
    <cellStyle name="Обычный 8 10 18" xfId="26450"/>
    <cellStyle name="Обычный 8 10 18 2" xfId="26451"/>
    <cellStyle name="Обычный 8 10 18 3" xfId="26452"/>
    <cellStyle name="Обычный 8 10 19" xfId="26453"/>
    <cellStyle name="Обычный 8 10 19 2" xfId="26454"/>
    <cellStyle name="Обычный 8 10 19 3" xfId="26455"/>
    <cellStyle name="Обычный 8 10 2" xfId="26456"/>
    <cellStyle name="Обычный 8 10 2 2" xfId="26457"/>
    <cellStyle name="Обычный 8 10 2 3" xfId="26458"/>
    <cellStyle name="Обычный 8 10 20" xfId="26459"/>
    <cellStyle name="Обычный 8 10 20 2" xfId="26460"/>
    <cellStyle name="Обычный 8 10 20 3" xfId="26461"/>
    <cellStyle name="Обычный 8 10 21" xfId="26462"/>
    <cellStyle name="Обычный 8 10 21 2" xfId="26463"/>
    <cellStyle name="Обычный 8 10 21 3" xfId="26464"/>
    <cellStyle name="Обычный 8 10 22" xfId="26465"/>
    <cellStyle name="Обычный 8 10 22 2" xfId="26466"/>
    <cellStyle name="Обычный 8 10 22 3" xfId="26467"/>
    <cellStyle name="Обычный 8 10 23" xfId="26468"/>
    <cellStyle name="Обычный 8 10 23 2" xfId="26469"/>
    <cellStyle name="Обычный 8 10 23 3" xfId="26470"/>
    <cellStyle name="Обычный 8 10 24" xfId="26471"/>
    <cellStyle name="Обычный 8 10 24 2" xfId="26472"/>
    <cellStyle name="Обычный 8 10 24 3" xfId="26473"/>
    <cellStyle name="Обычный 8 10 25" xfId="26474"/>
    <cellStyle name="Обычный 8 10 25 2" xfId="26475"/>
    <cellStyle name="Обычный 8 10 25 3" xfId="26476"/>
    <cellStyle name="Обычный 8 10 26" xfId="26477"/>
    <cellStyle name="Обычный 8 10 26 2" xfId="26478"/>
    <cellStyle name="Обычный 8 10 26 3" xfId="26479"/>
    <cellStyle name="Обычный 8 10 27" xfId="26480"/>
    <cellStyle name="Обычный 8 10 27 2" xfId="26481"/>
    <cellStyle name="Обычный 8 10 27 3" xfId="26482"/>
    <cellStyle name="Обычный 8 10 28" xfId="26483"/>
    <cellStyle name="Обычный 8 10 28 2" xfId="26484"/>
    <cellStyle name="Обычный 8 10 28 3" xfId="26485"/>
    <cellStyle name="Обычный 8 10 29" xfId="26486"/>
    <cellStyle name="Обычный 8 10 29 2" xfId="26487"/>
    <cellStyle name="Обычный 8 10 29 3" xfId="26488"/>
    <cellStyle name="Обычный 8 10 3" xfId="26489"/>
    <cellStyle name="Обычный 8 10 3 2" xfId="26490"/>
    <cellStyle name="Обычный 8 10 3 3" xfId="26491"/>
    <cellStyle name="Обычный 8 10 30" xfId="26492"/>
    <cellStyle name="Обычный 8 10 30 2" xfId="26493"/>
    <cellStyle name="Обычный 8 10 30 3" xfId="26494"/>
    <cellStyle name="Обычный 8 10 31" xfId="26495"/>
    <cellStyle name="Обычный 8 10 31 2" xfId="26496"/>
    <cellStyle name="Обычный 8 10 31 3" xfId="26497"/>
    <cellStyle name="Обычный 8 10 32" xfId="26498"/>
    <cellStyle name="Обычный 8 10 32 2" xfId="26499"/>
    <cellStyle name="Обычный 8 10 32 3" xfId="26500"/>
    <cellStyle name="Обычный 8 10 33" xfId="26501"/>
    <cellStyle name="Обычный 8 10 33 2" xfId="26502"/>
    <cellStyle name="Обычный 8 10 33 3" xfId="26503"/>
    <cellStyle name="Обычный 8 10 34" xfId="26504"/>
    <cellStyle name="Обычный 8 10 34 2" xfId="26505"/>
    <cellStyle name="Обычный 8 10 34 3" xfId="26506"/>
    <cellStyle name="Обычный 8 10 35" xfId="26507"/>
    <cellStyle name="Обычный 8 10 35 2" xfId="26508"/>
    <cellStyle name="Обычный 8 10 35 3" xfId="26509"/>
    <cellStyle name="Обычный 8 10 36" xfId="26510"/>
    <cellStyle name="Обычный 8 10 36 2" xfId="26511"/>
    <cellStyle name="Обычный 8 10 36 3" xfId="26512"/>
    <cellStyle name="Обычный 8 10 37" xfId="26513"/>
    <cellStyle name="Обычный 8 10 37 2" xfId="26514"/>
    <cellStyle name="Обычный 8 10 37 3" xfId="26515"/>
    <cellStyle name="Обычный 8 10 38" xfId="26516"/>
    <cellStyle name="Обычный 8 10 38 2" xfId="26517"/>
    <cellStyle name="Обычный 8 10 38 3" xfId="26518"/>
    <cellStyle name="Обычный 8 10 39" xfId="26519"/>
    <cellStyle name="Обычный 8 10 39 2" xfId="26520"/>
    <cellStyle name="Обычный 8 10 39 3" xfId="26521"/>
    <cellStyle name="Обычный 8 10 4" xfId="26522"/>
    <cellStyle name="Обычный 8 10 4 2" xfId="26523"/>
    <cellStyle name="Обычный 8 10 4 3" xfId="26524"/>
    <cellStyle name="Обычный 8 10 40" xfId="26525"/>
    <cellStyle name="Обычный 8 10 40 2" xfId="26526"/>
    <cellStyle name="Обычный 8 10 40 3" xfId="26527"/>
    <cellStyle name="Обычный 8 10 41" xfId="26528"/>
    <cellStyle name="Обычный 8 10 41 2" xfId="26529"/>
    <cellStyle name="Обычный 8 10 41 3" xfId="26530"/>
    <cellStyle name="Обычный 8 10 42" xfId="26531"/>
    <cellStyle name="Обычный 8 10 42 2" xfId="26532"/>
    <cellStyle name="Обычный 8 10 42 3" xfId="26533"/>
    <cellStyle name="Обычный 8 10 43" xfId="26534"/>
    <cellStyle name="Обычный 8 10 43 2" xfId="26535"/>
    <cellStyle name="Обычный 8 10 43 3" xfId="26536"/>
    <cellStyle name="Обычный 8 10 44" xfId="26537"/>
    <cellStyle name="Обычный 8 10 44 2" xfId="26538"/>
    <cellStyle name="Обычный 8 10 44 3" xfId="26539"/>
    <cellStyle name="Обычный 8 10 45" xfId="26540"/>
    <cellStyle name="Обычный 8 10 45 2" xfId="26541"/>
    <cellStyle name="Обычный 8 10 45 3" xfId="26542"/>
    <cellStyle name="Обычный 8 10 46" xfId="26543"/>
    <cellStyle name="Обычный 8 10 46 2" xfId="26544"/>
    <cellStyle name="Обычный 8 10 46 3" xfId="26545"/>
    <cellStyle name="Обычный 8 10 47" xfId="26546"/>
    <cellStyle name="Обычный 8 10 47 2" xfId="26547"/>
    <cellStyle name="Обычный 8 10 47 3" xfId="26548"/>
    <cellStyle name="Обычный 8 10 48" xfId="26549"/>
    <cellStyle name="Обычный 8 10 48 2" xfId="26550"/>
    <cellStyle name="Обычный 8 10 48 3" xfId="26551"/>
    <cellStyle name="Обычный 8 10 49" xfId="26552"/>
    <cellStyle name="Обычный 8 10 49 2" xfId="26553"/>
    <cellStyle name="Обычный 8 10 49 3" xfId="26554"/>
    <cellStyle name="Обычный 8 10 5" xfId="26555"/>
    <cellStyle name="Обычный 8 10 5 2" xfId="26556"/>
    <cellStyle name="Обычный 8 10 5 3" xfId="26557"/>
    <cellStyle name="Обычный 8 10 50" xfId="26558"/>
    <cellStyle name="Обычный 8 10 50 2" xfId="26559"/>
    <cellStyle name="Обычный 8 10 50 3" xfId="26560"/>
    <cellStyle name="Обычный 8 10 51" xfId="26561"/>
    <cellStyle name="Обычный 8 10 51 2" xfId="26562"/>
    <cellStyle name="Обычный 8 10 51 3" xfId="26563"/>
    <cellStyle name="Обычный 8 10 52" xfId="26564"/>
    <cellStyle name="Обычный 8 10 52 2" xfId="26565"/>
    <cellStyle name="Обычный 8 10 52 3" xfId="26566"/>
    <cellStyle name="Обычный 8 10 53" xfId="26567"/>
    <cellStyle name="Обычный 8 10 53 2" xfId="26568"/>
    <cellStyle name="Обычный 8 10 53 3" xfId="26569"/>
    <cellStyle name="Обычный 8 10 54" xfId="26570"/>
    <cellStyle name="Обычный 8 10 54 2" xfId="26571"/>
    <cellStyle name="Обычный 8 10 54 3" xfId="26572"/>
    <cellStyle name="Обычный 8 10 55" xfId="26573"/>
    <cellStyle name="Обычный 8 10 55 2" xfId="26574"/>
    <cellStyle name="Обычный 8 10 55 3" xfId="26575"/>
    <cellStyle name="Обычный 8 10 56" xfId="26576"/>
    <cellStyle name="Обычный 8 10 56 2" xfId="26577"/>
    <cellStyle name="Обычный 8 10 56 3" xfId="26578"/>
    <cellStyle name="Обычный 8 10 57" xfId="26579"/>
    <cellStyle name="Обычный 8 10 57 2" xfId="26580"/>
    <cellStyle name="Обычный 8 10 57 3" xfId="26581"/>
    <cellStyle name="Обычный 8 10 58" xfId="26582"/>
    <cellStyle name="Обычный 8 10 58 2" xfId="26583"/>
    <cellStyle name="Обычный 8 10 58 3" xfId="26584"/>
    <cellStyle name="Обычный 8 10 59" xfId="26585"/>
    <cellStyle name="Обычный 8 10 59 2" xfId="26586"/>
    <cellStyle name="Обычный 8 10 59 3" xfId="26587"/>
    <cellStyle name="Обычный 8 10 6" xfId="26588"/>
    <cellStyle name="Обычный 8 10 6 2" xfId="26589"/>
    <cellStyle name="Обычный 8 10 6 3" xfId="26590"/>
    <cellStyle name="Обычный 8 10 60" xfId="26591"/>
    <cellStyle name="Обычный 8 10 60 2" xfId="26592"/>
    <cellStyle name="Обычный 8 10 60 3" xfId="26593"/>
    <cellStyle name="Обычный 8 10 61" xfId="26594"/>
    <cellStyle name="Обычный 8 10 61 2" xfId="26595"/>
    <cellStyle name="Обычный 8 10 61 3" xfId="26596"/>
    <cellStyle name="Обычный 8 10 62" xfId="26597"/>
    <cellStyle name="Обычный 8 10 62 2" xfId="26598"/>
    <cellStyle name="Обычный 8 10 62 3" xfId="26599"/>
    <cellStyle name="Обычный 8 10 63" xfId="26600"/>
    <cellStyle name="Обычный 8 10 63 2" xfId="26601"/>
    <cellStyle name="Обычный 8 10 63 3" xfId="26602"/>
    <cellStyle name="Обычный 8 10 64" xfId="26603"/>
    <cellStyle name="Обычный 8 10 65" xfId="26604"/>
    <cellStyle name="Обычный 8 10 7" xfId="26605"/>
    <cellStyle name="Обычный 8 10 7 2" xfId="26606"/>
    <cellStyle name="Обычный 8 10 7 3" xfId="26607"/>
    <cellStyle name="Обычный 8 10 8" xfId="26608"/>
    <cellStyle name="Обычный 8 10 8 2" xfId="26609"/>
    <cellStyle name="Обычный 8 10 8 3" xfId="26610"/>
    <cellStyle name="Обычный 8 10 9" xfId="26611"/>
    <cellStyle name="Обычный 8 10 9 2" xfId="26612"/>
    <cellStyle name="Обычный 8 10 9 3" xfId="26613"/>
    <cellStyle name="Обычный 8 11" xfId="26614"/>
    <cellStyle name="Обычный 8 11 2" xfId="26615"/>
    <cellStyle name="Обычный 8 11 3" xfId="26616"/>
    <cellStyle name="Обычный 8 12" xfId="26617"/>
    <cellStyle name="Обычный 8 12 2" xfId="26618"/>
    <cellStyle name="Обычный 8 12 3" xfId="26619"/>
    <cellStyle name="Обычный 8 13" xfId="26620"/>
    <cellStyle name="Обычный 8 13 2" xfId="26621"/>
    <cellStyle name="Обычный 8 13 3" xfId="26622"/>
    <cellStyle name="Обычный 8 14" xfId="26623"/>
    <cellStyle name="Обычный 8 14 2" xfId="26624"/>
    <cellStyle name="Обычный 8 14 3" xfId="26625"/>
    <cellStyle name="Обычный 8 15" xfId="26626"/>
    <cellStyle name="Обычный 8 15 2" xfId="26627"/>
    <cellStyle name="Обычный 8 15 3" xfId="26628"/>
    <cellStyle name="Обычный 8 16" xfId="26629"/>
    <cellStyle name="Обычный 8 16 2" xfId="26630"/>
    <cellStyle name="Обычный 8 16 3" xfId="26631"/>
    <cellStyle name="Обычный 8 17" xfId="26632"/>
    <cellStyle name="Обычный 8 17 2" xfId="26633"/>
    <cellStyle name="Обычный 8 17 3" xfId="26634"/>
    <cellStyle name="Обычный 8 18" xfId="26635"/>
    <cellStyle name="Обычный 8 18 2" xfId="26636"/>
    <cellStyle name="Обычный 8 18 3" xfId="26637"/>
    <cellStyle name="Обычный 8 19" xfId="26638"/>
    <cellStyle name="Обычный 8 19 2" xfId="26639"/>
    <cellStyle name="Обычный 8 19 3" xfId="26640"/>
    <cellStyle name="Обычный 8 2" xfId="121"/>
    <cellStyle name="Обычный 8 2 10" xfId="26641"/>
    <cellStyle name="Обычный 8 2 10 2" xfId="26642"/>
    <cellStyle name="Обычный 8 2 10 3" xfId="26643"/>
    <cellStyle name="Обычный 8 2 11" xfId="26644"/>
    <cellStyle name="Обычный 8 2 11 2" xfId="26645"/>
    <cellStyle name="Обычный 8 2 11 3" xfId="26646"/>
    <cellStyle name="Обычный 8 2 12" xfId="26647"/>
    <cellStyle name="Обычный 8 2 12 2" xfId="26648"/>
    <cellStyle name="Обычный 8 2 12 3" xfId="26649"/>
    <cellStyle name="Обычный 8 2 13" xfId="26650"/>
    <cellStyle name="Обычный 8 2 13 2" xfId="26651"/>
    <cellStyle name="Обычный 8 2 13 3" xfId="26652"/>
    <cellStyle name="Обычный 8 2 14" xfId="26653"/>
    <cellStyle name="Обычный 8 2 14 2" xfId="26654"/>
    <cellStyle name="Обычный 8 2 14 3" xfId="26655"/>
    <cellStyle name="Обычный 8 2 15" xfId="26656"/>
    <cellStyle name="Обычный 8 2 15 2" xfId="26657"/>
    <cellStyle name="Обычный 8 2 15 3" xfId="26658"/>
    <cellStyle name="Обычный 8 2 16" xfId="26659"/>
    <cellStyle name="Обычный 8 2 16 2" xfId="26660"/>
    <cellStyle name="Обычный 8 2 16 3" xfId="26661"/>
    <cellStyle name="Обычный 8 2 17" xfId="26662"/>
    <cellStyle name="Обычный 8 2 17 2" xfId="26663"/>
    <cellStyle name="Обычный 8 2 17 3" xfId="26664"/>
    <cellStyle name="Обычный 8 2 18" xfId="26665"/>
    <cellStyle name="Обычный 8 2 18 2" xfId="26666"/>
    <cellStyle name="Обычный 8 2 18 3" xfId="26667"/>
    <cellStyle name="Обычный 8 2 19" xfId="26668"/>
    <cellStyle name="Обычный 8 2 19 2" xfId="26669"/>
    <cellStyle name="Обычный 8 2 19 3" xfId="26670"/>
    <cellStyle name="Обычный 8 2 2" xfId="26671"/>
    <cellStyle name="Обычный 8 2 2 10" xfId="26672"/>
    <cellStyle name="Обычный 8 2 2 10 2" xfId="26673"/>
    <cellStyle name="Обычный 8 2 2 10 3" xfId="26674"/>
    <cellStyle name="Обычный 8 2 2 11" xfId="26675"/>
    <cellStyle name="Обычный 8 2 2 11 2" xfId="26676"/>
    <cellStyle name="Обычный 8 2 2 11 3" xfId="26677"/>
    <cellStyle name="Обычный 8 2 2 12" xfId="26678"/>
    <cellStyle name="Обычный 8 2 2 12 2" xfId="26679"/>
    <cellStyle name="Обычный 8 2 2 12 3" xfId="26680"/>
    <cellStyle name="Обычный 8 2 2 13" xfId="26681"/>
    <cellStyle name="Обычный 8 2 2 13 2" xfId="26682"/>
    <cellStyle name="Обычный 8 2 2 13 3" xfId="26683"/>
    <cellStyle name="Обычный 8 2 2 14" xfId="26684"/>
    <cellStyle name="Обычный 8 2 2 14 2" xfId="26685"/>
    <cellStyle name="Обычный 8 2 2 14 3" xfId="26686"/>
    <cellStyle name="Обычный 8 2 2 15" xfId="26687"/>
    <cellStyle name="Обычный 8 2 2 15 2" xfId="26688"/>
    <cellStyle name="Обычный 8 2 2 15 3" xfId="26689"/>
    <cellStyle name="Обычный 8 2 2 16" xfId="26690"/>
    <cellStyle name="Обычный 8 2 2 16 2" xfId="26691"/>
    <cellStyle name="Обычный 8 2 2 16 3" xfId="26692"/>
    <cellStyle name="Обычный 8 2 2 17" xfId="26693"/>
    <cellStyle name="Обычный 8 2 2 17 2" xfId="26694"/>
    <cellStyle name="Обычный 8 2 2 17 3" xfId="26695"/>
    <cellStyle name="Обычный 8 2 2 18" xfId="26696"/>
    <cellStyle name="Обычный 8 2 2 18 2" xfId="26697"/>
    <cellStyle name="Обычный 8 2 2 18 3" xfId="26698"/>
    <cellStyle name="Обычный 8 2 2 19" xfId="26699"/>
    <cellStyle name="Обычный 8 2 2 19 2" xfId="26700"/>
    <cellStyle name="Обычный 8 2 2 19 3" xfId="26701"/>
    <cellStyle name="Обычный 8 2 2 2" xfId="26702"/>
    <cellStyle name="Обычный 8 2 2 2 2" xfId="26703"/>
    <cellStyle name="Обычный 8 2 2 2 3" xfId="26704"/>
    <cellStyle name="Обычный 8 2 2 20" xfId="26705"/>
    <cellStyle name="Обычный 8 2 2 20 2" xfId="26706"/>
    <cellStyle name="Обычный 8 2 2 20 3" xfId="26707"/>
    <cellStyle name="Обычный 8 2 2 21" xfId="26708"/>
    <cellStyle name="Обычный 8 2 2 21 2" xfId="26709"/>
    <cellStyle name="Обычный 8 2 2 21 3" xfId="26710"/>
    <cellStyle name="Обычный 8 2 2 22" xfId="26711"/>
    <cellStyle name="Обычный 8 2 2 22 2" xfId="26712"/>
    <cellStyle name="Обычный 8 2 2 22 3" xfId="26713"/>
    <cellStyle name="Обычный 8 2 2 23" xfId="26714"/>
    <cellStyle name="Обычный 8 2 2 23 2" xfId="26715"/>
    <cellStyle name="Обычный 8 2 2 23 3" xfId="26716"/>
    <cellStyle name="Обычный 8 2 2 24" xfId="26717"/>
    <cellStyle name="Обычный 8 2 2 24 2" xfId="26718"/>
    <cellStyle name="Обычный 8 2 2 24 3" xfId="26719"/>
    <cellStyle name="Обычный 8 2 2 25" xfId="26720"/>
    <cellStyle name="Обычный 8 2 2 25 2" xfId="26721"/>
    <cellStyle name="Обычный 8 2 2 25 3" xfId="26722"/>
    <cellStyle name="Обычный 8 2 2 26" xfId="26723"/>
    <cellStyle name="Обычный 8 2 2 26 2" xfId="26724"/>
    <cellStyle name="Обычный 8 2 2 26 3" xfId="26725"/>
    <cellStyle name="Обычный 8 2 2 27" xfId="26726"/>
    <cellStyle name="Обычный 8 2 2 27 2" xfId="26727"/>
    <cellStyle name="Обычный 8 2 2 27 3" xfId="26728"/>
    <cellStyle name="Обычный 8 2 2 28" xfId="26729"/>
    <cellStyle name="Обычный 8 2 2 28 2" xfId="26730"/>
    <cellStyle name="Обычный 8 2 2 28 3" xfId="26731"/>
    <cellStyle name="Обычный 8 2 2 29" xfId="26732"/>
    <cellStyle name="Обычный 8 2 2 29 2" xfId="26733"/>
    <cellStyle name="Обычный 8 2 2 29 3" xfId="26734"/>
    <cellStyle name="Обычный 8 2 2 3" xfId="26735"/>
    <cellStyle name="Обычный 8 2 2 3 2" xfId="26736"/>
    <cellStyle name="Обычный 8 2 2 3 3" xfId="26737"/>
    <cellStyle name="Обычный 8 2 2 30" xfId="26738"/>
    <cellStyle name="Обычный 8 2 2 30 2" xfId="26739"/>
    <cellStyle name="Обычный 8 2 2 30 3" xfId="26740"/>
    <cellStyle name="Обычный 8 2 2 31" xfId="26741"/>
    <cellStyle name="Обычный 8 2 2 31 2" xfId="26742"/>
    <cellStyle name="Обычный 8 2 2 31 3" xfId="26743"/>
    <cellStyle name="Обычный 8 2 2 32" xfId="26744"/>
    <cellStyle name="Обычный 8 2 2 32 2" xfId="26745"/>
    <cellStyle name="Обычный 8 2 2 32 3" xfId="26746"/>
    <cellStyle name="Обычный 8 2 2 33" xfId="26747"/>
    <cellStyle name="Обычный 8 2 2 33 2" xfId="26748"/>
    <cellStyle name="Обычный 8 2 2 33 3" xfId="26749"/>
    <cellStyle name="Обычный 8 2 2 34" xfId="26750"/>
    <cellStyle name="Обычный 8 2 2 34 2" xfId="26751"/>
    <cellStyle name="Обычный 8 2 2 34 3" xfId="26752"/>
    <cellStyle name="Обычный 8 2 2 35" xfId="26753"/>
    <cellStyle name="Обычный 8 2 2 35 2" xfId="26754"/>
    <cellStyle name="Обычный 8 2 2 35 3" xfId="26755"/>
    <cellStyle name="Обычный 8 2 2 36" xfId="26756"/>
    <cellStyle name="Обычный 8 2 2 36 2" xfId="26757"/>
    <cellStyle name="Обычный 8 2 2 36 3" xfId="26758"/>
    <cellStyle name="Обычный 8 2 2 37" xfId="26759"/>
    <cellStyle name="Обычный 8 2 2 37 2" xfId="26760"/>
    <cellStyle name="Обычный 8 2 2 37 3" xfId="26761"/>
    <cellStyle name="Обычный 8 2 2 38" xfId="26762"/>
    <cellStyle name="Обычный 8 2 2 38 2" xfId="26763"/>
    <cellStyle name="Обычный 8 2 2 38 3" xfId="26764"/>
    <cellStyle name="Обычный 8 2 2 39" xfId="26765"/>
    <cellStyle name="Обычный 8 2 2 39 2" xfId="26766"/>
    <cellStyle name="Обычный 8 2 2 39 3" xfId="26767"/>
    <cellStyle name="Обычный 8 2 2 4" xfId="26768"/>
    <cellStyle name="Обычный 8 2 2 4 2" xfId="26769"/>
    <cellStyle name="Обычный 8 2 2 4 3" xfId="26770"/>
    <cellStyle name="Обычный 8 2 2 40" xfId="26771"/>
    <cellStyle name="Обычный 8 2 2 40 2" xfId="26772"/>
    <cellStyle name="Обычный 8 2 2 40 3" xfId="26773"/>
    <cellStyle name="Обычный 8 2 2 41" xfId="26774"/>
    <cellStyle name="Обычный 8 2 2 41 2" xfId="26775"/>
    <cellStyle name="Обычный 8 2 2 41 3" xfId="26776"/>
    <cellStyle name="Обычный 8 2 2 42" xfId="26777"/>
    <cellStyle name="Обычный 8 2 2 42 2" xfId="26778"/>
    <cellStyle name="Обычный 8 2 2 42 3" xfId="26779"/>
    <cellStyle name="Обычный 8 2 2 43" xfId="26780"/>
    <cellStyle name="Обычный 8 2 2 43 2" xfId="26781"/>
    <cellStyle name="Обычный 8 2 2 43 3" xfId="26782"/>
    <cellStyle name="Обычный 8 2 2 44" xfId="26783"/>
    <cellStyle name="Обычный 8 2 2 44 2" xfId="26784"/>
    <cellStyle name="Обычный 8 2 2 44 3" xfId="26785"/>
    <cellStyle name="Обычный 8 2 2 45" xfId="26786"/>
    <cellStyle name="Обычный 8 2 2 45 2" xfId="26787"/>
    <cellStyle name="Обычный 8 2 2 45 3" xfId="26788"/>
    <cellStyle name="Обычный 8 2 2 46" xfId="26789"/>
    <cellStyle name="Обычный 8 2 2 46 2" xfId="26790"/>
    <cellStyle name="Обычный 8 2 2 46 3" xfId="26791"/>
    <cellStyle name="Обычный 8 2 2 47" xfId="26792"/>
    <cellStyle name="Обычный 8 2 2 47 2" xfId="26793"/>
    <cellStyle name="Обычный 8 2 2 47 3" xfId="26794"/>
    <cellStyle name="Обычный 8 2 2 48" xfId="26795"/>
    <cellStyle name="Обычный 8 2 2 48 2" xfId="26796"/>
    <cellStyle name="Обычный 8 2 2 48 3" xfId="26797"/>
    <cellStyle name="Обычный 8 2 2 49" xfId="26798"/>
    <cellStyle name="Обычный 8 2 2 49 2" xfId="26799"/>
    <cellStyle name="Обычный 8 2 2 49 3" xfId="26800"/>
    <cellStyle name="Обычный 8 2 2 5" xfId="26801"/>
    <cellStyle name="Обычный 8 2 2 5 2" xfId="26802"/>
    <cellStyle name="Обычный 8 2 2 5 3" xfId="26803"/>
    <cellStyle name="Обычный 8 2 2 50" xfId="26804"/>
    <cellStyle name="Обычный 8 2 2 50 2" xfId="26805"/>
    <cellStyle name="Обычный 8 2 2 50 3" xfId="26806"/>
    <cellStyle name="Обычный 8 2 2 51" xfId="26807"/>
    <cellStyle name="Обычный 8 2 2 51 2" xfId="26808"/>
    <cellStyle name="Обычный 8 2 2 51 3" xfId="26809"/>
    <cellStyle name="Обычный 8 2 2 52" xfId="26810"/>
    <cellStyle name="Обычный 8 2 2 52 2" xfId="26811"/>
    <cellStyle name="Обычный 8 2 2 52 3" xfId="26812"/>
    <cellStyle name="Обычный 8 2 2 53" xfId="26813"/>
    <cellStyle name="Обычный 8 2 2 53 2" xfId="26814"/>
    <cellStyle name="Обычный 8 2 2 53 3" xfId="26815"/>
    <cellStyle name="Обычный 8 2 2 54" xfId="26816"/>
    <cellStyle name="Обычный 8 2 2 54 2" xfId="26817"/>
    <cellStyle name="Обычный 8 2 2 54 3" xfId="26818"/>
    <cellStyle name="Обычный 8 2 2 55" xfId="26819"/>
    <cellStyle name="Обычный 8 2 2 55 2" xfId="26820"/>
    <cellStyle name="Обычный 8 2 2 55 3" xfId="26821"/>
    <cellStyle name="Обычный 8 2 2 56" xfId="26822"/>
    <cellStyle name="Обычный 8 2 2 56 2" xfId="26823"/>
    <cellStyle name="Обычный 8 2 2 56 3" xfId="26824"/>
    <cellStyle name="Обычный 8 2 2 57" xfId="26825"/>
    <cellStyle name="Обычный 8 2 2 57 2" xfId="26826"/>
    <cellStyle name="Обычный 8 2 2 57 3" xfId="26827"/>
    <cellStyle name="Обычный 8 2 2 58" xfId="26828"/>
    <cellStyle name="Обычный 8 2 2 58 2" xfId="26829"/>
    <cellStyle name="Обычный 8 2 2 58 3" xfId="26830"/>
    <cellStyle name="Обычный 8 2 2 59" xfId="26831"/>
    <cellStyle name="Обычный 8 2 2 59 2" xfId="26832"/>
    <cellStyle name="Обычный 8 2 2 59 3" xfId="26833"/>
    <cellStyle name="Обычный 8 2 2 6" xfId="26834"/>
    <cellStyle name="Обычный 8 2 2 6 2" xfId="26835"/>
    <cellStyle name="Обычный 8 2 2 6 3" xfId="26836"/>
    <cellStyle name="Обычный 8 2 2 60" xfId="26837"/>
    <cellStyle name="Обычный 8 2 2 60 2" xfId="26838"/>
    <cellStyle name="Обычный 8 2 2 60 3" xfId="26839"/>
    <cellStyle name="Обычный 8 2 2 61" xfId="26840"/>
    <cellStyle name="Обычный 8 2 2 61 2" xfId="26841"/>
    <cellStyle name="Обычный 8 2 2 61 3" xfId="26842"/>
    <cellStyle name="Обычный 8 2 2 62" xfId="26843"/>
    <cellStyle name="Обычный 8 2 2 62 2" xfId="26844"/>
    <cellStyle name="Обычный 8 2 2 62 3" xfId="26845"/>
    <cellStyle name="Обычный 8 2 2 63" xfId="26846"/>
    <cellStyle name="Обычный 8 2 2 63 2" xfId="26847"/>
    <cellStyle name="Обычный 8 2 2 63 3" xfId="26848"/>
    <cellStyle name="Обычный 8 2 2 64" xfId="26849"/>
    <cellStyle name="Обычный 8 2 2 65" xfId="26850"/>
    <cellStyle name="Обычный 8 2 2 7" xfId="26851"/>
    <cellStyle name="Обычный 8 2 2 7 2" xfId="26852"/>
    <cellStyle name="Обычный 8 2 2 7 3" xfId="26853"/>
    <cellStyle name="Обычный 8 2 2 8" xfId="26854"/>
    <cellStyle name="Обычный 8 2 2 8 2" xfId="26855"/>
    <cellStyle name="Обычный 8 2 2 8 3" xfId="26856"/>
    <cellStyle name="Обычный 8 2 2 9" xfId="26857"/>
    <cellStyle name="Обычный 8 2 2 9 2" xfId="26858"/>
    <cellStyle name="Обычный 8 2 2 9 3" xfId="26859"/>
    <cellStyle name="Обычный 8 2 20" xfId="26860"/>
    <cellStyle name="Обычный 8 2 20 2" xfId="26861"/>
    <cellStyle name="Обычный 8 2 20 3" xfId="26862"/>
    <cellStyle name="Обычный 8 2 21" xfId="26863"/>
    <cellStyle name="Обычный 8 2 21 2" xfId="26864"/>
    <cellStyle name="Обычный 8 2 21 3" xfId="26865"/>
    <cellStyle name="Обычный 8 2 22" xfId="26866"/>
    <cellStyle name="Обычный 8 2 22 2" xfId="26867"/>
    <cellStyle name="Обычный 8 2 22 3" xfId="26868"/>
    <cellStyle name="Обычный 8 2 23" xfId="26869"/>
    <cellStyle name="Обычный 8 2 23 2" xfId="26870"/>
    <cellStyle name="Обычный 8 2 23 3" xfId="26871"/>
    <cellStyle name="Обычный 8 2 24" xfId="26872"/>
    <cellStyle name="Обычный 8 2 24 2" xfId="26873"/>
    <cellStyle name="Обычный 8 2 24 3" xfId="26874"/>
    <cellStyle name="Обычный 8 2 25" xfId="26875"/>
    <cellStyle name="Обычный 8 2 25 2" xfId="26876"/>
    <cellStyle name="Обычный 8 2 25 3" xfId="26877"/>
    <cellStyle name="Обычный 8 2 26" xfId="26878"/>
    <cellStyle name="Обычный 8 2 26 2" xfId="26879"/>
    <cellStyle name="Обычный 8 2 26 3" xfId="26880"/>
    <cellStyle name="Обычный 8 2 27" xfId="26881"/>
    <cellStyle name="Обычный 8 2 27 2" xfId="26882"/>
    <cellStyle name="Обычный 8 2 27 3" xfId="26883"/>
    <cellStyle name="Обычный 8 2 28" xfId="26884"/>
    <cellStyle name="Обычный 8 2 28 2" xfId="26885"/>
    <cellStyle name="Обычный 8 2 28 3" xfId="26886"/>
    <cellStyle name="Обычный 8 2 29" xfId="26887"/>
    <cellStyle name="Обычный 8 2 29 2" xfId="26888"/>
    <cellStyle name="Обычный 8 2 29 3" xfId="26889"/>
    <cellStyle name="Обычный 8 2 3" xfId="26890"/>
    <cellStyle name="Обычный 8 2 3 10" xfId="26891"/>
    <cellStyle name="Обычный 8 2 3 10 2" xfId="26892"/>
    <cellStyle name="Обычный 8 2 3 10 3" xfId="26893"/>
    <cellStyle name="Обычный 8 2 3 11" xfId="26894"/>
    <cellStyle name="Обычный 8 2 3 11 2" xfId="26895"/>
    <cellStyle name="Обычный 8 2 3 11 3" xfId="26896"/>
    <cellStyle name="Обычный 8 2 3 12" xfId="26897"/>
    <cellStyle name="Обычный 8 2 3 12 2" xfId="26898"/>
    <cellStyle name="Обычный 8 2 3 12 3" xfId="26899"/>
    <cellStyle name="Обычный 8 2 3 13" xfId="26900"/>
    <cellStyle name="Обычный 8 2 3 13 2" xfId="26901"/>
    <cellStyle name="Обычный 8 2 3 13 3" xfId="26902"/>
    <cellStyle name="Обычный 8 2 3 14" xfId="26903"/>
    <cellStyle name="Обычный 8 2 3 14 2" xfId="26904"/>
    <cellStyle name="Обычный 8 2 3 14 3" xfId="26905"/>
    <cellStyle name="Обычный 8 2 3 15" xfId="26906"/>
    <cellStyle name="Обычный 8 2 3 15 2" xfId="26907"/>
    <cellStyle name="Обычный 8 2 3 15 3" xfId="26908"/>
    <cellStyle name="Обычный 8 2 3 16" xfId="26909"/>
    <cellStyle name="Обычный 8 2 3 16 2" xfId="26910"/>
    <cellStyle name="Обычный 8 2 3 16 3" xfId="26911"/>
    <cellStyle name="Обычный 8 2 3 17" xfId="26912"/>
    <cellStyle name="Обычный 8 2 3 17 2" xfId="26913"/>
    <cellStyle name="Обычный 8 2 3 17 3" xfId="26914"/>
    <cellStyle name="Обычный 8 2 3 18" xfId="26915"/>
    <cellStyle name="Обычный 8 2 3 18 2" xfId="26916"/>
    <cellStyle name="Обычный 8 2 3 18 3" xfId="26917"/>
    <cellStyle name="Обычный 8 2 3 19" xfId="26918"/>
    <cellStyle name="Обычный 8 2 3 19 2" xfId="26919"/>
    <cellStyle name="Обычный 8 2 3 19 3" xfId="26920"/>
    <cellStyle name="Обычный 8 2 3 2" xfId="26921"/>
    <cellStyle name="Обычный 8 2 3 2 2" xfId="26922"/>
    <cellStyle name="Обычный 8 2 3 2 3" xfId="26923"/>
    <cellStyle name="Обычный 8 2 3 20" xfId="26924"/>
    <cellStyle name="Обычный 8 2 3 20 2" xfId="26925"/>
    <cellStyle name="Обычный 8 2 3 20 3" xfId="26926"/>
    <cellStyle name="Обычный 8 2 3 21" xfId="26927"/>
    <cellStyle name="Обычный 8 2 3 21 2" xfId="26928"/>
    <cellStyle name="Обычный 8 2 3 21 3" xfId="26929"/>
    <cellStyle name="Обычный 8 2 3 22" xfId="26930"/>
    <cellStyle name="Обычный 8 2 3 22 2" xfId="26931"/>
    <cellStyle name="Обычный 8 2 3 22 3" xfId="26932"/>
    <cellStyle name="Обычный 8 2 3 23" xfId="26933"/>
    <cellStyle name="Обычный 8 2 3 23 2" xfId="26934"/>
    <cellStyle name="Обычный 8 2 3 23 3" xfId="26935"/>
    <cellStyle name="Обычный 8 2 3 24" xfId="26936"/>
    <cellStyle name="Обычный 8 2 3 24 2" xfId="26937"/>
    <cellStyle name="Обычный 8 2 3 24 3" xfId="26938"/>
    <cellStyle name="Обычный 8 2 3 25" xfId="26939"/>
    <cellStyle name="Обычный 8 2 3 25 2" xfId="26940"/>
    <cellStyle name="Обычный 8 2 3 25 3" xfId="26941"/>
    <cellStyle name="Обычный 8 2 3 26" xfId="26942"/>
    <cellStyle name="Обычный 8 2 3 26 2" xfId="26943"/>
    <cellStyle name="Обычный 8 2 3 26 3" xfId="26944"/>
    <cellStyle name="Обычный 8 2 3 27" xfId="26945"/>
    <cellStyle name="Обычный 8 2 3 27 2" xfId="26946"/>
    <cellStyle name="Обычный 8 2 3 27 3" xfId="26947"/>
    <cellStyle name="Обычный 8 2 3 28" xfId="26948"/>
    <cellStyle name="Обычный 8 2 3 28 2" xfId="26949"/>
    <cellStyle name="Обычный 8 2 3 28 3" xfId="26950"/>
    <cellStyle name="Обычный 8 2 3 29" xfId="26951"/>
    <cellStyle name="Обычный 8 2 3 29 2" xfId="26952"/>
    <cellStyle name="Обычный 8 2 3 29 3" xfId="26953"/>
    <cellStyle name="Обычный 8 2 3 3" xfId="26954"/>
    <cellStyle name="Обычный 8 2 3 3 2" xfId="26955"/>
    <cellStyle name="Обычный 8 2 3 3 3" xfId="26956"/>
    <cellStyle name="Обычный 8 2 3 30" xfId="26957"/>
    <cellStyle name="Обычный 8 2 3 30 2" xfId="26958"/>
    <cellStyle name="Обычный 8 2 3 30 3" xfId="26959"/>
    <cellStyle name="Обычный 8 2 3 31" xfId="26960"/>
    <cellStyle name="Обычный 8 2 3 31 2" xfId="26961"/>
    <cellStyle name="Обычный 8 2 3 31 3" xfId="26962"/>
    <cellStyle name="Обычный 8 2 3 32" xfId="26963"/>
    <cellStyle name="Обычный 8 2 3 32 2" xfId="26964"/>
    <cellStyle name="Обычный 8 2 3 32 3" xfId="26965"/>
    <cellStyle name="Обычный 8 2 3 33" xfId="26966"/>
    <cellStyle name="Обычный 8 2 3 33 2" xfId="26967"/>
    <cellStyle name="Обычный 8 2 3 33 3" xfId="26968"/>
    <cellStyle name="Обычный 8 2 3 34" xfId="26969"/>
    <cellStyle name="Обычный 8 2 3 34 2" xfId="26970"/>
    <cellStyle name="Обычный 8 2 3 34 3" xfId="26971"/>
    <cellStyle name="Обычный 8 2 3 35" xfId="26972"/>
    <cellStyle name="Обычный 8 2 3 35 2" xfId="26973"/>
    <cellStyle name="Обычный 8 2 3 35 3" xfId="26974"/>
    <cellStyle name="Обычный 8 2 3 36" xfId="26975"/>
    <cellStyle name="Обычный 8 2 3 36 2" xfId="26976"/>
    <cellStyle name="Обычный 8 2 3 36 3" xfId="26977"/>
    <cellStyle name="Обычный 8 2 3 37" xfId="26978"/>
    <cellStyle name="Обычный 8 2 3 37 2" xfId="26979"/>
    <cellStyle name="Обычный 8 2 3 37 3" xfId="26980"/>
    <cellStyle name="Обычный 8 2 3 38" xfId="26981"/>
    <cellStyle name="Обычный 8 2 3 38 2" xfId="26982"/>
    <cellStyle name="Обычный 8 2 3 38 3" xfId="26983"/>
    <cellStyle name="Обычный 8 2 3 39" xfId="26984"/>
    <cellStyle name="Обычный 8 2 3 39 2" xfId="26985"/>
    <cellStyle name="Обычный 8 2 3 39 3" xfId="26986"/>
    <cellStyle name="Обычный 8 2 3 4" xfId="26987"/>
    <cellStyle name="Обычный 8 2 3 4 2" xfId="26988"/>
    <cellStyle name="Обычный 8 2 3 4 3" xfId="26989"/>
    <cellStyle name="Обычный 8 2 3 40" xfId="26990"/>
    <cellStyle name="Обычный 8 2 3 40 2" xfId="26991"/>
    <cellStyle name="Обычный 8 2 3 40 3" xfId="26992"/>
    <cellStyle name="Обычный 8 2 3 41" xfId="26993"/>
    <cellStyle name="Обычный 8 2 3 41 2" xfId="26994"/>
    <cellStyle name="Обычный 8 2 3 41 3" xfId="26995"/>
    <cellStyle name="Обычный 8 2 3 42" xfId="26996"/>
    <cellStyle name="Обычный 8 2 3 42 2" xfId="26997"/>
    <cellStyle name="Обычный 8 2 3 42 3" xfId="26998"/>
    <cellStyle name="Обычный 8 2 3 43" xfId="26999"/>
    <cellStyle name="Обычный 8 2 3 43 2" xfId="27000"/>
    <cellStyle name="Обычный 8 2 3 43 3" xfId="27001"/>
    <cellStyle name="Обычный 8 2 3 44" xfId="27002"/>
    <cellStyle name="Обычный 8 2 3 44 2" xfId="27003"/>
    <cellStyle name="Обычный 8 2 3 44 3" xfId="27004"/>
    <cellStyle name="Обычный 8 2 3 45" xfId="27005"/>
    <cellStyle name="Обычный 8 2 3 45 2" xfId="27006"/>
    <cellStyle name="Обычный 8 2 3 45 3" xfId="27007"/>
    <cellStyle name="Обычный 8 2 3 46" xfId="27008"/>
    <cellStyle name="Обычный 8 2 3 46 2" xfId="27009"/>
    <cellStyle name="Обычный 8 2 3 46 3" xfId="27010"/>
    <cellStyle name="Обычный 8 2 3 47" xfId="27011"/>
    <cellStyle name="Обычный 8 2 3 47 2" xfId="27012"/>
    <cellStyle name="Обычный 8 2 3 47 3" xfId="27013"/>
    <cellStyle name="Обычный 8 2 3 48" xfId="27014"/>
    <cellStyle name="Обычный 8 2 3 48 2" xfId="27015"/>
    <cellStyle name="Обычный 8 2 3 48 3" xfId="27016"/>
    <cellStyle name="Обычный 8 2 3 49" xfId="27017"/>
    <cellStyle name="Обычный 8 2 3 49 2" xfId="27018"/>
    <cellStyle name="Обычный 8 2 3 49 3" xfId="27019"/>
    <cellStyle name="Обычный 8 2 3 5" xfId="27020"/>
    <cellStyle name="Обычный 8 2 3 5 2" xfId="27021"/>
    <cellStyle name="Обычный 8 2 3 5 3" xfId="27022"/>
    <cellStyle name="Обычный 8 2 3 50" xfId="27023"/>
    <cellStyle name="Обычный 8 2 3 50 2" xfId="27024"/>
    <cellStyle name="Обычный 8 2 3 50 3" xfId="27025"/>
    <cellStyle name="Обычный 8 2 3 51" xfId="27026"/>
    <cellStyle name="Обычный 8 2 3 51 2" xfId="27027"/>
    <cellStyle name="Обычный 8 2 3 51 3" xfId="27028"/>
    <cellStyle name="Обычный 8 2 3 52" xfId="27029"/>
    <cellStyle name="Обычный 8 2 3 52 2" xfId="27030"/>
    <cellStyle name="Обычный 8 2 3 52 3" xfId="27031"/>
    <cellStyle name="Обычный 8 2 3 53" xfId="27032"/>
    <cellStyle name="Обычный 8 2 3 53 2" xfId="27033"/>
    <cellStyle name="Обычный 8 2 3 53 3" xfId="27034"/>
    <cellStyle name="Обычный 8 2 3 54" xfId="27035"/>
    <cellStyle name="Обычный 8 2 3 54 2" xfId="27036"/>
    <cellStyle name="Обычный 8 2 3 54 3" xfId="27037"/>
    <cellStyle name="Обычный 8 2 3 55" xfId="27038"/>
    <cellStyle name="Обычный 8 2 3 55 2" xfId="27039"/>
    <cellStyle name="Обычный 8 2 3 55 3" xfId="27040"/>
    <cellStyle name="Обычный 8 2 3 56" xfId="27041"/>
    <cellStyle name="Обычный 8 2 3 56 2" xfId="27042"/>
    <cellStyle name="Обычный 8 2 3 56 3" xfId="27043"/>
    <cellStyle name="Обычный 8 2 3 57" xfId="27044"/>
    <cellStyle name="Обычный 8 2 3 57 2" xfId="27045"/>
    <cellStyle name="Обычный 8 2 3 57 3" xfId="27046"/>
    <cellStyle name="Обычный 8 2 3 58" xfId="27047"/>
    <cellStyle name="Обычный 8 2 3 58 2" xfId="27048"/>
    <cellStyle name="Обычный 8 2 3 58 3" xfId="27049"/>
    <cellStyle name="Обычный 8 2 3 59" xfId="27050"/>
    <cellStyle name="Обычный 8 2 3 59 2" xfId="27051"/>
    <cellStyle name="Обычный 8 2 3 59 3" xfId="27052"/>
    <cellStyle name="Обычный 8 2 3 6" xfId="27053"/>
    <cellStyle name="Обычный 8 2 3 6 2" xfId="27054"/>
    <cellStyle name="Обычный 8 2 3 6 3" xfId="27055"/>
    <cellStyle name="Обычный 8 2 3 60" xfId="27056"/>
    <cellStyle name="Обычный 8 2 3 60 2" xfId="27057"/>
    <cellStyle name="Обычный 8 2 3 60 3" xfId="27058"/>
    <cellStyle name="Обычный 8 2 3 61" xfId="27059"/>
    <cellStyle name="Обычный 8 2 3 61 2" xfId="27060"/>
    <cellStyle name="Обычный 8 2 3 61 3" xfId="27061"/>
    <cellStyle name="Обычный 8 2 3 62" xfId="27062"/>
    <cellStyle name="Обычный 8 2 3 62 2" xfId="27063"/>
    <cellStyle name="Обычный 8 2 3 62 3" xfId="27064"/>
    <cellStyle name="Обычный 8 2 3 63" xfId="27065"/>
    <cellStyle name="Обычный 8 2 3 63 2" xfId="27066"/>
    <cellStyle name="Обычный 8 2 3 63 3" xfId="27067"/>
    <cellStyle name="Обычный 8 2 3 64" xfId="27068"/>
    <cellStyle name="Обычный 8 2 3 65" xfId="27069"/>
    <cellStyle name="Обычный 8 2 3 7" xfId="27070"/>
    <cellStyle name="Обычный 8 2 3 7 2" xfId="27071"/>
    <cellStyle name="Обычный 8 2 3 7 3" xfId="27072"/>
    <cellStyle name="Обычный 8 2 3 8" xfId="27073"/>
    <cellStyle name="Обычный 8 2 3 8 2" xfId="27074"/>
    <cellStyle name="Обычный 8 2 3 8 3" xfId="27075"/>
    <cellStyle name="Обычный 8 2 3 9" xfId="27076"/>
    <cellStyle name="Обычный 8 2 3 9 2" xfId="27077"/>
    <cellStyle name="Обычный 8 2 3 9 3" xfId="27078"/>
    <cellStyle name="Обычный 8 2 30" xfId="27079"/>
    <cellStyle name="Обычный 8 2 30 2" xfId="27080"/>
    <cellStyle name="Обычный 8 2 30 3" xfId="27081"/>
    <cellStyle name="Обычный 8 2 31" xfId="27082"/>
    <cellStyle name="Обычный 8 2 31 2" xfId="27083"/>
    <cellStyle name="Обычный 8 2 31 3" xfId="27084"/>
    <cellStyle name="Обычный 8 2 32" xfId="27085"/>
    <cellStyle name="Обычный 8 2 32 2" xfId="27086"/>
    <cellStyle name="Обычный 8 2 32 3" xfId="27087"/>
    <cellStyle name="Обычный 8 2 33" xfId="27088"/>
    <cellStyle name="Обычный 8 2 33 2" xfId="27089"/>
    <cellStyle name="Обычный 8 2 33 3" xfId="27090"/>
    <cellStyle name="Обычный 8 2 34" xfId="27091"/>
    <cellStyle name="Обычный 8 2 34 2" xfId="27092"/>
    <cellStyle name="Обычный 8 2 34 3" xfId="27093"/>
    <cellStyle name="Обычный 8 2 35" xfId="27094"/>
    <cellStyle name="Обычный 8 2 35 2" xfId="27095"/>
    <cellStyle name="Обычный 8 2 35 3" xfId="27096"/>
    <cellStyle name="Обычный 8 2 36" xfId="27097"/>
    <cellStyle name="Обычный 8 2 36 2" xfId="27098"/>
    <cellStyle name="Обычный 8 2 36 3" xfId="27099"/>
    <cellStyle name="Обычный 8 2 37" xfId="27100"/>
    <cellStyle name="Обычный 8 2 37 2" xfId="27101"/>
    <cellStyle name="Обычный 8 2 37 3" xfId="27102"/>
    <cellStyle name="Обычный 8 2 38" xfId="27103"/>
    <cellStyle name="Обычный 8 2 38 2" xfId="27104"/>
    <cellStyle name="Обычный 8 2 38 3" xfId="27105"/>
    <cellStyle name="Обычный 8 2 39" xfId="27106"/>
    <cellStyle name="Обычный 8 2 39 2" xfId="27107"/>
    <cellStyle name="Обычный 8 2 39 3" xfId="27108"/>
    <cellStyle name="Обычный 8 2 4" xfId="27109"/>
    <cellStyle name="Обычный 8 2 4 10" xfId="27110"/>
    <cellStyle name="Обычный 8 2 4 10 2" xfId="27111"/>
    <cellStyle name="Обычный 8 2 4 10 3" xfId="27112"/>
    <cellStyle name="Обычный 8 2 4 11" xfId="27113"/>
    <cellStyle name="Обычный 8 2 4 11 2" xfId="27114"/>
    <cellStyle name="Обычный 8 2 4 11 3" xfId="27115"/>
    <cellStyle name="Обычный 8 2 4 12" xfId="27116"/>
    <cellStyle name="Обычный 8 2 4 12 2" xfId="27117"/>
    <cellStyle name="Обычный 8 2 4 12 3" xfId="27118"/>
    <cellStyle name="Обычный 8 2 4 13" xfId="27119"/>
    <cellStyle name="Обычный 8 2 4 13 2" xfId="27120"/>
    <cellStyle name="Обычный 8 2 4 13 3" xfId="27121"/>
    <cellStyle name="Обычный 8 2 4 14" xfId="27122"/>
    <cellStyle name="Обычный 8 2 4 14 2" xfId="27123"/>
    <cellStyle name="Обычный 8 2 4 14 3" xfId="27124"/>
    <cellStyle name="Обычный 8 2 4 15" xfId="27125"/>
    <cellStyle name="Обычный 8 2 4 15 2" xfId="27126"/>
    <cellStyle name="Обычный 8 2 4 15 3" xfId="27127"/>
    <cellStyle name="Обычный 8 2 4 16" xfId="27128"/>
    <cellStyle name="Обычный 8 2 4 16 2" xfId="27129"/>
    <cellStyle name="Обычный 8 2 4 16 3" xfId="27130"/>
    <cellStyle name="Обычный 8 2 4 17" xfId="27131"/>
    <cellStyle name="Обычный 8 2 4 17 2" xfId="27132"/>
    <cellStyle name="Обычный 8 2 4 17 3" xfId="27133"/>
    <cellStyle name="Обычный 8 2 4 18" xfId="27134"/>
    <cellStyle name="Обычный 8 2 4 18 2" xfId="27135"/>
    <cellStyle name="Обычный 8 2 4 18 3" xfId="27136"/>
    <cellStyle name="Обычный 8 2 4 19" xfId="27137"/>
    <cellStyle name="Обычный 8 2 4 19 2" xfId="27138"/>
    <cellStyle name="Обычный 8 2 4 19 3" xfId="27139"/>
    <cellStyle name="Обычный 8 2 4 2" xfId="27140"/>
    <cellStyle name="Обычный 8 2 4 2 2" xfId="27141"/>
    <cellStyle name="Обычный 8 2 4 2 3" xfId="27142"/>
    <cellStyle name="Обычный 8 2 4 20" xfId="27143"/>
    <cellStyle name="Обычный 8 2 4 20 2" xfId="27144"/>
    <cellStyle name="Обычный 8 2 4 20 3" xfId="27145"/>
    <cellStyle name="Обычный 8 2 4 21" xfId="27146"/>
    <cellStyle name="Обычный 8 2 4 21 2" xfId="27147"/>
    <cellStyle name="Обычный 8 2 4 21 3" xfId="27148"/>
    <cellStyle name="Обычный 8 2 4 22" xfId="27149"/>
    <cellStyle name="Обычный 8 2 4 22 2" xfId="27150"/>
    <cellStyle name="Обычный 8 2 4 22 3" xfId="27151"/>
    <cellStyle name="Обычный 8 2 4 23" xfId="27152"/>
    <cellStyle name="Обычный 8 2 4 23 2" xfId="27153"/>
    <cellStyle name="Обычный 8 2 4 23 3" xfId="27154"/>
    <cellStyle name="Обычный 8 2 4 24" xfId="27155"/>
    <cellStyle name="Обычный 8 2 4 24 2" xfId="27156"/>
    <cellStyle name="Обычный 8 2 4 24 3" xfId="27157"/>
    <cellStyle name="Обычный 8 2 4 25" xfId="27158"/>
    <cellStyle name="Обычный 8 2 4 25 2" xfId="27159"/>
    <cellStyle name="Обычный 8 2 4 25 3" xfId="27160"/>
    <cellStyle name="Обычный 8 2 4 26" xfId="27161"/>
    <cellStyle name="Обычный 8 2 4 26 2" xfId="27162"/>
    <cellStyle name="Обычный 8 2 4 26 3" xfId="27163"/>
    <cellStyle name="Обычный 8 2 4 27" xfId="27164"/>
    <cellStyle name="Обычный 8 2 4 27 2" xfId="27165"/>
    <cellStyle name="Обычный 8 2 4 27 3" xfId="27166"/>
    <cellStyle name="Обычный 8 2 4 28" xfId="27167"/>
    <cellStyle name="Обычный 8 2 4 28 2" xfId="27168"/>
    <cellStyle name="Обычный 8 2 4 28 3" xfId="27169"/>
    <cellStyle name="Обычный 8 2 4 29" xfId="27170"/>
    <cellStyle name="Обычный 8 2 4 29 2" xfId="27171"/>
    <cellStyle name="Обычный 8 2 4 29 3" xfId="27172"/>
    <cellStyle name="Обычный 8 2 4 3" xfId="27173"/>
    <cellStyle name="Обычный 8 2 4 3 2" xfId="27174"/>
    <cellStyle name="Обычный 8 2 4 3 3" xfId="27175"/>
    <cellStyle name="Обычный 8 2 4 30" xfId="27176"/>
    <cellStyle name="Обычный 8 2 4 30 2" xfId="27177"/>
    <cellStyle name="Обычный 8 2 4 30 3" xfId="27178"/>
    <cellStyle name="Обычный 8 2 4 31" xfId="27179"/>
    <cellStyle name="Обычный 8 2 4 31 2" xfId="27180"/>
    <cellStyle name="Обычный 8 2 4 31 3" xfId="27181"/>
    <cellStyle name="Обычный 8 2 4 32" xfId="27182"/>
    <cellStyle name="Обычный 8 2 4 32 2" xfId="27183"/>
    <cellStyle name="Обычный 8 2 4 32 3" xfId="27184"/>
    <cellStyle name="Обычный 8 2 4 33" xfId="27185"/>
    <cellStyle name="Обычный 8 2 4 33 2" xfId="27186"/>
    <cellStyle name="Обычный 8 2 4 33 3" xfId="27187"/>
    <cellStyle name="Обычный 8 2 4 34" xfId="27188"/>
    <cellStyle name="Обычный 8 2 4 34 2" xfId="27189"/>
    <cellStyle name="Обычный 8 2 4 34 3" xfId="27190"/>
    <cellStyle name="Обычный 8 2 4 35" xfId="27191"/>
    <cellStyle name="Обычный 8 2 4 35 2" xfId="27192"/>
    <cellStyle name="Обычный 8 2 4 35 3" xfId="27193"/>
    <cellStyle name="Обычный 8 2 4 36" xfId="27194"/>
    <cellStyle name="Обычный 8 2 4 36 2" xfId="27195"/>
    <cellStyle name="Обычный 8 2 4 36 3" xfId="27196"/>
    <cellStyle name="Обычный 8 2 4 37" xfId="27197"/>
    <cellStyle name="Обычный 8 2 4 37 2" xfId="27198"/>
    <cellStyle name="Обычный 8 2 4 37 3" xfId="27199"/>
    <cellStyle name="Обычный 8 2 4 38" xfId="27200"/>
    <cellStyle name="Обычный 8 2 4 38 2" xfId="27201"/>
    <cellStyle name="Обычный 8 2 4 38 3" xfId="27202"/>
    <cellStyle name="Обычный 8 2 4 39" xfId="27203"/>
    <cellStyle name="Обычный 8 2 4 39 2" xfId="27204"/>
    <cellStyle name="Обычный 8 2 4 39 3" xfId="27205"/>
    <cellStyle name="Обычный 8 2 4 4" xfId="27206"/>
    <cellStyle name="Обычный 8 2 4 4 2" xfId="27207"/>
    <cellStyle name="Обычный 8 2 4 4 3" xfId="27208"/>
    <cellStyle name="Обычный 8 2 4 40" xfId="27209"/>
    <cellStyle name="Обычный 8 2 4 40 2" xfId="27210"/>
    <cellStyle name="Обычный 8 2 4 40 3" xfId="27211"/>
    <cellStyle name="Обычный 8 2 4 41" xfId="27212"/>
    <cellStyle name="Обычный 8 2 4 41 2" xfId="27213"/>
    <cellStyle name="Обычный 8 2 4 41 3" xfId="27214"/>
    <cellStyle name="Обычный 8 2 4 42" xfId="27215"/>
    <cellStyle name="Обычный 8 2 4 42 2" xfId="27216"/>
    <cellStyle name="Обычный 8 2 4 42 3" xfId="27217"/>
    <cellStyle name="Обычный 8 2 4 43" xfId="27218"/>
    <cellStyle name="Обычный 8 2 4 43 2" xfId="27219"/>
    <cellStyle name="Обычный 8 2 4 43 3" xfId="27220"/>
    <cellStyle name="Обычный 8 2 4 44" xfId="27221"/>
    <cellStyle name="Обычный 8 2 4 44 2" xfId="27222"/>
    <cellStyle name="Обычный 8 2 4 44 3" xfId="27223"/>
    <cellStyle name="Обычный 8 2 4 45" xfId="27224"/>
    <cellStyle name="Обычный 8 2 4 45 2" xfId="27225"/>
    <cellStyle name="Обычный 8 2 4 45 3" xfId="27226"/>
    <cellStyle name="Обычный 8 2 4 46" xfId="27227"/>
    <cellStyle name="Обычный 8 2 4 46 2" xfId="27228"/>
    <cellStyle name="Обычный 8 2 4 46 3" xfId="27229"/>
    <cellStyle name="Обычный 8 2 4 47" xfId="27230"/>
    <cellStyle name="Обычный 8 2 4 47 2" xfId="27231"/>
    <cellStyle name="Обычный 8 2 4 47 3" xfId="27232"/>
    <cellStyle name="Обычный 8 2 4 48" xfId="27233"/>
    <cellStyle name="Обычный 8 2 4 48 2" xfId="27234"/>
    <cellStyle name="Обычный 8 2 4 48 3" xfId="27235"/>
    <cellStyle name="Обычный 8 2 4 49" xfId="27236"/>
    <cellStyle name="Обычный 8 2 4 49 2" xfId="27237"/>
    <cellStyle name="Обычный 8 2 4 49 3" xfId="27238"/>
    <cellStyle name="Обычный 8 2 4 5" xfId="27239"/>
    <cellStyle name="Обычный 8 2 4 5 2" xfId="27240"/>
    <cellStyle name="Обычный 8 2 4 5 3" xfId="27241"/>
    <cellStyle name="Обычный 8 2 4 50" xfId="27242"/>
    <cellStyle name="Обычный 8 2 4 50 2" xfId="27243"/>
    <cellStyle name="Обычный 8 2 4 50 3" xfId="27244"/>
    <cellStyle name="Обычный 8 2 4 51" xfId="27245"/>
    <cellStyle name="Обычный 8 2 4 51 2" xfId="27246"/>
    <cellStyle name="Обычный 8 2 4 51 3" xfId="27247"/>
    <cellStyle name="Обычный 8 2 4 52" xfId="27248"/>
    <cellStyle name="Обычный 8 2 4 52 2" xfId="27249"/>
    <cellStyle name="Обычный 8 2 4 52 3" xfId="27250"/>
    <cellStyle name="Обычный 8 2 4 53" xfId="27251"/>
    <cellStyle name="Обычный 8 2 4 53 2" xfId="27252"/>
    <cellStyle name="Обычный 8 2 4 53 3" xfId="27253"/>
    <cellStyle name="Обычный 8 2 4 54" xfId="27254"/>
    <cellStyle name="Обычный 8 2 4 54 2" xfId="27255"/>
    <cellStyle name="Обычный 8 2 4 54 3" xfId="27256"/>
    <cellStyle name="Обычный 8 2 4 55" xfId="27257"/>
    <cellStyle name="Обычный 8 2 4 55 2" xfId="27258"/>
    <cellStyle name="Обычный 8 2 4 55 3" xfId="27259"/>
    <cellStyle name="Обычный 8 2 4 56" xfId="27260"/>
    <cellStyle name="Обычный 8 2 4 56 2" xfId="27261"/>
    <cellStyle name="Обычный 8 2 4 56 3" xfId="27262"/>
    <cellStyle name="Обычный 8 2 4 57" xfId="27263"/>
    <cellStyle name="Обычный 8 2 4 57 2" xfId="27264"/>
    <cellStyle name="Обычный 8 2 4 57 3" xfId="27265"/>
    <cellStyle name="Обычный 8 2 4 58" xfId="27266"/>
    <cellStyle name="Обычный 8 2 4 58 2" xfId="27267"/>
    <cellStyle name="Обычный 8 2 4 58 3" xfId="27268"/>
    <cellStyle name="Обычный 8 2 4 59" xfId="27269"/>
    <cellStyle name="Обычный 8 2 4 59 2" xfId="27270"/>
    <cellStyle name="Обычный 8 2 4 59 3" xfId="27271"/>
    <cellStyle name="Обычный 8 2 4 6" xfId="27272"/>
    <cellStyle name="Обычный 8 2 4 6 2" xfId="27273"/>
    <cellStyle name="Обычный 8 2 4 6 3" xfId="27274"/>
    <cellStyle name="Обычный 8 2 4 60" xfId="27275"/>
    <cellStyle name="Обычный 8 2 4 60 2" xfId="27276"/>
    <cellStyle name="Обычный 8 2 4 60 3" xfId="27277"/>
    <cellStyle name="Обычный 8 2 4 61" xfId="27278"/>
    <cellStyle name="Обычный 8 2 4 61 2" xfId="27279"/>
    <cellStyle name="Обычный 8 2 4 61 3" xfId="27280"/>
    <cellStyle name="Обычный 8 2 4 62" xfId="27281"/>
    <cellStyle name="Обычный 8 2 4 62 2" xfId="27282"/>
    <cellStyle name="Обычный 8 2 4 62 3" xfId="27283"/>
    <cellStyle name="Обычный 8 2 4 63" xfId="27284"/>
    <cellStyle name="Обычный 8 2 4 63 2" xfId="27285"/>
    <cellStyle name="Обычный 8 2 4 63 3" xfId="27286"/>
    <cellStyle name="Обычный 8 2 4 64" xfId="27287"/>
    <cellStyle name="Обычный 8 2 4 65" xfId="27288"/>
    <cellStyle name="Обычный 8 2 4 7" xfId="27289"/>
    <cellStyle name="Обычный 8 2 4 7 2" xfId="27290"/>
    <cellStyle name="Обычный 8 2 4 7 3" xfId="27291"/>
    <cellStyle name="Обычный 8 2 4 8" xfId="27292"/>
    <cellStyle name="Обычный 8 2 4 8 2" xfId="27293"/>
    <cellStyle name="Обычный 8 2 4 8 3" xfId="27294"/>
    <cellStyle name="Обычный 8 2 4 9" xfId="27295"/>
    <cellStyle name="Обычный 8 2 4 9 2" xfId="27296"/>
    <cellStyle name="Обычный 8 2 4 9 3" xfId="27297"/>
    <cellStyle name="Обычный 8 2 40" xfId="27298"/>
    <cellStyle name="Обычный 8 2 40 2" xfId="27299"/>
    <cellStyle name="Обычный 8 2 40 3" xfId="27300"/>
    <cellStyle name="Обычный 8 2 41" xfId="27301"/>
    <cellStyle name="Обычный 8 2 41 2" xfId="27302"/>
    <cellStyle name="Обычный 8 2 41 3" xfId="27303"/>
    <cellStyle name="Обычный 8 2 42" xfId="27304"/>
    <cellStyle name="Обычный 8 2 42 2" xfId="27305"/>
    <cellStyle name="Обычный 8 2 42 3" xfId="27306"/>
    <cellStyle name="Обычный 8 2 43" xfId="27307"/>
    <cellStyle name="Обычный 8 2 43 2" xfId="27308"/>
    <cellStyle name="Обычный 8 2 43 3" xfId="27309"/>
    <cellStyle name="Обычный 8 2 44" xfId="27310"/>
    <cellStyle name="Обычный 8 2 44 2" xfId="27311"/>
    <cellStyle name="Обычный 8 2 44 3" xfId="27312"/>
    <cellStyle name="Обычный 8 2 45" xfId="27313"/>
    <cellStyle name="Обычный 8 2 45 2" xfId="27314"/>
    <cellStyle name="Обычный 8 2 45 3" xfId="27315"/>
    <cellStyle name="Обычный 8 2 46" xfId="27316"/>
    <cellStyle name="Обычный 8 2 46 2" xfId="27317"/>
    <cellStyle name="Обычный 8 2 46 3" xfId="27318"/>
    <cellStyle name="Обычный 8 2 47" xfId="27319"/>
    <cellStyle name="Обычный 8 2 47 2" xfId="27320"/>
    <cellStyle name="Обычный 8 2 47 3" xfId="27321"/>
    <cellStyle name="Обычный 8 2 48" xfId="27322"/>
    <cellStyle name="Обычный 8 2 48 2" xfId="27323"/>
    <cellStyle name="Обычный 8 2 48 3" xfId="27324"/>
    <cellStyle name="Обычный 8 2 49" xfId="27325"/>
    <cellStyle name="Обычный 8 2 49 2" xfId="27326"/>
    <cellStyle name="Обычный 8 2 49 3" xfId="27327"/>
    <cellStyle name="Обычный 8 2 5" xfId="27328"/>
    <cellStyle name="Обычный 8 2 5 10" xfId="27329"/>
    <cellStyle name="Обычный 8 2 5 10 2" xfId="27330"/>
    <cellStyle name="Обычный 8 2 5 10 3" xfId="27331"/>
    <cellStyle name="Обычный 8 2 5 11" xfId="27332"/>
    <cellStyle name="Обычный 8 2 5 11 2" xfId="27333"/>
    <cellStyle name="Обычный 8 2 5 11 3" xfId="27334"/>
    <cellStyle name="Обычный 8 2 5 12" xfId="27335"/>
    <cellStyle name="Обычный 8 2 5 12 2" xfId="27336"/>
    <cellStyle name="Обычный 8 2 5 12 3" xfId="27337"/>
    <cellStyle name="Обычный 8 2 5 13" xfId="27338"/>
    <cellStyle name="Обычный 8 2 5 13 2" xfId="27339"/>
    <cellStyle name="Обычный 8 2 5 13 3" xfId="27340"/>
    <cellStyle name="Обычный 8 2 5 14" xfId="27341"/>
    <cellStyle name="Обычный 8 2 5 14 2" xfId="27342"/>
    <cellStyle name="Обычный 8 2 5 14 3" xfId="27343"/>
    <cellStyle name="Обычный 8 2 5 15" xfId="27344"/>
    <cellStyle name="Обычный 8 2 5 15 2" xfId="27345"/>
    <cellStyle name="Обычный 8 2 5 15 3" xfId="27346"/>
    <cellStyle name="Обычный 8 2 5 16" xfId="27347"/>
    <cellStyle name="Обычный 8 2 5 16 2" xfId="27348"/>
    <cellStyle name="Обычный 8 2 5 16 3" xfId="27349"/>
    <cellStyle name="Обычный 8 2 5 17" xfId="27350"/>
    <cellStyle name="Обычный 8 2 5 17 2" xfId="27351"/>
    <cellStyle name="Обычный 8 2 5 17 3" xfId="27352"/>
    <cellStyle name="Обычный 8 2 5 18" xfId="27353"/>
    <cellStyle name="Обычный 8 2 5 18 2" xfId="27354"/>
    <cellStyle name="Обычный 8 2 5 18 3" xfId="27355"/>
    <cellStyle name="Обычный 8 2 5 19" xfId="27356"/>
    <cellStyle name="Обычный 8 2 5 19 2" xfId="27357"/>
    <cellStyle name="Обычный 8 2 5 19 3" xfId="27358"/>
    <cellStyle name="Обычный 8 2 5 2" xfId="27359"/>
    <cellStyle name="Обычный 8 2 5 2 2" xfId="27360"/>
    <cellStyle name="Обычный 8 2 5 2 3" xfId="27361"/>
    <cellStyle name="Обычный 8 2 5 20" xfId="27362"/>
    <cellStyle name="Обычный 8 2 5 20 2" xfId="27363"/>
    <cellStyle name="Обычный 8 2 5 20 3" xfId="27364"/>
    <cellStyle name="Обычный 8 2 5 21" xfId="27365"/>
    <cellStyle name="Обычный 8 2 5 21 2" xfId="27366"/>
    <cellStyle name="Обычный 8 2 5 21 3" xfId="27367"/>
    <cellStyle name="Обычный 8 2 5 22" xfId="27368"/>
    <cellStyle name="Обычный 8 2 5 22 2" xfId="27369"/>
    <cellStyle name="Обычный 8 2 5 22 3" xfId="27370"/>
    <cellStyle name="Обычный 8 2 5 23" xfId="27371"/>
    <cellStyle name="Обычный 8 2 5 23 2" xfId="27372"/>
    <cellStyle name="Обычный 8 2 5 23 3" xfId="27373"/>
    <cellStyle name="Обычный 8 2 5 24" xfId="27374"/>
    <cellStyle name="Обычный 8 2 5 24 2" xfId="27375"/>
    <cellStyle name="Обычный 8 2 5 24 3" xfId="27376"/>
    <cellStyle name="Обычный 8 2 5 25" xfId="27377"/>
    <cellStyle name="Обычный 8 2 5 25 2" xfId="27378"/>
    <cellStyle name="Обычный 8 2 5 25 3" xfId="27379"/>
    <cellStyle name="Обычный 8 2 5 26" xfId="27380"/>
    <cellStyle name="Обычный 8 2 5 26 2" xfId="27381"/>
    <cellStyle name="Обычный 8 2 5 26 3" xfId="27382"/>
    <cellStyle name="Обычный 8 2 5 27" xfId="27383"/>
    <cellStyle name="Обычный 8 2 5 27 2" xfId="27384"/>
    <cellStyle name="Обычный 8 2 5 27 3" xfId="27385"/>
    <cellStyle name="Обычный 8 2 5 28" xfId="27386"/>
    <cellStyle name="Обычный 8 2 5 28 2" xfId="27387"/>
    <cellStyle name="Обычный 8 2 5 28 3" xfId="27388"/>
    <cellStyle name="Обычный 8 2 5 29" xfId="27389"/>
    <cellStyle name="Обычный 8 2 5 29 2" xfId="27390"/>
    <cellStyle name="Обычный 8 2 5 29 3" xfId="27391"/>
    <cellStyle name="Обычный 8 2 5 3" xfId="27392"/>
    <cellStyle name="Обычный 8 2 5 3 2" xfId="27393"/>
    <cellStyle name="Обычный 8 2 5 3 3" xfId="27394"/>
    <cellStyle name="Обычный 8 2 5 30" xfId="27395"/>
    <cellStyle name="Обычный 8 2 5 30 2" xfId="27396"/>
    <cellStyle name="Обычный 8 2 5 30 3" xfId="27397"/>
    <cellStyle name="Обычный 8 2 5 31" xfId="27398"/>
    <cellStyle name="Обычный 8 2 5 31 2" xfId="27399"/>
    <cellStyle name="Обычный 8 2 5 31 3" xfId="27400"/>
    <cellStyle name="Обычный 8 2 5 32" xfId="27401"/>
    <cellStyle name="Обычный 8 2 5 32 2" xfId="27402"/>
    <cellStyle name="Обычный 8 2 5 32 3" xfId="27403"/>
    <cellStyle name="Обычный 8 2 5 33" xfId="27404"/>
    <cellStyle name="Обычный 8 2 5 33 2" xfId="27405"/>
    <cellStyle name="Обычный 8 2 5 33 3" xfId="27406"/>
    <cellStyle name="Обычный 8 2 5 34" xfId="27407"/>
    <cellStyle name="Обычный 8 2 5 34 2" xfId="27408"/>
    <cellStyle name="Обычный 8 2 5 34 3" xfId="27409"/>
    <cellStyle name="Обычный 8 2 5 35" xfId="27410"/>
    <cellStyle name="Обычный 8 2 5 35 2" xfId="27411"/>
    <cellStyle name="Обычный 8 2 5 35 3" xfId="27412"/>
    <cellStyle name="Обычный 8 2 5 36" xfId="27413"/>
    <cellStyle name="Обычный 8 2 5 36 2" xfId="27414"/>
    <cellStyle name="Обычный 8 2 5 36 3" xfId="27415"/>
    <cellStyle name="Обычный 8 2 5 37" xfId="27416"/>
    <cellStyle name="Обычный 8 2 5 37 2" xfId="27417"/>
    <cellStyle name="Обычный 8 2 5 37 3" xfId="27418"/>
    <cellStyle name="Обычный 8 2 5 38" xfId="27419"/>
    <cellStyle name="Обычный 8 2 5 38 2" xfId="27420"/>
    <cellStyle name="Обычный 8 2 5 38 3" xfId="27421"/>
    <cellStyle name="Обычный 8 2 5 39" xfId="27422"/>
    <cellStyle name="Обычный 8 2 5 39 2" xfId="27423"/>
    <cellStyle name="Обычный 8 2 5 39 3" xfId="27424"/>
    <cellStyle name="Обычный 8 2 5 4" xfId="27425"/>
    <cellStyle name="Обычный 8 2 5 4 2" xfId="27426"/>
    <cellStyle name="Обычный 8 2 5 4 3" xfId="27427"/>
    <cellStyle name="Обычный 8 2 5 40" xfId="27428"/>
    <cellStyle name="Обычный 8 2 5 40 2" xfId="27429"/>
    <cellStyle name="Обычный 8 2 5 40 3" xfId="27430"/>
    <cellStyle name="Обычный 8 2 5 41" xfId="27431"/>
    <cellStyle name="Обычный 8 2 5 41 2" xfId="27432"/>
    <cellStyle name="Обычный 8 2 5 41 3" xfId="27433"/>
    <cellStyle name="Обычный 8 2 5 42" xfId="27434"/>
    <cellStyle name="Обычный 8 2 5 42 2" xfId="27435"/>
    <cellStyle name="Обычный 8 2 5 42 3" xfId="27436"/>
    <cellStyle name="Обычный 8 2 5 43" xfId="27437"/>
    <cellStyle name="Обычный 8 2 5 43 2" xfId="27438"/>
    <cellStyle name="Обычный 8 2 5 43 3" xfId="27439"/>
    <cellStyle name="Обычный 8 2 5 44" xfId="27440"/>
    <cellStyle name="Обычный 8 2 5 44 2" xfId="27441"/>
    <cellStyle name="Обычный 8 2 5 44 3" xfId="27442"/>
    <cellStyle name="Обычный 8 2 5 45" xfId="27443"/>
    <cellStyle name="Обычный 8 2 5 45 2" xfId="27444"/>
    <cellStyle name="Обычный 8 2 5 45 3" xfId="27445"/>
    <cellStyle name="Обычный 8 2 5 46" xfId="27446"/>
    <cellStyle name="Обычный 8 2 5 46 2" xfId="27447"/>
    <cellStyle name="Обычный 8 2 5 46 3" xfId="27448"/>
    <cellStyle name="Обычный 8 2 5 47" xfId="27449"/>
    <cellStyle name="Обычный 8 2 5 47 2" xfId="27450"/>
    <cellStyle name="Обычный 8 2 5 47 3" xfId="27451"/>
    <cellStyle name="Обычный 8 2 5 48" xfId="27452"/>
    <cellStyle name="Обычный 8 2 5 48 2" xfId="27453"/>
    <cellStyle name="Обычный 8 2 5 48 3" xfId="27454"/>
    <cellStyle name="Обычный 8 2 5 49" xfId="27455"/>
    <cellStyle name="Обычный 8 2 5 49 2" xfId="27456"/>
    <cellStyle name="Обычный 8 2 5 49 3" xfId="27457"/>
    <cellStyle name="Обычный 8 2 5 5" xfId="27458"/>
    <cellStyle name="Обычный 8 2 5 5 2" xfId="27459"/>
    <cellStyle name="Обычный 8 2 5 5 3" xfId="27460"/>
    <cellStyle name="Обычный 8 2 5 50" xfId="27461"/>
    <cellStyle name="Обычный 8 2 5 50 2" xfId="27462"/>
    <cellStyle name="Обычный 8 2 5 50 3" xfId="27463"/>
    <cellStyle name="Обычный 8 2 5 51" xfId="27464"/>
    <cellStyle name="Обычный 8 2 5 51 2" xfId="27465"/>
    <cellStyle name="Обычный 8 2 5 51 3" xfId="27466"/>
    <cellStyle name="Обычный 8 2 5 52" xfId="27467"/>
    <cellStyle name="Обычный 8 2 5 52 2" xfId="27468"/>
    <cellStyle name="Обычный 8 2 5 52 3" xfId="27469"/>
    <cellStyle name="Обычный 8 2 5 53" xfId="27470"/>
    <cellStyle name="Обычный 8 2 5 53 2" xfId="27471"/>
    <cellStyle name="Обычный 8 2 5 53 3" xfId="27472"/>
    <cellStyle name="Обычный 8 2 5 54" xfId="27473"/>
    <cellStyle name="Обычный 8 2 5 54 2" xfId="27474"/>
    <cellStyle name="Обычный 8 2 5 54 3" xfId="27475"/>
    <cellStyle name="Обычный 8 2 5 55" xfId="27476"/>
    <cellStyle name="Обычный 8 2 5 55 2" xfId="27477"/>
    <cellStyle name="Обычный 8 2 5 55 3" xfId="27478"/>
    <cellStyle name="Обычный 8 2 5 56" xfId="27479"/>
    <cellStyle name="Обычный 8 2 5 56 2" xfId="27480"/>
    <cellStyle name="Обычный 8 2 5 56 3" xfId="27481"/>
    <cellStyle name="Обычный 8 2 5 57" xfId="27482"/>
    <cellStyle name="Обычный 8 2 5 57 2" xfId="27483"/>
    <cellStyle name="Обычный 8 2 5 57 3" xfId="27484"/>
    <cellStyle name="Обычный 8 2 5 58" xfId="27485"/>
    <cellStyle name="Обычный 8 2 5 58 2" xfId="27486"/>
    <cellStyle name="Обычный 8 2 5 58 3" xfId="27487"/>
    <cellStyle name="Обычный 8 2 5 59" xfId="27488"/>
    <cellStyle name="Обычный 8 2 5 59 2" xfId="27489"/>
    <cellStyle name="Обычный 8 2 5 59 3" xfId="27490"/>
    <cellStyle name="Обычный 8 2 5 6" xfId="27491"/>
    <cellStyle name="Обычный 8 2 5 6 2" xfId="27492"/>
    <cellStyle name="Обычный 8 2 5 6 3" xfId="27493"/>
    <cellStyle name="Обычный 8 2 5 60" xfId="27494"/>
    <cellStyle name="Обычный 8 2 5 60 2" xfId="27495"/>
    <cellStyle name="Обычный 8 2 5 60 3" xfId="27496"/>
    <cellStyle name="Обычный 8 2 5 61" xfId="27497"/>
    <cellStyle name="Обычный 8 2 5 61 2" xfId="27498"/>
    <cellStyle name="Обычный 8 2 5 61 3" xfId="27499"/>
    <cellStyle name="Обычный 8 2 5 62" xfId="27500"/>
    <cellStyle name="Обычный 8 2 5 62 2" xfId="27501"/>
    <cellStyle name="Обычный 8 2 5 62 3" xfId="27502"/>
    <cellStyle name="Обычный 8 2 5 63" xfId="27503"/>
    <cellStyle name="Обычный 8 2 5 63 2" xfId="27504"/>
    <cellStyle name="Обычный 8 2 5 63 3" xfId="27505"/>
    <cellStyle name="Обычный 8 2 5 64" xfId="27506"/>
    <cellStyle name="Обычный 8 2 5 65" xfId="27507"/>
    <cellStyle name="Обычный 8 2 5 7" xfId="27508"/>
    <cellStyle name="Обычный 8 2 5 7 2" xfId="27509"/>
    <cellStyle name="Обычный 8 2 5 7 3" xfId="27510"/>
    <cellStyle name="Обычный 8 2 5 8" xfId="27511"/>
    <cellStyle name="Обычный 8 2 5 8 2" xfId="27512"/>
    <cellStyle name="Обычный 8 2 5 8 3" xfId="27513"/>
    <cellStyle name="Обычный 8 2 5 9" xfId="27514"/>
    <cellStyle name="Обычный 8 2 5 9 2" xfId="27515"/>
    <cellStyle name="Обычный 8 2 5 9 3" xfId="27516"/>
    <cellStyle name="Обычный 8 2 50" xfId="27517"/>
    <cellStyle name="Обычный 8 2 50 2" xfId="27518"/>
    <cellStyle name="Обычный 8 2 50 3" xfId="27519"/>
    <cellStyle name="Обычный 8 2 51" xfId="27520"/>
    <cellStyle name="Обычный 8 2 51 2" xfId="27521"/>
    <cellStyle name="Обычный 8 2 51 3" xfId="27522"/>
    <cellStyle name="Обычный 8 2 52" xfId="27523"/>
    <cellStyle name="Обычный 8 2 52 2" xfId="27524"/>
    <cellStyle name="Обычный 8 2 52 3" xfId="27525"/>
    <cellStyle name="Обычный 8 2 53" xfId="27526"/>
    <cellStyle name="Обычный 8 2 53 2" xfId="27527"/>
    <cellStyle name="Обычный 8 2 53 3" xfId="27528"/>
    <cellStyle name="Обычный 8 2 54" xfId="27529"/>
    <cellStyle name="Обычный 8 2 54 2" xfId="27530"/>
    <cellStyle name="Обычный 8 2 54 3" xfId="27531"/>
    <cellStyle name="Обычный 8 2 55" xfId="27532"/>
    <cellStyle name="Обычный 8 2 55 2" xfId="27533"/>
    <cellStyle name="Обычный 8 2 55 3" xfId="27534"/>
    <cellStyle name="Обычный 8 2 56" xfId="27535"/>
    <cellStyle name="Обычный 8 2 56 2" xfId="27536"/>
    <cellStyle name="Обычный 8 2 56 3" xfId="27537"/>
    <cellStyle name="Обычный 8 2 57" xfId="27538"/>
    <cellStyle name="Обычный 8 2 57 2" xfId="27539"/>
    <cellStyle name="Обычный 8 2 57 3" xfId="27540"/>
    <cellStyle name="Обычный 8 2 58" xfId="27541"/>
    <cellStyle name="Обычный 8 2 58 2" xfId="27542"/>
    <cellStyle name="Обычный 8 2 58 3" xfId="27543"/>
    <cellStyle name="Обычный 8 2 59" xfId="27544"/>
    <cellStyle name="Обычный 8 2 59 2" xfId="27545"/>
    <cellStyle name="Обычный 8 2 59 3" xfId="27546"/>
    <cellStyle name="Обычный 8 2 6" xfId="27547"/>
    <cellStyle name="Обычный 8 2 6 10" xfId="27548"/>
    <cellStyle name="Обычный 8 2 6 10 2" xfId="27549"/>
    <cellStyle name="Обычный 8 2 6 10 3" xfId="27550"/>
    <cellStyle name="Обычный 8 2 6 11" xfId="27551"/>
    <cellStyle name="Обычный 8 2 6 11 2" xfId="27552"/>
    <cellStyle name="Обычный 8 2 6 11 3" xfId="27553"/>
    <cellStyle name="Обычный 8 2 6 12" xfId="27554"/>
    <cellStyle name="Обычный 8 2 6 12 2" xfId="27555"/>
    <cellStyle name="Обычный 8 2 6 12 3" xfId="27556"/>
    <cellStyle name="Обычный 8 2 6 13" xfId="27557"/>
    <cellStyle name="Обычный 8 2 6 13 2" xfId="27558"/>
    <cellStyle name="Обычный 8 2 6 13 3" xfId="27559"/>
    <cellStyle name="Обычный 8 2 6 14" xfId="27560"/>
    <cellStyle name="Обычный 8 2 6 14 2" xfId="27561"/>
    <cellStyle name="Обычный 8 2 6 14 3" xfId="27562"/>
    <cellStyle name="Обычный 8 2 6 15" xfId="27563"/>
    <cellStyle name="Обычный 8 2 6 15 2" xfId="27564"/>
    <cellStyle name="Обычный 8 2 6 15 3" xfId="27565"/>
    <cellStyle name="Обычный 8 2 6 16" xfId="27566"/>
    <cellStyle name="Обычный 8 2 6 16 2" xfId="27567"/>
    <cellStyle name="Обычный 8 2 6 16 3" xfId="27568"/>
    <cellStyle name="Обычный 8 2 6 17" xfId="27569"/>
    <cellStyle name="Обычный 8 2 6 17 2" xfId="27570"/>
    <cellStyle name="Обычный 8 2 6 17 3" xfId="27571"/>
    <cellStyle name="Обычный 8 2 6 18" xfId="27572"/>
    <cellStyle name="Обычный 8 2 6 18 2" xfId="27573"/>
    <cellStyle name="Обычный 8 2 6 18 3" xfId="27574"/>
    <cellStyle name="Обычный 8 2 6 19" xfId="27575"/>
    <cellStyle name="Обычный 8 2 6 19 2" xfId="27576"/>
    <cellStyle name="Обычный 8 2 6 19 3" xfId="27577"/>
    <cellStyle name="Обычный 8 2 6 2" xfId="27578"/>
    <cellStyle name="Обычный 8 2 6 2 2" xfId="27579"/>
    <cellStyle name="Обычный 8 2 6 2 3" xfId="27580"/>
    <cellStyle name="Обычный 8 2 6 20" xfId="27581"/>
    <cellStyle name="Обычный 8 2 6 20 2" xfId="27582"/>
    <cellStyle name="Обычный 8 2 6 20 3" xfId="27583"/>
    <cellStyle name="Обычный 8 2 6 21" xfId="27584"/>
    <cellStyle name="Обычный 8 2 6 21 2" xfId="27585"/>
    <cellStyle name="Обычный 8 2 6 21 3" xfId="27586"/>
    <cellStyle name="Обычный 8 2 6 22" xfId="27587"/>
    <cellStyle name="Обычный 8 2 6 22 2" xfId="27588"/>
    <cellStyle name="Обычный 8 2 6 22 3" xfId="27589"/>
    <cellStyle name="Обычный 8 2 6 23" xfId="27590"/>
    <cellStyle name="Обычный 8 2 6 23 2" xfId="27591"/>
    <cellStyle name="Обычный 8 2 6 23 3" xfId="27592"/>
    <cellStyle name="Обычный 8 2 6 24" xfId="27593"/>
    <cellStyle name="Обычный 8 2 6 24 2" xfId="27594"/>
    <cellStyle name="Обычный 8 2 6 24 3" xfId="27595"/>
    <cellStyle name="Обычный 8 2 6 25" xfId="27596"/>
    <cellStyle name="Обычный 8 2 6 25 2" xfId="27597"/>
    <cellStyle name="Обычный 8 2 6 25 3" xfId="27598"/>
    <cellStyle name="Обычный 8 2 6 26" xfId="27599"/>
    <cellStyle name="Обычный 8 2 6 26 2" xfId="27600"/>
    <cellStyle name="Обычный 8 2 6 26 3" xfId="27601"/>
    <cellStyle name="Обычный 8 2 6 27" xfId="27602"/>
    <cellStyle name="Обычный 8 2 6 27 2" xfId="27603"/>
    <cellStyle name="Обычный 8 2 6 27 3" xfId="27604"/>
    <cellStyle name="Обычный 8 2 6 28" xfId="27605"/>
    <cellStyle name="Обычный 8 2 6 28 2" xfId="27606"/>
    <cellStyle name="Обычный 8 2 6 28 3" xfId="27607"/>
    <cellStyle name="Обычный 8 2 6 29" xfId="27608"/>
    <cellStyle name="Обычный 8 2 6 29 2" xfId="27609"/>
    <cellStyle name="Обычный 8 2 6 29 3" xfId="27610"/>
    <cellStyle name="Обычный 8 2 6 3" xfId="27611"/>
    <cellStyle name="Обычный 8 2 6 3 2" xfId="27612"/>
    <cellStyle name="Обычный 8 2 6 3 3" xfId="27613"/>
    <cellStyle name="Обычный 8 2 6 30" xfId="27614"/>
    <cellStyle name="Обычный 8 2 6 30 2" xfId="27615"/>
    <cellStyle name="Обычный 8 2 6 30 3" xfId="27616"/>
    <cellStyle name="Обычный 8 2 6 31" xfId="27617"/>
    <cellStyle name="Обычный 8 2 6 31 2" xfId="27618"/>
    <cellStyle name="Обычный 8 2 6 31 3" xfId="27619"/>
    <cellStyle name="Обычный 8 2 6 32" xfId="27620"/>
    <cellStyle name="Обычный 8 2 6 32 2" xfId="27621"/>
    <cellStyle name="Обычный 8 2 6 32 3" xfId="27622"/>
    <cellStyle name="Обычный 8 2 6 33" xfId="27623"/>
    <cellStyle name="Обычный 8 2 6 33 2" xfId="27624"/>
    <cellStyle name="Обычный 8 2 6 33 3" xfId="27625"/>
    <cellStyle name="Обычный 8 2 6 34" xfId="27626"/>
    <cellStyle name="Обычный 8 2 6 34 2" xfId="27627"/>
    <cellStyle name="Обычный 8 2 6 34 3" xfId="27628"/>
    <cellStyle name="Обычный 8 2 6 35" xfId="27629"/>
    <cellStyle name="Обычный 8 2 6 35 2" xfId="27630"/>
    <cellStyle name="Обычный 8 2 6 35 3" xfId="27631"/>
    <cellStyle name="Обычный 8 2 6 36" xfId="27632"/>
    <cellStyle name="Обычный 8 2 6 36 2" xfId="27633"/>
    <cellStyle name="Обычный 8 2 6 36 3" xfId="27634"/>
    <cellStyle name="Обычный 8 2 6 37" xfId="27635"/>
    <cellStyle name="Обычный 8 2 6 37 2" xfId="27636"/>
    <cellStyle name="Обычный 8 2 6 37 3" xfId="27637"/>
    <cellStyle name="Обычный 8 2 6 38" xfId="27638"/>
    <cellStyle name="Обычный 8 2 6 38 2" xfId="27639"/>
    <cellStyle name="Обычный 8 2 6 38 3" xfId="27640"/>
    <cellStyle name="Обычный 8 2 6 39" xfId="27641"/>
    <cellStyle name="Обычный 8 2 6 39 2" xfId="27642"/>
    <cellStyle name="Обычный 8 2 6 39 3" xfId="27643"/>
    <cellStyle name="Обычный 8 2 6 4" xfId="27644"/>
    <cellStyle name="Обычный 8 2 6 4 2" xfId="27645"/>
    <cellStyle name="Обычный 8 2 6 4 3" xfId="27646"/>
    <cellStyle name="Обычный 8 2 6 40" xfId="27647"/>
    <cellStyle name="Обычный 8 2 6 40 2" xfId="27648"/>
    <cellStyle name="Обычный 8 2 6 40 3" xfId="27649"/>
    <cellStyle name="Обычный 8 2 6 41" xfId="27650"/>
    <cellStyle name="Обычный 8 2 6 41 2" xfId="27651"/>
    <cellStyle name="Обычный 8 2 6 41 3" xfId="27652"/>
    <cellStyle name="Обычный 8 2 6 42" xfId="27653"/>
    <cellStyle name="Обычный 8 2 6 42 2" xfId="27654"/>
    <cellStyle name="Обычный 8 2 6 42 3" xfId="27655"/>
    <cellStyle name="Обычный 8 2 6 43" xfId="27656"/>
    <cellStyle name="Обычный 8 2 6 43 2" xfId="27657"/>
    <cellStyle name="Обычный 8 2 6 43 3" xfId="27658"/>
    <cellStyle name="Обычный 8 2 6 44" xfId="27659"/>
    <cellStyle name="Обычный 8 2 6 44 2" xfId="27660"/>
    <cellStyle name="Обычный 8 2 6 44 3" xfId="27661"/>
    <cellStyle name="Обычный 8 2 6 45" xfId="27662"/>
    <cellStyle name="Обычный 8 2 6 45 2" xfId="27663"/>
    <cellStyle name="Обычный 8 2 6 45 3" xfId="27664"/>
    <cellStyle name="Обычный 8 2 6 46" xfId="27665"/>
    <cellStyle name="Обычный 8 2 6 46 2" xfId="27666"/>
    <cellStyle name="Обычный 8 2 6 46 3" xfId="27667"/>
    <cellStyle name="Обычный 8 2 6 47" xfId="27668"/>
    <cellStyle name="Обычный 8 2 6 47 2" xfId="27669"/>
    <cellStyle name="Обычный 8 2 6 47 3" xfId="27670"/>
    <cellStyle name="Обычный 8 2 6 48" xfId="27671"/>
    <cellStyle name="Обычный 8 2 6 48 2" xfId="27672"/>
    <cellStyle name="Обычный 8 2 6 48 3" xfId="27673"/>
    <cellStyle name="Обычный 8 2 6 49" xfId="27674"/>
    <cellStyle name="Обычный 8 2 6 49 2" xfId="27675"/>
    <cellStyle name="Обычный 8 2 6 49 3" xfId="27676"/>
    <cellStyle name="Обычный 8 2 6 5" xfId="27677"/>
    <cellStyle name="Обычный 8 2 6 5 2" xfId="27678"/>
    <cellStyle name="Обычный 8 2 6 5 3" xfId="27679"/>
    <cellStyle name="Обычный 8 2 6 50" xfId="27680"/>
    <cellStyle name="Обычный 8 2 6 50 2" xfId="27681"/>
    <cellStyle name="Обычный 8 2 6 50 3" xfId="27682"/>
    <cellStyle name="Обычный 8 2 6 51" xfId="27683"/>
    <cellStyle name="Обычный 8 2 6 51 2" xfId="27684"/>
    <cellStyle name="Обычный 8 2 6 51 3" xfId="27685"/>
    <cellStyle name="Обычный 8 2 6 52" xfId="27686"/>
    <cellStyle name="Обычный 8 2 6 52 2" xfId="27687"/>
    <cellStyle name="Обычный 8 2 6 52 3" xfId="27688"/>
    <cellStyle name="Обычный 8 2 6 53" xfId="27689"/>
    <cellStyle name="Обычный 8 2 6 53 2" xfId="27690"/>
    <cellStyle name="Обычный 8 2 6 53 3" xfId="27691"/>
    <cellStyle name="Обычный 8 2 6 54" xfId="27692"/>
    <cellStyle name="Обычный 8 2 6 54 2" xfId="27693"/>
    <cellStyle name="Обычный 8 2 6 54 3" xfId="27694"/>
    <cellStyle name="Обычный 8 2 6 55" xfId="27695"/>
    <cellStyle name="Обычный 8 2 6 55 2" xfId="27696"/>
    <cellStyle name="Обычный 8 2 6 55 3" xfId="27697"/>
    <cellStyle name="Обычный 8 2 6 56" xfId="27698"/>
    <cellStyle name="Обычный 8 2 6 56 2" xfId="27699"/>
    <cellStyle name="Обычный 8 2 6 56 3" xfId="27700"/>
    <cellStyle name="Обычный 8 2 6 57" xfId="27701"/>
    <cellStyle name="Обычный 8 2 6 57 2" xfId="27702"/>
    <cellStyle name="Обычный 8 2 6 57 3" xfId="27703"/>
    <cellStyle name="Обычный 8 2 6 58" xfId="27704"/>
    <cellStyle name="Обычный 8 2 6 58 2" xfId="27705"/>
    <cellStyle name="Обычный 8 2 6 58 3" xfId="27706"/>
    <cellStyle name="Обычный 8 2 6 59" xfId="27707"/>
    <cellStyle name="Обычный 8 2 6 59 2" xfId="27708"/>
    <cellStyle name="Обычный 8 2 6 59 3" xfId="27709"/>
    <cellStyle name="Обычный 8 2 6 6" xfId="27710"/>
    <cellStyle name="Обычный 8 2 6 6 2" xfId="27711"/>
    <cellStyle name="Обычный 8 2 6 6 3" xfId="27712"/>
    <cellStyle name="Обычный 8 2 6 60" xfId="27713"/>
    <cellStyle name="Обычный 8 2 6 60 2" xfId="27714"/>
    <cellStyle name="Обычный 8 2 6 60 3" xfId="27715"/>
    <cellStyle name="Обычный 8 2 6 61" xfId="27716"/>
    <cellStyle name="Обычный 8 2 6 61 2" xfId="27717"/>
    <cellStyle name="Обычный 8 2 6 61 3" xfId="27718"/>
    <cellStyle name="Обычный 8 2 6 62" xfId="27719"/>
    <cellStyle name="Обычный 8 2 6 62 2" xfId="27720"/>
    <cellStyle name="Обычный 8 2 6 62 3" xfId="27721"/>
    <cellStyle name="Обычный 8 2 6 63" xfId="27722"/>
    <cellStyle name="Обычный 8 2 6 63 2" xfId="27723"/>
    <cellStyle name="Обычный 8 2 6 63 3" xfId="27724"/>
    <cellStyle name="Обычный 8 2 6 64" xfId="27725"/>
    <cellStyle name="Обычный 8 2 6 65" xfId="27726"/>
    <cellStyle name="Обычный 8 2 6 7" xfId="27727"/>
    <cellStyle name="Обычный 8 2 6 7 2" xfId="27728"/>
    <cellStyle name="Обычный 8 2 6 7 3" xfId="27729"/>
    <cellStyle name="Обычный 8 2 6 8" xfId="27730"/>
    <cellStyle name="Обычный 8 2 6 8 2" xfId="27731"/>
    <cellStyle name="Обычный 8 2 6 8 3" xfId="27732"/>
    <cellStyle name="Обычный 8 2 6 9" xfId="27733"/>
    <cellStyle name="Обычный 8 2 6 9 2" xfId="27734"/>
    <cellStyle name="Обычный 8 2 6 9 3" xfId="27735"/>
    <cellStyle name="Обычный 8 2 60" xfId="27736"/>
    <cellStyle name="Обычный 8 2 60 2" xfId="27737"/>
    <cellStyle name="Обычный 8 2 60 3" xfId="27738"/>
    <cellStyle name="Обычный 8 2 61" xfId="27739"/>
    <cellStyle name="Обычный 8 2 61 2" xfId="27740"/>
    <cellStyle name="Обычный 8 2 61 3" xfId="27741"/>
    <cellStyle name="Обычный 8 2 62" xfId="27742"/>
    <cellStyle name="Обычный 8 2 62 2" xfId="27743"/>
    <cellStyle name="Обычный 8 2 62 3" xfId="27744"/>
    <cellStyle name="Обычный 8 2 63" xfId="27745"/>
    <cellStyle name="Обычный 8 2 63 2" xfId="27746"/>
    <cellStyle name="Обычный 8 2 63 3" xfId="27747"/>
    <cellStyle name="Обычный 8 2 64" xfId="27748"/>
    <cellStyle name="Обычный 8 2 64 2" xfId="27749"/>
    <cellStyle name="Обычный 8 2 64 3" xfId="27750"/>
    <cellStyle name="Обычный 8 2 65" xfId="27751"/>
    <cellStyle name="Обычный 8 2 65 2" xfId="27752"/>
    <cellStyle name="Обычный 8 2 65 3" xfId="27753"/>
    <cellStyle name="Обычный 8 2 66" xfId="27754"/>
    <cellStyle name="Обычный 8 2 66 2" xfId="27755"/>
    <cellStyle name="Обычный 8 2 66 3" xfId="27756"/>
    <cellStyle name="Обычный 8 2 67" xfId="27757"/>
    <cellStyle name="Обычный 8 2 67 2" xfId="27758"/>
    <cellStyle name="Обычный 8 2 67 3" xfId="27759"/>
    <cellStyle name="Обычный 8 2 68" xfId="27760"/>
    <cellStyle name="Обычный 8 2 68 2" xfId="27761"/>
    <cellStyle name="Обычный 8 2 68 3" xfId="27762"/>
    <cellStyle name="Обычный 8 2 69" xfId="27763"/>
    <cellStyle name="Обычный 8 2 69 2" xfId="27764"/>
    <cellStyle name="Обычный 8 2 69 3" xfId="27765"/>
    <cellStyle name="Обычный 8 2 7" xfId="27766"/>
    <cellStyle name="Обычный 8 2 7 10" xfId="27767"/>
    <cellStyle name="Обычный 8 2 7 10 2" xfId="27768"/>
    <cellStyle name="Обычный 8 2 7 10 3" xfId="27769"/>
    <cellStyle name="Обычный 8 2 7 11" xfId="27770"/>
    <cellStyle name="Обычный 8 2 7 11 2" xfId="27771"/>
    <cellStyle name="Обычный 8 2 7 11 3" xfId="27772"/>
    <cellStyle name="Обычный 8 2 7 12" xfId="27773"/>
    <cellStyle name="Обычный 8 2 7 12 2" xfId="27774"/>
    <cellStyle name="Обычный 8 2 7 12 3" xfId="27775"/>
    <cellStyle name="Обычный 8 2 7 13" xfId="27776"/>
    <cellStyle name="Обычный 8 2 7 13 2" xfId="27777"/>
    <cellStyle name="Обычный 8 2 7 13 3" xfId="27778"/>
    <cellStyle name="Обычный 8 2 7 14" xfId="27779"/>
    <cellStyle name="Обычный 8 2 7 14 2" xfId="27780"/>
    <cellStyle name="Обычный 8 2 7 14 3" xfId="27781"/>
    <cellStyle name="Обычный 8 2 7 15" xfId="27782"/>
    <cellStyle name="Обычный 8 2 7 15 2" xfId="27783"/>
    <cellStyle name="Обычный 8 2 7 15 3" xfId="27784"/>
    <cellStyle name="Обычный 8 2 7 16" xfId="27785"/>
    <cellStyle name="Обычный 8 2 7 16 2" xfId="27786"/>
    <cellStyle name="Обычный 8 2 7 16 3" xfId="27787"/>
    <cellStyle name="Обычный 8 2 7 17" xfId="27788"/>
    <cellStyle name="Обычный 8 2 7 17 2" xfId="27789"/>
    <cellStyle name="Обычный 8 2 7 17 3" xfId="27790"/>
    <cellStyle name="Обычный 8 2 7 18" xfId="27791"/>
    <cellStyle name="Обычный 8 2 7 18 2" xfId="27792"/>
    <cellStyle name="Обычный 8 2 7 18 3" xfId="27793"/>
    <cellStyle name="Обычный 8 2 7 19" xfId="27794"/>
    <cellStyle name="Обычный 8 2 7 19 2" xfId="27795"/>
    <cellStyle name="Обычный 8 2 7 19 3" xfId="27796"/>
    <cellStyle name="Обычный 8 2 7 2" xfId="27797"/>
    <cellStyle name="Обычный 8 2 7 2 2" xfId="27798"/>
    <cellStyle name="Обычный 8 2 7 2 3" xfId="27799"/>
    <cellStyle name="Обычный 8 2 7 20" xfId="27800"/>
    <cellStyle name="Обычный 8 2 7 20 2" xfId="27801"/>
    <cellStyle name="Обычный 8 2 7 20 3" xfId="27802"/>
    <cellStyle name="Обычный 8 2 7 21" xfId="27803"/>
    <cellStyle name="Обычный 8 2 7 21 2" xfId="27804"/>
    <cellStyle name="Обычный 8 2 7 21 3" xfId="27805"/>
    <cellStyle name="Обычный 8 2 7 22" xfId="27806"/>
    <cellStyle name="Обычный 8 2 7 22 2" xfId="27807"/>
    <cellStyle name="Обычный 8 2 7 22 3" xfId="27808"/>
    <cellStyle name="Обычный 8 2 7 23" xfId="27809"/>
    <cellStyle name="Обычный 8 2 7 23 2" xfId="27810"/>
    <cellStyle name="Обычный 8 2 7 23 3" xfId="27811"/>
    <cellStyle name="Обычный 8 2 7 24" xfId="27812"/>
    <cellStyle name="Обычный 8 2 7 24 2" xfId="27813"/>
    <cellStyle name="Обычный 8 2 7 24 3" xfId="27814"/>
    <cellStyle name="Обычный 8 2 7 25" xfId="27815"/>
    <cellStyle name="Обычный 8 2 7 25 2" xfId="27816"/>
    <cellStyle name="Обычный 8 2 7 25 3" xfId="27817"/>
    <cellStyle name="Обычный 8 2 7 26" xfId="27818"/>
    <cellStyle name="Обычный 8 2 7 26 2" xfId="27819"/>
    <cellStyle name="Обычный 8 2 7 26 3" xfId="27820"/>
    <cellStyle name="Обычный 8 2 7 27" xfId="27821"/>
    <cellStyle name="Обычный 8 2 7 27 2" xfId="27822"/>
    <cellStyle name="Обычный 8 2 7 27 3" xfId="27823"/>
    <cellStyle name="Обычный 8 2 7 28" xfId="27824"/>
    <cellStyle name="Обычный 8 2 7 28 2" xfId="27825"/>
    <cellStyle name="Обычный 8 2 7 28 3" xfId="27826"/>
    <cellStyle name="Обычный 8 2 7 29" xfId="27827"/>
    <cellStyle name="Обычный 8 2 7 29 2" xfId="27828"/>
    <cellStyle name="Обычный 8 2 7 29 3" xfId="27829"/>
    <cellStyle name="Обычный 8 2 7 3" xfId="27830"/>
    <cellStyle name="Обычный 8 2 7 3 2" xfId="27831"/>
    <cellStyle name="Обычный 8 2 7 3 3" xfId="27832"/>
    <cellStyle name="Обычный 8 2 7 30" xfId="27833"/>
    <cellStyle name="Обычный 8 2 7 30 2" xfId="27834"/>
    <cellStyle name="Обычный 8 2 7 30 3" xfId="27835"/>
    <cellStyle name="Обычный 8 2 7 31" xfId="27836"/>
    <cellStyle name="Обычный 8 2 7 31 2" xfId="27837"/>
    <cellStyle name="Обычный 8 2 7 31 3" xfId="27838"/>
    <cellStyle name="Обычный 8 2 7 32" xfId="27839"/>
    <cellStyle name="Обычный 8 2 7 32 2" xfId="27840"/>
    <cellStyle name="Обычный 8 2 7 32 3" xfId="27841"/>
    <cellStyle name="Обычный 8 2 7 33" xfId="27842"/>
    <cellStyle name="Обычный 8 2 7 33 2" xfId="27843"/>
    <cellStyle name="Обычный 8 2 7 33 3" xfId="27844"/>
    <cellStyle name="Обычный 8 2 7 34" xfId="27845"/>
    <cellStyle name="Обычный 8 2 7 34 2" xfId="27846"/>
    <cellStyle name="Обычный 8 2 7 34 3" xfId="27847"/>
    <cellStyle name="Обычный 8 2 7 35" xfId="27848"/>
    <cellStyle name="Обычный 8 2 7 35 2" xfId="27849"/>
    <cellStyle name="Обычный 8 2 7 35 3" xfId="27850"/>
    <cellStyle name="Обычный 8 2 7 36" xfId="27851"/>
    <cellStyle name="Обычный 8 2 7 36 2" xfId="27852"/>
    <cellStyle name="Обычный 8 2 7 36 3" xfId="27853"/>
    <cellStyle name="Обычный 8 2 7 37" xfId="27854"/>
    <cellStyle name="Обычный 8 2 7 37 2" xfId="27855"/>
    <cellStyle name="Обычный 8 2 7 37 3" xfId="27856"/>
    <cellStyle name="Обычный 8 2 7 38" xfId="27857"/>
    <cellStyle name="Обычный 8 2 7 38 2" xfId="27858"/>
    <cellStyle name="Обычный 8 2 7 38 3" xfId="27859"/>
    <cellStyle name="Обычный 8 2 7 39" xfId="27860"/>
    <cellStyle name="Обычный 8 2 7 39 2" xfId="27861"/>
    <cellStyle name="Обычный 8 2 7 39 3" xfId="27862"/>
    <cellStyle name="Обычный 8 2 7 4" xfId="27863"/>
    <cellStyle name="Обычный 8 2 7 4 2" xfId="27864"/>
    <cellStyle name="Обычный 8 2 7 4 3" xfId="27865"/>
    <cellStyle name="Обычный 8 2 7 40" xfId="27866"/>
    <cellStyle name="Обычный 8 2 7 40 2" xfId="27867"/>
    <cellStyle name="Обычный 8 2 7 40 3" xfId="27868"/>
    <cellStyle name="Обычный 8 2 7 41" xfId="27869"/>
    <cellStyle name="Обычный 8 2 7 41 2" xfId="27870"/>
    <cellStyle name="Обычный 8 2 7 41 3" xfId="27871"/>
    <cellStyle name="Обычный 8 2 7 42" xfId="27872"/>
    <cellStyle name="Обычный 8 2 7 42 2" xfId="27873"/>
    <cellStyle name="Обычный 8 2 7 42 3" xfId="27874"/>
    <cellStyle name="Обычный 8 2 7 43" xfId="27875"/>
    <cellStyle name="Обычный 8 2 7 43 2" xfId="27876"/>
    <cellStyle name="Обычный 8 2 7 43 3" xfId="27877"/>
    <cellStyle name="Обычный 8 2 7 44" xfId="27878"/>
    <cellStyle name="Обычный 8 2 7 44 2" xfId="27879"/>
    <cellStyle name="Обычный 8 2 7 44 3" xfId="27880"/>
    <cellStyle name="Обычный 8 2 7 45" xfId="27881"/>
    <cellStyle name="Обычный 8 2 7 45 2" xfId="27882"/>
    <cellStyle name="Обычный 8 2 7 45 3" xfId="27883"/>
    <cellStyle name="Обычный 8 2 7 46" xfId="27884"/>
    <cellStyle name="Обычный 8 2 7 46 2" xfId="27885"/>
    <cellStyle name="Обычный 8 2 7 46 3" xfId="27886"/>
    <cellStyle name="Обычный 8 2 7 47" xfId="27887"/>
    <cellStyle name="Обычный 8 2 7 47 2" xfId="27888"/>
    <cellStyle name="Обычный 8 2 7 47 3" xfId="27889"/>
    <cellStyle name="Обычный 8 2 7 48" xfId="27890"/>
    <cellStyle name="Обычный 8 2 7 48 2" xfId="27891"/>
    <cellStyle name="Обычный 8 2 7 48 3" xfId="27892"/>
    <cellStyle name="Обычный 8 2 7 49" xfId="27893"/>
    <cellStyle name="Обычный 8 2 7 49 2" xfId="27894"/>
    <cellStyle name="Обычный 8 2 7 49 3" xfId="27895"/>
    <cellStyle name="Обычный 8 2 7 5" xfId="27896"/>
    <cellStyle name="Обычный 8 2 7 5 2" xfId="27897"/>
    <cellStyle name="Обычный 8 2 7 5 3" xfId="27898"/>
    <cellStyle name="Обычный 8 2 7 50" xfId="27899"/>
    <cellStyle name="Обычный 8 2 7 50 2" xfId="27900"/>
    <cellStyle name="Обычный 8 2 7 50 3" xfId="27901"/>
    <cellStyle name="Обычный 8 2 7 51" xfId="27902"/>
    <cellStyle name="Обычный 8 2 7 51 2" xfId="27903"/>
    <cellStyle name="Обычный 8 2 7 51 3" xfId="27904"/>
    <cellStyle name="Обычный 8 2 7 52" xfId="27905"/>
    <cellStyle name="Обычный 8 2 7 52 2" xfId="27906"/>
    <cellStyle name="Обычный 8 2 7 52 3" xfId="27907"/>
    <cellStyle name="Обычный 8 2 7 53" xfId="27908"/>
    <cellStyle name="Обычный 8 2 7 53 2" xfId="27909"/>
    <cellStyle name="Обычный 8 2 7 53 3" xfId="27910"/>
    <cellStyle name="Обычный 8 2 7 54" xfId="27911"/>
    <cellStyle name="Обычный 8 2 7 54 2" xfId="27912"/>
    <cellStyle name="Обычный 8 2 7 54 3" xfId="27913"/>
    <cellStyle name="Обычный 8 2 7 55" xfId="27914"/>
    <cellStyle name="Обычный 8 2 7 55 2" xfId="27915"/>
    <cellStyle name="Обычный 8 2 7 55 3" xfId="27916"/>
    <cellStyle name="Обычный 8 2 7 56" xfId="27917"/>
    <cellStyle name="Обычный 8 2 7 56 2" xfId="27918"/>
    <cellStyle name="Обычный 8 2 7 56 3" xfId="27919"/>
    <cellStyle name="Обычный 8 2 7 57" xfId="27920"/>
    <cellStyle name="Обычный 8 2 7 57 2" xfId="27921"/>
    <cellStyle name="Обычный 8 2 7 57 3" xfId="27922"/>
    <cellStyle name="Обычный 8 2 7 58" xfId="27923"/>
    <cellStyle name="Обычный 8 2 7 58 2" xfId="27924"/>
    <cellStyle name="Обычный 8 2 7 58 3" xfId="27925"/>
    <cellStyle name="Обычный 8 2 7 59" xfId="27926"/>
    <cellStyle name="Обычный 8 2 7 59 2" xfId="27927"/>
    <cellStyle name="Обычный 8 2 7 59 3" xfId="27928"/>
    <cellStyle name="Обычный 8 2 7 6" xfId="27929"/>
    <cellStyle name="Обычный 8 2 7 6 2" xfId="27930"/>
    <cellStyle name="Обычный 8 2 7 6 3" xfId="27931"/>
    <cellStyle name="Обычный 8 2 7 60" xfId="27932"/>
    <cellStyle name="Обычный 8 2 7 60 2" xfId="27933"/>
    <cellStyle name="Обычный 8 2 7 60 3" xfId="27934"/>
    <cellStyle name="Обычный 8 2 7 61" xfId="27935"/>
    <cellStyle name="Обычный 8 2 7 61 2" xfId="27936"/>
    <cellStyle name="Обычный 8 2 7 61 3" xfId="27937"/>
    <cellStyle name="Обычный 8 2 7 62" xfId="27938"/>
    <cellStyle name="Обычный 8 2 7 62 2" xfId="27939"/>
    <cellStyle name="Обычный 8 2 7 62 3" xfId="27940"/>
    <cellStyle name="Обычный 8 2 7 63" xfId="27941"/>
    <cellStyle name="Обычный 8 2 7 63 2" xfId="27942"/>
    <cellStyle name="Обычный 8 2 7 63 3" xfId="27943"/>
    <cellStyle name="Обычный 8 2 7 64" xfId="27944"/>
    <cellStyle name="Обычный 8 2 7 65" xfId="27945"/>
    <cellStyle name="Обычный 8 2 7 7" xfId="27946"/>
    <cellStyle name="Обычный 8 2 7 7 2" xfId="27947"/>
    <cellStyle name="Обычный 8 2 7 7 3" xfId="27948"/>
    <cellStyle name="Обычный 8 2 7 8" xfId="27949"/>
    <cellStyle name="Обычный 8 2 7 8 2" xfId="27950"/>
    <cellStyle name="Обычный 8 2 7 8 3" xfId="27951"/>
    <cellStyle name="Обычный 8 2 7 9" xfId="27952"/>
    <cellStyle name="Обычный 8 2 7 9 2" xfId="27953"/>
    <cellStyle name="Обычный 8 2 7 9 3" xfId="27954"/>
    <cellStyle name="Обычный 8 2 70" xfId="27955"/>
    <cellStyle name="Обычный 8 2 70 2" xfId="27956"/>
    <cellStyle name="Обычный 8 2 70 3" xfId="27957"/>
    <cellStyle name="Обычный 8 2 71" xfId="27958"/>
    <cellStyle name="Обычный 8 2 72" xfId="27959"/>
    <cellStyle name="Обычный 8 2 8" xfId="27960"/>
    <cellStyle name="Обычный 8 2 8 10" xfId="27961"/>
    <cellStyle name="Обычный 8 2 8 10 2" xfId="27962"/>
    <cellStyle name="Обычный 8 2 8 10 3" xfId="27963"/>
    <cellStyle name="Обычный 8 2 8 11" xfId="27964"/>
    <cellStyle name="Обычный 8 2 8 11 2" xfId="27965"/>
    <cellStyle name="Обычный 8 2 8 11 3" xfId="27966"/>
    <cellStyle name="Обычный 8 2 8 12" xfId="27967"/>
    <cellStyle name="Обычный 8 2 8 12 2" xfId="27968"/>
    <cellStyle name="Обычный 8 2 8 12 3" xfId="27969"/>
    <cellStyle name="Обычный 8 2 8 13" xfId="27970"/>
    <cellStyle name="Обычный 8 2 8 13 2" xfId="27971"/>
    <cellStyle name="Обычный 8 2 8 13 3" xfId="27972"/>
    <cellStyle name="Обычный 8 2 8 14" xfId="27973"/>
    <cellStyle name="Обычный 8 2 8 14 2" xfId="27974"/>
    <cellStyle name="Обычный 8 2 8 14 3" xfId="27975"/>
    <cellStyle name="Обычный 8 2 8 15" xfId="27976"/>
    <cellStyle name="Обычный 8 2 8 15 2" xfId="27977"/>
    <cellStyle name="Обычный 8 2 8 15 3" xfId="27978"/>
    <cellStyle name="Обычный 8 2 8 16" xfId="27979"/>
    <cellStyle name="Обычный 8 2 8 16 2" xfId="27980"/>
    <cellStyle name="Обычный 8 2 8 16 3" xfId="27981"/>
    <cellStyle name="Обычный 8 2 8 17" xfId="27982"/>
    <cellStyle name="Обычный 8 2 8 17 2" xfId="27983"/>
    <cellStyle name="Обычный 8 2 8 17 3" xfId="27984"/>
    <cellStyle name="Обычный 8 2 8 18" xfId="27985"/>
    <cellStyle name="Обычный 8 2 8 18 2" xfId="27986"/>
    <cellStyle name="Обычный 8 2 8 18 3" xfId="27987"/>
    <cellStyle name="Обычный 8 2 8 19" xfId="27988"/>
    <cellStyle name="Обычный 8 2 8 19 2" xfId="27989"/>
    <cellStyle name="Обычный 8 2 8 19 3" xfId="27990"/>
    <cellStyle name="Обычный 8 2 8 2" xfId="27991"/>
    <cellStyle name="Обычный 8 2 8 2 2" xfId="27992"/>
    <cellStyle name="Обычный 8 2 8 2 3" xfId="27993"/>
    <cellStyle name="Обычный 8 2 8 20" xfId="27994"/>
    <cellStyle name="Обычный 8 2 8 20 2" xfId="27995"/>
    <cellStyle name="Обычный 8 2 8 20 3" xfId="27996"/>
    <cellStyle name="Обычный 8 2 8 21" xfId="27997"/>
    <cellStyle name="Обычный 8 2 8 21 2" xfId="27998"/>
    <cellStyle name="Обычный 8 2 8 21 3" xfId="27999"/>
    <cellStyle name="Обычный 8 2 8 22" xfId="28000"/>
    <cellStyle name="Обычный 8 2 8 22 2" xfId="28001"/>
    <cellStyle name="Обычный 8 2 8 22 3" xfId="28002"/>
    <cellStyle name="Обычный 8 2 8 23" xfId="28003"/>
    <cellStyle name="Обычный 8 2 8 23 2" xfId="28004"/>
    <cellStyle name="Обычный 8 2 8 23 3" xfId="28005"/>
    <cellStyle name="Обычный 8 2 8 24" xfId="28006"/>
    <cellStyle name="Обычный 8 2 8 24 2" xfId="28007"/>
    <cellStyle name="Обычный 8 2 8 24 3" xfId="28008"/>
    <cellStyle name="Обычный 8 2 8 25" xfId="28009"/>
    <cellStyle name="Обычный 8 2 8 25 2" xfId="28010"/>
    <cellStyle name="Обычный 8 2 8 25 3" xfId="28011"/>
    <cellStyle name="Обычный 8 2 8 26" xfId="28012"/>
    <cellStyle name="Обычный 8 2 8 26 2" xfId="28013"/>
    <cellStyle name="Обычный 8 2 8 26 3" xfId="28014"/>
    <cellStyle name="Обычный 8 2 8 27" xfId="28015"/>
    <cellStyle name="Обычный 8 2 8 27 2" xfId="28016"/>
    <cellStyle name="Обычный 8 2 8 27 3" xfId="28017"/>
    <cellStyle name="Обычный 8 2 8 28" xfId="28018"/>
    <cellStyle name="Обычный 8 2 8 28 2" xfId="28019"/>
    <cellStyle name="Обычный 8 2 8 28 3" xfId="28020"/>
    <cellStyle name="Обычный 8 2 8 29" xfId="28021"/>
    <cellStyle name="Обычный 8 2 8 29 2" xfId="28022"/>
    <cellStyle name="Обычный 8 2 8 29 3" xfId="28023"/>
    <cellStyle name="Обычный 8 2 8 3" xfId="28024"/>
    <cellStyle name="Обычный 8 2 8 3 2" xfId="28025"/>
    <cellStyle name="Обычный 8 2 8 3 3" xfId="28026"/>
    <cellStyle name="Обычный 8 2 8 30" xfId="28027"/>
    <cellStyle name="Обычный 8 2 8 30 2" xfId="28028"/>
    <cellStyle name="Обычный 8 2 8 30 3" xfId="28029"/>
    <cellStyle name="Обычный 8 2 8 31" xfId="28030"/>
    <cellStyle name="Обычный 8 2 8 31 2" xfId="28031"/>
    <cellStyle name="Обычный 8 2 8 31 3" xfId="28032"/>
    <cellStyle name="Обычный 8 2 8 32" xfId="28033"/>
    <cellStyle name="Обычный 8 2 8 32 2" xfId="28034"/>
    <cellStyle name="Обычный 8 2 8 32 3" xfId="28035"/>
    <cellStyle name="Обычный 8 2 8 33" xfId="28036"/>
    <cellStyle name="Обычный 8 2 8 33 2" xfId="28037"/>
    <cellStyle name="Обычный 8 2 8 33 3" xfId="28038"/>
    <cellStyle name="Обычный 8 2 8 34" xfId="28039"/>
    <cellStyle name="Обычный 8 2 8 34 2" xfId="28040"/>
    <cellStyle name="Обычный 8 2 8 34 3" xfId="28041"/>
    <cellStyle name="Обычный 8 2 8 35" xfId="28042"/>
    <cellStyle name="Обычный 8 2 8 35 2" xfId="28043"/>
    <cellStyle name="Обычный 8 2 8 35 3" xfId="28044"/>
    <cellStyle name="Обычный 8 2 8 36" xfId="28045"/>
    <cellStyle name="Обычный 8 2 8 36 2" xfId="28046"/>
    <cellStyle name="Обычный 8 2 8 36 3" xfId="28047"/>
    <cellStyle name="Обычный 8 2 8 37" xfId="28048"/>
    <cellStyle name="Обычный 8 2 8 37 2" xfId="28049"/>
    <cellStyle name="Обычный 8 2 8 37 3" xfId="28050"/>
    <cellStyle name="Обычный 8 2 8 38" xfId="28051"/>
    <cellStyle name="Обычный 8 2 8 38 2" xfId="28052"/>
    <cellStyle name="Обычный 8 2 8 38 3" xfId="28053"/>
    <cellStyle name="Обычный 8 2 8 39" xfId="28054"/>
    <cellStyle name="Обычный 8 2 8 39 2" xfId="28055"/>
    <cellStyle name="Обычный 8 2 8 39 3" xfId="28056"/>
    <cellStyle name="Обычный 8 2 8 4" xfId="28057"/>
    <cellStyle name="Обычный 8 2 8 4 2" xfId="28058"/>
    <cellStyle name="Обычный 8 2 8 4 3" xfId="28059"/>
    <cellStyle name="Обычный 8 2 8 40" xfId="28060"/>
    <cellStyle name="Обычный 8 2 8 40 2" xfId="28061"/>
    <cellStyle name="Обычный 8 2 8 40 3" xfId="28062"/>
    <cellStyle name="Обычный 8 2 8 41" xfId="28063"/>
    <cellStyle name="Обычный 8 2 8 41 2" xfId="28064"/>
    <cellStyle name="Обычный 8 2 8 41 3" xfId="28065"/>
    <cellStyle name="Обычный 8 2 8 42" xfId="28066"/>
    <cellStyle name="Обычный 8 2 8 42 2" xfId="28067"/>
    <cellStyle name="Обычный 8 2 8 42 3" xfId="28068"/>
    <cellStyle name="Обычный 8 2 8 43" xfId="28069"/>
    <cellStyle name="Обычный 8 2 8 43 2" xfId="28070"/>
    <cellStyle name="Обычный 8 2 8 43 3" xfId="28071"/>
    <cellStyle name="Обычный 8 2 8 44" xfId="28072"/>
    <cellStyle name="Обычный 8 2 8 44 2" xfId="28073"/>
    <cellStyle name="Обычный 8 2 8 44 3" xfId="28074"/>
    <cellStyle name="Обычный 8 2 8 45" xfId="28075"/>
    <cellStyle name="Обычный 8 2 8 45 2" xfId="28076"/>
    <cellStyle name="Обычный 8 2 8 45 3" xfId="28077"/>
    <cellStyle name="Обычный 8 2 8 46" xfId="28078"/>
    <cellStyle name="Обычный 8 2 8 46 2" xfId="28079"/>
    <cellStyle name="Обычный 8 2 8 46 3" xfId="28080"/>
    <cellStyle name="Обычный 8 2 8 47" xfId="28081"/>
    <cellStyle name="Обычный 8 2 8 47 2" xfId="28082"/>
    <cellStyle name="Обычный 8 2 8 47 3" xfId="28083"/>
    <cellStyle name="Обычный 8 2 8 48" xfId="28084"/>
    <cellStyle name="Обычный 8 2 8 48 2" xfId="28085"/>
    <cellStyle name="Обычный 8 2 8 48 3" xfId="28086"/>
    <cellStyle name="Обычный 8 2 8 49" xfId="28087"/>
    <cellStyle name="Обычный 8 2 8 49 2" xfId="28088"/>
    <cellStyle name="Обычный 8 2 8 49 3" xfId="28089"/>
    <cellStyle name="Обычный 8 2 8 5" xfId="28090"/>
    <cellStyle name="Обычный 8 2 8 5 2" xfId="28091"/>
    <cellStyle name="Обычный 8 2 8 5 3" xfId="28092"/>
    <cellStyle name="Обычный 8 2 8 50" xfId="28093"/>
    <cellStyle name="Обычный 8 2 8 50 2" xfId="28094"/>
    <cellStyle name="Обычный 8 2 8 50 3" xfId="28095"/>
    <cellStyle name="Обычный 8 2 8 51" xfId="28096"/>
    <cellStyle name="Обычный 8 2 8 51 2" xfId="28097"/>
    <cellStyle name="Обычный 8 2 8 51 3" xfId="28098"/>
    <cellStyle name="Обычный 8 2 8 52" xfId="28099"/>
    <cellStyle name="Обычный 8 2 8 52 2" xfId="28100"/>
    <cellStyle name="Обычный 8 2 8 52 3" xfId="28101"/>
    <cellStyle name="Обычный 8 2 8 53" xfId="28102"/>
    <cellStyle name="Обычный 8 2 8 53 2" xfId="28103"/>
    <cellStyle name="Обычный 8 2 8 53 3" xfId="28104"/>
    <cellStyle name="Обычный 8 2 8 54" xfId="28105"/>
    <cellStyle name="Обычный 8 2 8 54 2" xfId="28106"/>
    <cellStyle name="Обычный 8 2 8 54 3" xfId="28107"/>
    <cellStyle name="Обычный 8 2 8 55" xfId="28108"/>
    <cellStyle name="Обычный 8 2 8 55 2" xfId="28109"/>
    <cellStyle name="Обычный 8 2 8 55 3" xfId="28110"/>
    <cellStyle name="Обычный 8 2 8 56" xfId="28111"/>
    <cellStyle name="Обычный 8 2 8 56 2" xfId="28112"/>
    <cellStyle name="Обычный 8 2 8 56 3" xfId="28113"/>
    <cellStyle name="Обычный 8 2 8 57" xfId="28114"/>
    <cellStyle name="Обычный 8 2 8 57 2" xfId="28115"/>
    <cellStyle name="Обычный 8 2 8 57 3" xfId="28116"/>
    <cellStyle name="Обычный 8 2 8 58" xfId="28117"/>
    <cellStyle name="Обычный 8 2 8 58 2" xfId="28118"/>
    <cellStyle name="Обычный 8 2 8 58 3" xfId="28119"/>
    <cellStyle name="Обычный 8 2 8 59" xfId="28120"/>
    <cellStyle name="Обычный 8 2 8 59 2" xfId="28121"/>
    <cellStyle name="Обычный 8 2 8 59 3" xfId="28122"/>
    <cellStyle name="Обычный 8 2 8 6" xfId="28123"/>
    <cellStyle name="Обычный 8 2 8 6 2" xfId="28124"/>
    <cellStyle name="Обычный 8 2 8 6 3" xfId="28125"/>
    <cellStyle name="Обычный 8 2 8 60" xfId="28126"/>
    <cellStyle name="Обычный 8 2 8 60 2" xfId="28127"/>
    <cellStyle name="Обычный 8 2 8 60 3" xfId="28128"/>
    <cellStyle name="Обычный 8 2 8 61" xfId="28129"/>
    <cellStyle name="Обычный 8 2 8 61 2" xfId="28130"/>
    <cellStyle name="Обычный 8 2 8 61 3" xfId="28131"/>
    <cellStyle name="Обычный 8 2 8 62" xfId="28132"/>
    <cellStyle name="Обычный 8 2 8 62 2" xfId="28133"/>
    <cellStyle name="Обычный 8 2 8 62 3" xfId="28134"/>
    <cellStyle name="Обычный 8 2 8 63" xfId="28135"/>
    <cellStyle name="Обычный 8 2 8 63 2" xfId="28136"/>
    <cellStyle name="Обычный 8 2 8 63 3" xfId="28137"/>
    <cellStyle name="Обычный 8 2 8 64" xfId="28138"/>
    <cellStyle name="Обычный 8 2 8 65" xfId="28139"/>
    <cellStyle name="Обычный 8 2 8 7" xfId="28140"/>
    <cellStyle name="Обычный 8 2 8 7 2" xfId="28141"/>
    <cellStyle name="Обычный 8 2 8 7 3" xfId="28142"/>
    <cellStyle name="Обычный 8 2 8 8" xfId="28143"/>
    <cellStyle name="Обычный 8 2 8 8 2" xfId="28144"/>
    <cellStyle name="Обычный 8 2 8 8 3" xfId="28145"/>
    <cellStyle name="Обычный 8 2 8 9" xfId="28146"/>
    <cellStyle name="Обычный 8 2 8 9 2" xfId="28147"/>
    <cellStyle name="Обычный 8 2 8 9 3" xfId="28148"/>
    <cellStyle name="Обычный 8 2 9" xfId="28149"/>
    <cellStyle name="Обычный 8 2 9 2" xfId="28150"/>
    <cellStyle name="Обычный 8 2 9 3" xfId="28151"/>
    <cellStyle name="Обычный 8 20" xfId="28152"/>
    <cellStyle name="Обычный 8 20 2" xfId="28153"/>
    <cellStyle name="Обычный 8 20 3" xfId="28154"/>
    <cellStyle name="Обычный 8 21" xfId="28155"/>
    <cellStyle name="Обычный 8 21 2" xfId="28156"/>
    <cellStyle name="Обычный 8 21 3" xfId="28157"/>
    <cellStyle name="Обычный 8 22" xfId="28158"/>
    <cellStyle name="Обычный 8 22 2" xfId="28159"/>
    <cellStyle name="Обычный 8 22 3" xfId="28160"/>
    <cellStyle name="Обычный 8 23" xfId="28161"/>
    <cellStyle name="Обычный 8 23 2" xfId="28162"/>
    <cellStyle name="Обычный 8 23 3" xfId="28163"/>
    <cellStyle name="Обычный 8 24" xfId="28164"/>
    <cellStyle name="Обычный 8 24 2" xfId="28165"/>
    <cellStyle name="Обычный 8 24 3" xfId="28166"/>
    <cellStyle name="Обычный 8 25" xfId="28167"/>
    <cellStyle name="Обычный 8 25 2" xfId="28168"/>
    <cellStyle name="Обычный 8 25 3" xfId="28169"/>
    <cellStyle name="Обычный 8 26" xfId="28170"/>
    <cellStyle name="Обычный 8 26 2" xfId="28171"/>
    <cellStyle name="Обычный 8 26 3" xfId="28172"/>
    <cellStyle name="Обычный 8 27" xfId="28173"/>
    <cellStyle name="Обычный 8 27 2" xfId="28174"/>
    <cellStyle name="Обычный 8 27 3" xfId="28175"/>
    <cellStyle name="Обычный 8 28" xfId="28176"/>
    <cellStyle name="Обычный 8 28 2" xfId="28177"/>
    <cellStyle name="Обычный 8 28 3" xfId="28178"/>
    <cellStyle name="Обычный 8 29" xfId="28179"/>
    <cellStyle name="Обычный 8 29 2" xfId="28180"/>
    <cellStyle name="Обычный 8 29 3" xfId="28181"/>
    <cellStyle name="Обычный 8 3" xfId="28182"/>
    <cellStyle name="Обычный 8 3 10" xfId="28183"/>
    <cellStyle name="Обычный 8 3 10 2" xfId="28184"/>
    <cellStyle name="Обычный 8 3 10 3" xfId="28185"/>
    <cellStyle name="Обычный 8 3 11" xfId="28186"/>
    <cellStyle name="Обычный 8 3 11 2" xfId="28187"/>
    <cellStyle name="Обычный 8 3 11 3" xfId="28188"/>
    <cellStyle name="Обычный 8 3 12" xfId="28189"/>
    <cellStyle name="Обычный 8 3 12 2" xfId="28190"/>
    <cellStyle name="Обычный 8 3 12 3" xfId="28191"/>
    <cellStyle name="Обычный 8 3 13" xfId="28192"/>
    <cellStyle name="Обычный 8 3 13 2" xfId="28193"/>
    <cellStyle name="Обычный 8 3 13 3" xfId="28194"/>
    <cellStyle name="Обычный 8 3 14" xfId="28195"/>
    <cellStyle name="Обычный 8 3 14 2" xfId="28196"/>
    <cellStyle name="Обычный 8 3 14 3" xfId="28197"/>
    <cellStyle name="Обычный 8 3 15" xfId="28198"/>
    <cellStyle name="Обычный 8 3 15 2" xfId="28199"/>
    <cellStyle name="Обычный 8 3 15 3" xfId="28200"/>
    <cellStyle name="Обычный 8 3 16" xfId="28201"/>
    <cellStyle name="Обычный 8 3 16 2" xfId="28202"/>
    <cellStyle name="Обычный 8 3 16 3" xfId="28203"/>
    <cellStyle name="Обычный 8 3 17" xfId="28204"/>
    <cellStyle name="Обычный 8 3 17 2" xfId="28205"/>
    <cellStyle name="Обычный 8 3 17 3" xfId="28206"/>
    <cellStyle name="Обычный 8 3 18" xfId="28207"/>
    <cellStyle name="Обычный 8 3 18 2" xfId="28208"/>
    <cellStyle name="Обычный 8 3 18 3" xfId="28209"/>
    <cellStyle name="Обычный 8 3 19" xfId="28210"/>
    <cellStyle name="Обычный 8 3 19 2" xfId="28211"/>
    <cellStyle name="Обычный 8 3 19 3" xfId="28212"/>
    <cellStyle name="Обычный 8 3 2" xfId="28213"/>
    <cellStyle name="Обычный 8 3 2 10" xfId="28214"/>
    <cellStyle name="Обычный 8 3 2 10 2" xfId="28215"/>
    <cellStyle name="Обычный 8 3 2 10 3" xfId="28216"/>
    <cellStyle name="Обычный 8 3 2 11" xfId="28217"/>
    <cellStyle name="Обычный 8 3 2 11 2" xfId="28218"/>
    <cellStyle name="Обычный 8 3 2 11 3" xfId="28219"/>
    <cellStyle name="Обычный 8 3 2 12" xfId="28220"/>
    <cellStyle name="Обычный 8 3 2 12 2" xfId="28221"/>
    <cellStyle name="Обычный 8 3 2 12 3" xfId="28222"/>
    <cellStyle name="Обычный 8 3 2 13" xfId="28223"/>
    <cellStyle name="Обычный 8 3 2 13 2" xfId="28224"/>
    <cellStyle name="Обычный 8 3 2 13 3" xfId="28225"/>
    <cellStyle name="Обычный 8 3 2 14" xfId="28226"/>
    <cellStyle name="Обычный 8 3 2 14 2" xfId="28227"/>
    <cellStyle name="Обычный 8 3 2 14 3" xfId="28228"/>
    <cellStyle name="Обычный 8 3 2 15" xfId="28229"/>
    <cellStyle name="Обычный 8 3 2 15 2" xfId="28230"/>
    <cellStyle name="Обычный 8 3 2 15 3" xfId="28231"/>
    <cellStyle name="Обычный 8 3 2 16" xfId="28232"/>
    <cellStyle name="Обычный 8 3 2 16 2" xfId="28233"/>
    <cellStyle name="Обычный 8 3 2 16 3" xfId="28234"/>
    <cellStyle name="Обычный 8 3 2 17" xfId="28235"/>
    <cellStyle name="Обычный 8 3 2 17 2" xfId="28236"/>
    <cellStyle name="Обычный 8 3 2 17 3" xfId="28237"/>
    <cellStyle name="Обычный 8 3 2 18" xfId="28238"/>
    <cellStyle name="Обычный 8 3 2 18 2" xfId="28239"/>
    <cellStyle name="Обычный 8 3 2 18 3" xfId="28240"/>
    <cellStyle name="Обычный 8 3 2 19" xfId="28241"/>
    <cellStyle name="Обычный 8 3 2 19 2" xfId="28242"/>
    <cellStyle name="Обычный 8 3 2 19 3" xfId="28243"/>
    <cellStyle name="Обычный 8 3 2 2" xfId="28244"/>
    <cellStyle name="Обычный 8 3 2 2 2" xfId="28245"/>
    <cellStyle name="Обычный 8 3 2 2 3" xfId="28246"/>
    <cellStyle name="Обычный 8 3 2 20" xfId="28247"/>
    <cellStyle name="Обычный 8 3 2 20 2" xfId="28248"/>
    <cellStyle name="Обычный 8 3 2 20 3" xfId="28249"/>
    <cellStyle name="Обычный 8 3 2 21" xfId="28250"/>
    <cellStyle name="Обычный 8 3 2 21 2" xfId="28251"/>
    <cellStyle name="Обычный 8 3 2 21 3" xfId="28252"/>
    <cellStyle name="Обычный 8 3 2 22" xfId="28253"/>
    <cellStyle name="Обычный 8 3 2 22 2" xfId="28254"/>
    <cellStyle name="Обычный 8 3 2 22 3" xfId="28255"/>
    <cellStyle name="Обычный 8 3 2 23" xfId="28256"/>
    <cellStyle name="Обычный 8 3 2 23 2" xfId="28257"/>
    <cellStyle name="Обычный 8 3 2 23 3" xfId="28258"/>
    <cellStyle name="Обычный 8 3 2 24" xfId="28259"/>
    <cellStyle name="Обычный 8 3 2 24 2" xfId="28260"/>
    <cellStyle name="Обычный 8 3 2 24 3" xfId="28261"/>
    <cellStyle name="Обычный 8 3 2 25" xfId="28262"/>
    <cellStyle name="Обычный 8 3 2 25 2" xfId="28263"/>
    <cellStyle name="Обычный 8 3 2 25 3" xfId="28264"/>
    <cellStyle name="Обычный 8 3 2 26" xfId="28265"/>
    <cellStyle name="Обычный 8 3 2 26 2" xfId="28266"/>
    <cellStyle name="Обычный 8 3 2 26 3" xfId="28267"/>
    <cellStyle name="Обычный 8 3 2 27" xfId="28268"/>
    <cellStyle name="Обычный 8 3 2 27 2" xfId="28269"/>
    <cellStyle name="Обычный 8 3 2 27 3" xfId="28270"/>
    <cellStyle name="Обычный 8 3 2 28" xfId="28271"/>
    <cellStyle name="Обычный 8 3 2 28 2" xfId="28272"/>
    <cellStyle name="Обычный 8 3 2 28 3" xfId="28273"/>
    <cellStyle name="Обычный 8 3 2 29" xfId="28274"/>
    <cellStyle name="Обычный 8 3 2 29 2" xfId="28275"/>
    <cellStyle name="Обычный 8 3 2 29 3" xfId="28276"/>
    <cellStyle name="Обычный 8 3 2 3" xfId="28277"/>
    <cellStyle name="Обычный 8 3 2 3 2" xfId="28278"/>
    <cellStyle name="Обычный 8 3 2 3 3" xfId="28279"/>
    <cellStyle name="Обычный 8 3 2 30" xfId="28280"/>
    <cellStyle name="Обычный 8 3 2 30 2" xfId="28281"/>
    <cellStyle name="Обычный 8 3 2 30 3" xfId="28282"/>
    <cellStyle name="Обычный 8 3 2 31" xfId="28283"/>
    <cellStyle name="Обычный 8 3 2 31 2" xfId="28284"/>
    <cellStyle name="Обычный 8 3 2 31 3" xfId="28285"/>
    <cellStyle name="Обычный 8 3 2 32" xfId="28286"/>
    <cellStyle name="Обычный 8 3 2 32 2" xfId="28287"/>
    <cellStyle name="Обычный 8 3 2 32 3" xfId="28288"/>
    <cellStyle name="Обычный 8 3 2 33" xfId="28289"/>
    <cellStyle name="Обычный 8 3 2 33 2" xfId="28290"/>
    <cellStyle name="Обычный 8 3 2 33 3" xfId="28291"/>
    <cellStyle name="Обычный 8 3 2 34" xfId="28292"/>
    <cellStyle name="Обычный 8 3 2 34 2" xfId="28293"/>
    <cellStyle name="Обычный 8 3 2 34 3" xfId="28294"/>
    <cellStyle name="Обычный 8 3 2 35" xfId="28295"/>
    <cellStyle name="Обычный 8 3 2 35 2" xfId="28296"/>
    <cellStyle name="Обычный 8 3 2 35 3" xfId="28297"/>
    <cellStyle name="Обычный 8 3 2 36" xfId="28298"/>
    <cellStyle name="Обычный 8 3 2 36 2" xfId="28299"/>
    <cellStyle name="Обычный 8 3 2 36 3" xfId="28300"/>
    <cellStyle name="Обычный 8 3 2 37" xfId="28301"/>
    <cellStyle name="Обычный 8 3 2 37 2" xfId="28302"/>
    <cellStyle name="Обычный 8 3 2 37 3" xfId="28303"/>
    <cellStyle name="Обычный 8 3 2 38" xfId="28304"/>
    <cellStyle name="Обычный 8 3 2 38 2" xfId="28305"/>
    <cellStyle name="Обычный 8 3 2 38 3" xfId="28306"/>
    <cellStyle name="Обычный 8 3 2 39" xfId="28307"/>
    <cellStyle name="Обычный 8 3 2 39 2" xfId="28308"/>
    <cellStyle name="Обычный 8 3 2 39 3" xfId="28309"/>
    <cellStyle name="Обычный 8 3 2 4" xfId="28310"/>
    <cellStyle name="Обычный 8 3 2 4 2" xfId="28311"/>
    <cellStyle name="Обычный 8 3 2 4 3" xfId="28312"/>
    <cellStyle name="Обычный 8 3 2 40" xfId="28313"/>
    <cellStyle name="Обычный 8 3 2 40 2" xfId="28314"/>
    <cellStyle name="Обычный 8 3 2 40 3" xfId="28315"/>
    <cellStyle name="Обычный 8 3 2 41" xfId="28316"/>
    <cellStyle name="Обычный 8 3 2 41 2" xfId="28317"/>
    <cellStyle name="Обычный 8 3 2 41 3" xfId="28318"/>
    <cellStyle name="Обычный 8 3 2 42" xfId="28319"/>
    <cellStyle name="Обычный 8 3 2 42 2" xfId="28320"/>
    <cellStyle name="Обычный 8 3 2 42 3" xfId="28321"/>
    <cellStyle name="Обычный 8 3 2 43" xfId="28322"/>
    <cellStyle name="Обычный 8 3 2 43 2" xfId="28323"/>
    <cellStyle name="Обычный 8 3 2 43 3" xfId="28324"/>
    <cellStyle name="Обычный 8 3 2 44" xfId="28325"/>
    <cellStyle name="Обычный 8 3 2 44 2" xfId="28326"/>
    <cellStyle name="Обычный 8 3 2 44 3" xfId="28327"/>
    <cellStyle name="Обычный 8 3 2 45" xfId="28328"/>
    <cellStyle name="Обычный 8 3 2 45 2" xfId="28329"/>
    <cellStyle name="Обычный 8 3 2 45 3" xfId="28330"/>
    <cellStyle name="Обычный 8 3 2 46" xfId="28331"/>
    <cellStyle name="Обычный 8 3 2 46 2" xfId="28332"/>
    <cellStyle name="Обычный 8 3 2 46 3" xfId="28333"/>
    <cellStyle name="Обычный 8 3 2 47" xfId="28334"/>
    <cellStyle name="Обычный 8 3 2 47 2" xfId="28335"/>
    <cellStyle name="Обычный 8 3 2 47 3" xfId="28336"/>
    <cellStyle name="Обычный 8 3 2 48" xfId="28337"/>
    <cellStyle name="Обычный 8 3 2 48 2" xfId="28338"/>
    <cellStyle name="Обычный 8 3 2 48 3" xfId="28339"/>
    <cellStyle name="Обычный 8 3 2 49" xfId="28340"/>
    <cellStyle name="Обычный 8 3 2 49 2" xfId="28341"/>
    <cellStyle name="Обычный 8 3 2 49 3" xfId="28342"/>
    <cellStyle name="Обычный 8 3 2 5" xfId="28343"/>
    <cellStyle name="Обычный 8 3 2 5 2" xfId="28344"/>
    <cellStyle name="Обычный 8 3 2 5 3" xfId="28345"/>
    <cellStyle name="Обычный 8 3 2 50" xfId="28346"/>
    <cellStyle name="Обычный 8 3 2 50 2" xfId="28347"/>
    <cellStyle name="Обычный 8 3 2 50 3" xfId="28348"/>
    <cellStyle name="Обычный 8 3 2 51" xfId="28349"/>
    <cellStyle name="Обычный 8 3 2 51 2" xfId="28350"/>
    <cellStyle name="Обычный 8 3 2 51 3" xfId="28351"/>
    <cellStyle name="Обычный 8 3 2 52" xfId="28352"/>
    <cellStyle name="Обычный 8 3 2 52 2" xfId="28353"/>
    <cellStyle name="Обычный 8 3 2 52 3" xfId="28354"/>
    <cellStyle name="Обычный 8 3 2 53" xfId="28355"/>
    <cellStyle name="Обычный 8 3 2 53 2" xfId="28356"/>
    <cellStyle name="Обычный 8 3 2 53 3" xfId="28357"/>
    <cellStyle name="Обычный 8 3 2 54" xfId="28358"/>
    <cellStyle name="Обычный 8 3 2 54 2" xfId="28359"/>
    <cellStyle name="Обычный 8 3 2 54 3" xfId="28360"/>
    <cellStyle name="Обычный 8 3 2 55" xfId="28361"/>
    <cellStyle name="Обычный 8 3 2 55 2" xfId="28362"/>
    <cellStyle name="Обычный 8 3 2 55 3" xfId="28363"/>
    <cellStyle name="Обычный 8 3 2 56" xfId="28364"/>
    <cellStyle name="Обычный 8 3 2 56 2" xfId="28365"/>
    <cellStyle name="Обычный 8 3 2 56 3" xfId="28366"/>
    <cellStyle name="Обычный 8 3 2 57" xfId="28367"/>
    <cellStyle name="Обычный 8 3 2 57 2" xfId="28368"/>
    <cellStyle name="Обычный 8 3 2 57 3" xfId="28369"/>
    <cellStyle name="Обычный 8 3 2 58" xfId="28370"/>
    <cellStyle name="Обычный 8 3 2 58 2" xfId="28371"/>
    <cellStyle name="Обычный 8 3 2 58 3" xfId="28372"/>
    <cellStyle name="Обычный 8 3 2 59" xfId="28373"/>
    <cellStyle name="Обычный 8 3 2 59 2" xfId="28374"/>
    <cellStyle name="Обычный 8 3 2 59 3" xfId="28375"/>
    <cellStyle name="Обычный 8 3 2 6" xfId="28376"/>
    <cellStyle name="Обычный 8 3 2 6 2" xfId="28377"/>
    <cellStyle name="Обычный 8 3 2 6 3" xfId="28378"/>
    <cellStyle name="Обычный 8 3 2 60" xfId="28379"/>
    <cellStyle name="Обычный 8 3 2 60 2" xfId="28380"/>
    <cellStyle name="Обычный 8 3 2 60 3" xfId="28381"/>
    <cellStyle name="Обычный 8 3 2 61" xfId="28382"/>
    <cellStyle name="Обычный 8 3 2 61 2" xfId="28383"/>
    <cellStyle name="Обычный 8 3 2 61 3" xfId="28384"/>
    <cellStyle name="Обычный 8 3 2 62" xfId="28385"/>
    <cellStyle name="Обычный 8 3 2 62 2" xfId="28386"/>
    <cellStyle name="Обычный 8 3 2 62 3" xfId="28387"/>
    <cellStyle name="Обычный 8 3 2 63" xfId="28388"/>
    <cellStyle name="Обычный 8 3 2 63 2" xfId="28389"/>
    <cellStyle name="Обычный 8 3 2 63 3" xfId="28390"/>
    <cellStyle name="Обычный 8 3 2 64" xfId="28391"/>
    <cellStyle name="Обычный 8 3 2 65" xfId="28392"/>
    <cellStyle name="Обычный 8 3 2 7" xfId="28393"/>
    <cellStyle name="Обычный 8 3 2 7 2" xfId="28394"/>
    <cellStyle name="Обычный 8 3 2 7 3" xfId="28395"/>
    <cellStyle name="Обычный 8 3 2 8" xfId="28396"/>
    <cellStyle name="Обычный 8 3 2 8 2" xfId="28397"/>
    <cellStyle name="Обычный 8 3 2 8 3" xfId="28398"/>
    <cellStyle name="Обычный 8 3 2 9" xfId="28399"/>
    <cellStyle name="Обычный 8 3 2 9 2" xfId="28400"/>
    <cellStyle name="Обычный 8 3 2 9 3" xfId="28401"/>
    <cellStyle name="Обычный 8 3 20" xfId="28402"/>
    <cellStyle name="Обычный 8 3 20 2" xfId="28403"/>
    <cellStyle name="Обычный 8 3 20 3" xfId="28404"/>
    <cellStyle name="Обычный 8 3 21" xfId="28405"/>
    <cellStyle name="Обычный 8 3 21 2" xfId="28406"/>
    <cellStyle name="Обычный 8 3 21 3" xfId="28407"/>
    <cellStyle name="Обычный 8 3 22" xfId="28408"/>
    <cellStyle name="Обычный 8 3 22 2" xfId="28409"/>
    <cellStyle name="Обычный 8 3 22 3" xfId="28410"/>
    <cellStyle name="Обычный 8 3 23" xfId="28411"/>
    <cellStyle name="Обычный 8 3 23 2" xfId="28412"/>
    <cellStyle name="Обычный 8 3 23 3" xfId="28413"/>
    <cellStyle name="Обычный 8 3 24" xfId="28414"/>
    <cellStyle name="Обычный 8 3 24 2" xfId="28415"/>
    <cellStyle name="Обычный 8 3 24 3" xfId="28416"/>
    <cellStyle name="Обычный 8 3 25" xfId="28417"/>
    <cellStyle name="Обычный 8 3 25 2" xfId="28418"/>
    <cellStyle name="Обычный 8 3 25 3" xfId="28419"/>
    <cellStyle name="Обычный 8 3 26" xfId="28420"/>
    <cellStyle name="Обычный 8 3 26 2" xfId="28421"/>
    <cellStyle name="Обычный 8 3 26 3" xfId="28422"/>
    <cellStyle name="Обычный 8 3 27" xfId="28423"/>
    <cellStyle name="Обычный 8 3 27 2" xfId="28424"/>
    <cellStyle name="Обычный 8 3 27 3" xfId="28425"/>
    <cellStyle name="Обычный 8 3 28" xfId="28426"/>
    <cellStyle name="Обычный 8 3 28 2" xfId="28427"/>
    <cellStyle name="Обычный 8 3 28 3" xfId="28428"/>
    <cellStyle name="Обычный 8 3 29" xfId="28429"/>
    <cellStyle name="Обычный 8 3 29 2" xfId="28430"/>
    <cellStyle name="Обычный 8 3 29 3" xfId="28431"/>
    <cellStyle name="Обычный 8 3 3" xfId="28432"/>
    <cellStyle name="Обычный 8 3 3 10" xfId="28433"/>
    <cellStyle name="Обычный 8 3 3 10 2" xfId="28434"/>
    <cellStyle name="Обычный 8 3 3 10 3" xfId="28435"/>
    <cellStyle name="Обычный 8 3 3 11" xfId="28436"/>
    <cellStyle name="Обычный 8 3 3 11 2" xfId="28437"/>
    <cellStyle name="Обычный 8 3 3 11 3" xfId="28438"/>
    <cellStyle name="Обычный 8 3 3 12" xfId="28439"/>
    <cellStyle name="Обычный 8 3 3 12 2" xfId="28440"/>
    <cellStyle name="Обычный 8 3 3 12 3" xfId="28441"/>
    <cellStyle name="Обычный 8 3 3 13" xfId="28442"/>
    <cellStyle name="Обычный 8 3 3 13 2" xfId="28443"/>
    <cellStyle name="Обычный 8 3 3 13 3" xfId="28444"/>
    <cellStyle name="Обычный 8 3 3 14" xfId="28445"/>
    <cellStyle name="Обычный 8 3 3 14 2" xfId="28446"/>
    <cellStyle name="Обычный 8 3 3 14 3" xfId="28447"/>
    <cellStyle name="Обычный 8 3 3 15" xfId="28448"/>
    <cellStyle name="Обычный 8 3 3 15 2" xfId="28449"/>
    <cellStyle name="Обычный 8 3 3 15 3" xfId="28450"/>
    <cellStyle name="Обычный 8 3 3 16" xfId="28451"/>
    <cellStyle name="Обычный 8 3 3 16 2" xfId="28452"/>
    <cellStyle name="Обычный 8 3 3 16 3" xfId="28453"/>
    <cellStyle name="Обычный 8 3 3 17" xfId="28454"/>
    <cellStyle name="Обычный 8 3 3 17 2" xfId="28455"/>
    <cellStyle name="Обычный 8 3 3 17 3" xfId="28456"/>
    <cellStyle name="Обычный 8 3 3 18" xfId="28457"/>
    <cellStyle name="Обычный 8 3 3 18 2" xfId="28458"/>
    <cellStyle name="Обычный 8 3 3 18 3" xfId="28459"/>
    <cellStyle name="Обычный 8 3 3 19" xfId="28460"/>
    <cellStyle name="Обычный 8 3 3 19 2" xfId="28461"/>
    <cellStyle name="Обычный 8 3 3 19 3" xfId="28462"/>
    <cellStyle name="Обычный 8 3 3 2" xfId="28463"/>
    <cellStyle name="Обычный 8 3 3 2 2" xfId="28464"/>
    <cellStyle name="Обычный 8 3 3 2 3" xfId="28465"/>
    <cellStyle name="Обычный 8 3 3 20" xfId="28466"/>
    <cellStyle name="Обычный 8 3 3 20 2" xfId="28467"/>
    <cellStyle name="Обычный 8 3 3 20 3" xfId="28468"/>
    <cellStyle name="Обычный 8 3 3 21" xfId="28469"/>
    <cellStyle name="Обычный 8 3 3 21 2" xfId="28470"/>
    <cellStyle name="Обычный 8 3 3 21 3" xfId="28471"/>
    <cellStyle name="Обычный 8 3 3 22" xfId="28472"/>
    <cellStyle name="Обычный 8 3 3 22 2" xfId="28473"/>
    <cellStyle name="Обычный 8 3 3 22 3" xfId="28474"/>
    <cellStyle name="Обычный 8 3 3 23" xfId="28475"/>
    <cellStyle name="Обычный 8 3 3 23 2" xfId="28476"/>
    <cellStyle name="Обычный 8 3 3 23 3" xfId="28477"/>
    <cellStyle name="Обычный 8 3 3 24" xfId="28478"/>
    <cellStyle name="Обычный 8 3 3 24 2" xfId="28479"/>
    <cellStyle name="Обычный 8 3 3 24 3" xfId="28480"/>
    <cellStyle name="Обычный 8 3 3 25" xfId="28481"/>
    <cellStyle name="Обычный 8 3 3 25 2" xfId="28482"/>
    <cellStyle name="Обычный 8 3 3 25 3" xfId="28483"/>
    <cellStyle name="Обычный 8 3 3 26" xfId="28484"/>
    <cellStyle name="Обычный 8 3 3 26 2" xfId="28485"/>
    <cellStyle name="Обычный 8 3 3 26 3" xfId="28486"/>
    <cellStyle name="Обычный 8 3 3 27" xfId="28487"/>
    <cellStyle name="Обычный 8 3 3 27 2" xfId="28488"/>
    <cellStyle name="Обычный 8 3 3 27 3" xfId="28489"/>
    <cellStyle name="Обычный 8 3 3 28" xfId="28490"/>
    <cellStyle name="Обычный 8 3 3 28 2" xfId="28491"/>
    <cellStyle name="Обычный 8 3 3 28 3" xfId="28492"/>
    <cellStyle name="Обычный 8 3 3 29" xfId="28493"/>
    <cellStyle name="Обычный 8 3 3 29 2" xfId="28494"/>
    <cellStyle name="Обычный 8 3 3 29 3" xfId="28495"/>
    <cellStyle name="Обычный 8 3 3 3" xfId="28496"/>
    <cellStyle name="Обычный 8 3 3 3 2" xfId="28497"/>
    <cellStyle name="Обычный 8 3 3 3 3" xfId="28498"/>
    <cellStyle name="Обычный 8 3 3 30" xfId="28499"/>
    <cellStyle name="Обычный 8 3 3 30 2" xfId="28500"/>
    <cellStyle name="Обычный 8 3 3 30 3" xfId="28501"/>
    <cellStyle name="Обычный 8 3 3 31" xfId="28502"/>
    <cellStyle name="Обычный 8 3 3 31 2" xfId="28503"/>
    <cellStyle name="Обычный 8 3 3 31 3" xfId="28504"/>
    <cellStyle name="Обычный 8 3 3 32" xfId="28505"/>
    <cellStyle name="Обычный 8 3 3 32 2" xfId="28506"/>
    <cellStyle name="Обычный 8 3 3 32 3" xfId="28507"/>
    <cellStyle name="Обычный 8 3 3 33" xfId="28508"/>
    <cellStyle name="Обычный 8 3 3 33 2" xfId="28509"/>
    <cellStyle name="Обычный 8 3 3 33 3" xfId="28510"/>
    <cellStyle name="Обычный 8 3 3 34" xfId="28511"/>
    <cellStyle name="Обычный 8 3 3 34 2" xfId="28512"/>
    <cellStyle name="Обычный 8 3 3 34 3" xfId="28513"/>
    <cellStyle name="Обычный 8 3 3 35" xfId="28514"/>
    <cellStyle name="Обычный 8 3 3 35 2" xfId="28515"/>
    <cellStyle name="Обычный 8 3 3 35 3" xfId="28516"/>
    <cellStyle name="Обычный 8 3 3 36" xfId="28517"/>
    <cellStyle name="Обычный 8 3 3 36 2" xfId="28518"/>
    <cellStyle name="Обычный 8 3 3 36 3" xfId="28519"/>
    <cellStyle name="Обычный 8 3 3 37" xfId="28520"/>
    <cellStyle name="Обычный 8 3 3 37 2" xfId="28521"/>
    <cellStyle name="Обычный 8 3 3 37 3" xfId="28522"/>
    <cellStyle name="Обычный 8 3 3 38" xfId="28523"/>
    <cellStyle name="Обычный 8 3 3 38 2" xfId="28524"/>
    <cellStyle name="Обычный 8 3 3 38 3" xfId="28525"/>
    <cellStyle name="Обычный 8 3 3 39" xfId="28526"/>
    <cellStyle name="Обычный 8 3 3 39 2" xfId="28527"/>
    <cellStyle name="Обычный 8 3 3 39 3" xfId="28528"/>
    <cellStyle name="Обычный 8 3 3 4" xfId="28529"/>
    <cellStyle name="Обычный 8 3 3 4 2" xfId="28530"/>
    <cellStyle name="Обычный 8 3 3 4 3" xfId="28531"/>
    <cellStyle name="Обычный 8 3 3 40" xfId="28532"/>
    <cellStyle name="Обычный 8 3 3 40 2" xfId="28533"/>
    <cellStyle name="Обычный 8 3 3 40 3" xfId="28534"/>
    <cellStyle name="Обычный 8 3 3 41" xfId="28535"/>
    <cellStyle name="Обычный 8 3 3 41 2" xfId="28536"/>
    <cellStyle name="Обычный 8 3 3 41 3" xfId="28537"/>
    <cellStyle name="Обычный 8 3 3 42" xfId="28538"/>
    <cellStyle name="Обычный 8 3 3 42 2" xfId="28539"/>
    <cellStyle name="Обычный 8 3 3 42 3" xfId="28540"/>
    <cellStyle name="Обычный 8 3 3 43" xfId="28541"/>
    <cellStyle name="Обычный 8 3 3 43 2" xfId="28542"/>
    <cellStyle name="Обычный 8 3 3 43 3" xfId="28543"/>
    <cellStyle name="Обычный 8 3 3 44" xfId="28544"/>
    <cellStyle name="Обычный 8 3 3 44 2" xfId="28545"/>
    <cellStyle name="Обычный 8 3 3 44 3" xfId="28546"/>
    <cellStyle name="Обычный 8 3 3 45" xfId="28547"/>
    <cellStyle name="Обычный 8 3 3 45 2" xfId="28548"/>
    <cellStyle name="Обычный 8 3 3 45 3" xfId="28549"/>
    <cellStyle name="Обычный 8 3 3 46" xfId="28550"/>
    <cellStyle name="Обычный 8 3 3 46 2" xfId="28551"/>
    <cellStyle name="Обычный 8 3 3 46 3" xfId="28552"/>
    <cellStyle name="Обычный 8 3 3 47" xfId="28553"/>
    <cellStyle name="Обычный 8 3 3 47 2" xfId="28554"/>
    <cellStyle name="Обычный 8 3 3 47 3" xfId="28555"/>
    <cellStyle name="Обычный 8 3 3 48" xfId="28556"/>
    <cellStyle name="Обычный 8 3 3 48 2" xfId="28557"/>
    <cellStyle name="Обычный 8 3 3 48 3" xfId="28558"/>
    <cellStyle name="Обычный 8 3 3 49" xfId="28559"/>
    <cellStyle name="Обычный 8 3 3 49 2" xfId="28560"/>
    <cellStyle name="Обычный 8 3 3 49 3" xfId="28561"/>
    <cellStyle name="Обычный 8 3 3 5" xfId="28562"/>
    <cellStyle name="Обычный 8 3 3 5 2" xfId="28563"/>
    <cellStyle name="Обычный 8 3 3 5 3" xfId="28564"/>
    <cellStyle name="Обычный 8 3 3 50" xfId="28565"/>
    <cellStyle name="Обычный 8 3 3 50 2" xfId="28566"/>
    <cellStyle name="Обычный 8 3 3 50 3" xfId="28567"/>
    <cellStyle name="Обычный 8 3 3 51" xfId="28568"/>
    <cellStyle name="Обычный 8 3 3 51 2" xfId="28569"/>
    <cellStyle name="Обычный 8 3 3 51 3" xfId="28570"/>
    <cellStyle name="Обычный 8 3 3 52" xfId="28571"/>
    <cellStyle name="Обычный 8 3 3 52 2" xfId="28572"/>
    <cellStyle name="Обычный 8 3 3 52 3" xfId="28573"/>
    <cellStyle name="Обычный 8 3 3 53" xfId="28574"/>
    <cellStyle name="Обычный 8 3 3 53 2" xfId="28575"/>
    <cellStyle name="Обычный 8 3 3 53 3" xfId="28576"/>
    <cellStyle name="Обычный 8 3 3 54" xfId="28577"/>
    <cellStyle name="Обычный 8 3 3 54 2" xfId="28578"/>
    <cellStyle name="Обычный 8 3 3 54 3" xfId="28579"/>
    <cellStyle name="Обычный 8 3 3 55" xfId="28580"/>
    <cellStyle name="Обычный 8 3 3 55 2" xfId="28581"/>
    <cellStyle name="Обычный 8 3 3 55 3" xfId="28582"/>
    <cellStyle name="Обычный 8 3 3 56" xfId="28583"/>
    <cellStyle name="Обычный 8 3 3 56 2" xfId="28584"/>
    <cellStyle name="Обычный 8 3 3 56 3" xfId="28585"/>
    <cellStyle name="Обычный 8 3 3 57" xfId="28586"/>
    <cellStyle name="Обычный 8 3 3 57 2" xfId="28587"/>
    <cellStyle name="Обычный 8 3 3 57 3" xfId="28588"/>
    <cellStyle name="Обычный 8 3 3 58" xfId="28589"/>
    <cellStyle name="Обычный 8 3 3 58 2" xfId="28590"/>
    <cellStyle name="Обычный 8 3 3 58 3" xfId="28591"/>
    <cellStyle name="Обычный 8 3 3 59" xfId="28592"/>
    <cellStyle name="Обычный 8 3 3 59 2" xfId="28593"/>
    <cellStyle name="Обычный 8 3 3 59 3" xfId="28594"/>
    <cellStyle name="Обычный 8 3 3 6" xfId="28595"/>
    <cellStyle name="Обычный 8 3 3 6 2" xfId="28596"/>
    <cellStyle name="Обычный 8 3 3 6 3" xfId="28597"/>
    <cellStyle name="Обычный 8 3 3 60" xfId="28598"/>
    <cellStyle name="Обычный 8 3 3 60 2" xfId="28599"/>
    <cellStyle name="Обычный 8 3 3 60 3" xfId="28600"/>
    <cellStyle name="Обычный 8 3 3 61" xfId="28601"/>
    <cellStyle name="Обычный 8 3 3 61 2" xfId="28602"/>
    <cellStyle name="Обычный 8 3 3 61 3" xfId="28603"/>
    <cellStyle name="Обычный 8 3 3 62" xfId="28604"/>
    <cellStyle name="Обычный 8 3 3 62 2" xfId="28605"/>
    <cellStyle name="Обычный 8 3 3 62 3" xfId="28606"/>
    <cellStyle name="Обычный 8 3 3 63" xfId="28607"/>
    <cellStyle name="Обычный 8 3 3 63 2" xfId="28608"/>
    <cellStyle name="Обычный 8 3 3 63 3" xfId="28609"/>
    <cellStyle name="Обычный 8 3 3 64" xfId="28610"/>
    <cellStyle name="Обычный 8 3 3 65" xfId="28611"/>
    <cellStyle name="Обычный 8 3 3 7" xfId="28612"/>
    <cellStyle name="Обычный 8 3 3 7 2" xfId="28613"/>
    <cellStyle name="Обычный 8 3 3 7 3" xfId="28614"/>
    <cellStyle name="Обычный 8 3 3 8" xfId="28615"/>
    <cellStyle name="Обычный 8 3 3 8 2" xfId="28616"/>
    <cellStyle name="Обычный 8 3 3 8 3" xfId="28617"/>
    <cellStyle name="Обычный 8 3 3 9" xfId="28618"/>
    <cellStyle name="Обычный 8 3 3 9 2" xfId="28619"/>
    <cellStyle name="Обычный 8 3 3 9 3" xfId="28620"/>
    <cellStyle name="Обычный 8 3 30" xfId="28621"/>
    <cellStyle name="Обычный 8 3 30 2" xfId="28622"/>
    <cellStyle name="Обычный 8 3 30 3" xfId="28623"/>
    <cellStyle name="Обычный 8 3 31" xfId="28624"/>
    <cellStyle name="Обычный 8 3 31 2" xfId="28625"/>
    <cellStyle name="Обычный 8 3 31 3" xfId="28626"/>
    <cellStyle name="Обычный 8 3 32" xfId="28627"/>
    <cellStyle name="Обычный 8 3 32 2" xfId="28628"/>
    <cellStyle name="Обычный 8 3 32 3" xfId="28629"/>
    <cellStyle name="Обычный 8 3 33" xfId="28630"/>
    <cellStyle name="Обычный 8 3 33 2" xfId="28631"/>
    <cellStyle name="Обычный 8 3 33 3" xfId="28632"/>
    <cellStyle name="Обычный 8 3 34" xfId="28633"/>
    <cellStyle name="Обычный 8 3 34 2" xfId="28634"/>
    <cellStyle name="Обычный 8 3 34 3" xfId="28635"/>
    <cellStyle name="Обычный 8 3 35" xfId="28636"/>
    <cellStyle name="Обычный 8 3 35 2" xfId="28637"/>
    <cellStyle name="Обычный 8 3 35 3" xfId="28638"/>
    <cellStyle name="Обычный 8 3 36" xfId="28639"/>
    <cellStyle name="Обычный 8 3 36 2" xfId="28640"/>
    <cellStyle name="Обычный 8 3 36 3" xfId="28641"/>
    <cellStyle name="Обычный 8 3 37" xfId="28642"/>
    <cellStyle name="Обычный 8 3 37 2" xfId="28643"/>
    <cellStyle name="Обычный 8 3 37 3" xfId="28644"/>
    <cellStyle name="Обычный 8 3 38" xfId="28645"/>
    <cellStyle name="Обычный 8 3 38 2" xfId="28646"/>
    <cellStyle name="Обычный 8 3 38 3" xfId="28647"/>
    <cellStyle name="Обычный 8 3 39" xfId="28648"/>
    <cellStyle name="Обычный 8 3 39 2" xfId="28649"/>
    <cellStyle name="Обычный 8 3 39 3" xfId="28650"/>
    <cellStyle name="Обычный 8 3 4" xfId="28651"/>
    <cellStyle name="Обычный 8 3 4 10" xfId="28652"/>
    <cellStyle name="Обычный 8 3 4 10 2" xfId="28653"/>
    <cellStyle name="Обычный 8 3 4 10 3" xfId="28654"/>
    <cellStyle name="Обычный 8 3 4 11" xfId="28655"/>
    <cellStyle name="Обычный 8 3 4 11 2" xfId="28656"/>
    <cellStyle name="Обычный 8 3 4 11 3" xfId="28657"/>
    <cellStyle name="Обычный 8 3 4 12" xfId="28658"/>
    <cellStyle name="Обычный 8 3 4 12 2" xfId="28659"/>
    <cellStyle name="Обычный 8 3 4 12 3" xfId="28660"/>
    <cellStyle name="Обычный 8 3 4 13" xfId="28661"/>
    <cellStyle name="Обычный 8 3 4 13 2" xfId="28662"/>
    <cellStyle name="Обычный 8 3 4 13 3" xfId="28663"/>
    <cellStyle name="Обычный 8 3 4 14" xfId="28664"/>
    <cellStyle name="Обычный 8 3 4 14 2" xfId="28665"/>
    <cellStyle name="Обычный 8 3 4 14 3" xfId="28666"/>
    <cellStyle name="Обычный 8 3 4 15" xfId="28667"/>
    <cellStyle name="Обычный 8 3 4 15 2" xfId="28668"/>
    <cellStyle name="Обычный 8 3 4 15 3" xfId="28669"/>
    <cellStyle name="Обычный 8 3 4 16" xfId="28670"/>
    <cellStyle name="Обычный 8 3 4 16 2" xfId="28671"/>
    <cellStyle name="Обычный 8 3 4 16 3" xfId="28672"/>
    <cellStyle name="Обычный 8 3 4 17" xfId="28673"/>
    <cellStyle name="Обычный 8 3 4 17 2" xfId="28674"/>
    <cellStyle name="Обычный 8 3 4 17 3" xfId="28675"/>
    <cellStyle name="Обычный 8 3 4 18" xfId="28676"/>
    <cellStyle name="Обычный 8 3 4 18 2" xfId="28677"/>
    <cellStyle name="Обычный 8 3 4 18 3" xfId="28678"/>
    <cellStyle name="Обычный 8 3 4 19" xfId="28679"/>
    <cellStyle name="Обычный 8 3 4 19 2" xfId="28680"/>
    <cellStyle name="Обычный 8 3 4 19 3" xfId="28681"/>
    <cellStyle name="Обычный 8 3 4 2" xfId="28682"/>
    <cellStyle name="Обычный 8 3 4 2 2" xfId="28683"/>
    <cellStyle name="Обычный 8 3 4 2 3" xfId="28684"/>
    <cellStyle name="Обычный 8 3 4 20" xfId="28685"/>
    <cellStyle name="Обычный 8 3 4 20 2" xfId="28686"/>
    <cellStyle name="Обычный 8 3 4 20 3" xfId="28687"/>
    <cellStyle name="Обычный 8 3 4 21" xfId="28688"/>
    <cellStyle name="Обычный 8 3 4 21 2" xfId="28689"/>
    <cellStyle name="Обычный 8 3 4 21 3" xfId="28690"/>
    <cellStyle name="Обычный 8 3 4 22" xfId="28691"/>
    <cellStyle name="Обычный 8 3 4 22 2" xfId="28692"/>
    <cellStyle name="Обычный 8 3 4 22 3" xfId="28693"/>
    <cellStyle name="Обычный 8 3 4 23" xfId="28694"/>
    <cellStyle name="Обычный 8 3 4 23 2" xfId="28695"/>
    <cellStyle name="Обычный 8 3 4 23 3" xfId="28696"/>
    <cellStyle name="Обычный 8 3 4 24" xfId="28697"/>
    <cellStyle name="Обычный 8 3 4 24 2" xfId="28698"/>
    <cellStyle name="Обычный 8 3 4 24 3" xfId="28699"/>
    <cellStyle name="Обычный 8 3 4 25" xfId="28700"/>
    <cellStyle name="Обычный 8 3 4 25 2" xfId="28701"/>
    <cellStyle name="Обычный 8 3 4 25 3" xfId="28702"/>
    <cellStyle name="Обычный 8 3 4 26" xfId="28703"/>
    <cellStyle name="Обычный 8 3 4 26 2" xfId="28704"/>
    <cellStyle name="Обычный 8 3 4 26 3" xfId="28705"/>
    <cellStyle name="Обычный 8 3 4 27" xfId="28706"/>
    <cellStyle name="Обычный 8 3 4 27 2" xfId="28707"/>
    <cellStyle name="Обычный 8 3 4 27 3" xfId="28708"/>
    <cellStyle name="Обычный 8 3 4 28" xfId="28709"/>
    <cellStyle name="Обычный 8 3 4 28 2" xfId="28710"/>
    <cellStyle name="Обычный 8 3 4 28 3" xfId="28711"/>
    <cellStyle name="Обычный 8 3 4 29" xfId="28712"/>
    <cellStyle name="Обычный 8 3 4 29 2" xfId="28713"/>
    <cellStyle name="Обычный 8 3 4 29 3" xfId="28714"/>
    <cellStyle name="Обычный 8 3 4 3" xfId="28715"/>
    <cellStyle name="Обычный 8 3 4 3 2" xfId="28716"/>
    <cellStyle name="Обычный 8 3 4 3 3" xfId="28717"/>
    <cellStyle name="Обычный 8 3 4 30" xfId="28718"/>
    <cellStyle name="Обычный 8 3 4 30 2" xfId="28719"/>
    <cellStyle name="Обычный 8 3 4 30 3" xfId="28720"/>
    <cellStyle name="Обычный 8 3 4 31" xfId="28721"/>
    <cellStyle name="Обычный 8 3 4 31 2" xfId="28722"/>
    <cellStyle name="Обычный 8 3 4 31 3" xfId="28723"/>
    <cellStyle name="Обычный 8 3 4 32" xfId="28724"/>
    <cellStyle name="Обычный 8 3 4 32 2" xfId="28725"/>
    <cellStyle name="Обычный 8 3 4 32 3" xfId="28726"/>
    <cellStyle name="Обычный 8 3 4 33" xfId="28727"/>
    <cellStyle name="Обычный 8 3 4 33 2" xfId="28728"/>
    <cellStyle name="Обычный 8 3 4 33 3" xfId="28729"/>
    <cellStyle name="Обычный 8 3 4 34" xfId="28730"/>
    <cellStyle name="Обычный 8 3 4 34 2" xfId="28731"/>
    <cellStyle name="Обычный 8 3 4 34 3" xfId="28732"/>
    <cellStyle name="Обычный 8 3 4 35" xfId="28733"/>
    <cellStyle name="Обычный 8 3 4 35 2" xfId="28734"/>
    <cellStyle name="Обычный 8 3 4 35 3" xfId="28735"/>
    <cellStyle name="Обычный 8 3 4 36" xfId="28736"/>
    <cellStyle name="Обычный 8 3 4 36 2" xfId="28737"/>
    <cellStyle name="Обычный 8 3 4 36 3" xfId="28738"/>
    <cellStyle name="Обычный 8 3 4 37" xfId="28739"/>
    <cellStyle name="Обычный 8 3 4 37 2" xfId="28740"/>
    <cellStyle name="Обычный 8 3 4 37 3" xfId="28741"/>
    <cellStyle name="Обычный 8 3 4 38" xfId="28742"/>
    <cellStyle name="Обычный 8 3 4 38 2" xfId="28743"/>
    <cellStyle name="Обычный 8 3 4 38 3" xfId="28744"/>
    <cellStyle name="Обычный 8 3 4 39" xfId="28745"/>
    <cellStyle name="Обычный 8 3 4 39 2" xfId="28746"/>
    <cellStyle name="Обычный 8 3 4 39 3" xfId="28747"/>
    <cellStyle name="Обычный 8 3 4 4" xfId="28748"/>
    <cellStyle name="Обычный 8 3 4 4 2" xfId="28749"/>
    <cellStyle name="Обычный 8 3 4 4 3" xfId="28750"/>
    <cellStyle name="Обычный 8 3 4 40" xfId="28751"/>
    <cellStyle name="Обычный 8 3 4 40 2" xfId="28752"/>
    <cellStyle name="Обычный 8 3 4 40 3" xfId="28753"/>
    <cellStyle name="Обычный 8 3 4 41" xfId="28754"/>
    <cellStyle name="Обычный 8 3 4 41 2" xfId="28755"/>
    <cellStyle name="Обычный 8 3 4 41 3" xfId="28756"/>
    <cellStyle name="Обычный 8 3 4 42" xfId="28757"/>
    <cellStyle name="Обычный 8 3 4 42 2" xfId="28758"/>
    <cellStyle name="Обычный 8 3 4 42 3" xfId="28759"/>
    <cellStyle name="Обычный 8 3 4 43" xfId="28760"/>
    <cellStyle name="Обычный 8 3 4 43 2" xfId="28761"/>
    <cellStyle name="Обычный 8 3 4 43 3" xfId="28762"/>
    <cellStyle name="Обычный 8 3 4 44" xfId="28763"/>
    <cellStyle name="Обычный 8 3 4 44 2" xfId="28764"/>
    <cellStyle name="Обычный 8 3 4 44 3" xfId="28765"/>
    <cellStyle name="Обычный 8 3 4 45" xfId="28766"/>
    <cellStyle name="Обычный 8 3 4 45 2" xfId="28767"/>
    <cellStyle name="Обычный 8 3 4 45 3" xfId="28768"/>
    <cellStyle name="Обычный 8 3 4 46" xfId="28769"/>
    <cellStyle name="Обычный 8 3 4 46 2" xfId="28770"/>
    <cellStyle name="Обычный 8 3 4 46 3" xfId="28771"/>
    <cellStyle name="Обычный 8 3 4 47" xfId="28772"/>
    <cellStyle name="Обычный 8 3 4 47 2" xfId="28773"/>
    <cellStyle name="Обычный 8 3 4 47 3" xfId="28774"/>
    <cellStyle name="Обычный 8 3 4 48" xfId="28775"/>
    <cellStyle name="Обычный 8 3 4 48 2" xfId="28776"/>
    <cellStyle name="Обычный 8 3 4 48 3" xfId="28777"/>
    <cellStyle name="Обычный 8 3 4 49" xfId="28778"/>
    <cellStyle name="Обычный 8 3 4 49 2" xfId="28779"/>
    <cellStyle name="Обычный 8 3 4 49 3" xfId="28780"/>
    <cellStyle name="Обычный 8 3 4 5" xfId="28781"/>
    <cellStyle name="Обычный 8 3 4 5 2" xfId="28782"/>
    <cellStyle name="Обычный 8 3 4 5 3" xfId="28783"/>
    <cellStyle name="Обычный 8 3 4 50" xfId="28784"/>
    <cellStyle name="Обычный 8 3 4 50 2" xfId="28785"/>
    <cellStyle name="Обычный 8 3 4 50 3" xfId="28786"/>
    <cellStyle name="Обычный 8 3 4 51" xfId="28787"/>
    <cellStyle name="Обычный 8 3 4 51 2" xfId="28788"/>
    <cellStyle name="Обычный 8 3 4 51 3" xfId="28789"/>
    <cellStyle name="Обычный 8 3 4 52" xfId="28790"/>
    <cellStyle name="Обычный 8 3 4 52 2" xfId="28791"/>
    <cellStyle name="Обычный 8 3 4 52 3" xfId="28792"/>
    <cellStyle name="Обычный 8 3 4 53" xfId="28793"/>
    <cellStyle name="Обычный 8 3 4 53 2" xfId="28794"/>
    <cellStyle name="Обычный 8 3 4 53 3" xfId="28795"/>
    <cellStyle name="Обычный 8 3 4 54" xfId="28796"/>
    <cellStyle name="Обычный 8 3 4 54 2" xfId="28797"/>
    <cellStyle name="Обычный 8 3 4 54 3" xfId="28798"/>
    <cellStyle name="Обычный 8 3 4 55" xfId="28799"/>
    <cellStyle name="Обычный 8 3 4 55 2" xfId="28800"/>
    <cellStyle name="Обычный 8 3 4 55 3" xfId="28801"/>
    <cellStyle name="Обычный 8 3 4 56" xfId="28802"/>
    <cellStyle name="Обычный 8 3 4 56 2" xfId="28803"/>
    <cellStyle name="Обычный 8 3 4 56 3" xfId="28804"/>
    <cellStyle name="Обычный 8 3 4 57" xfId="28805"/>
    <cellStyle name="Обычный 8 3 4 57 2" xfId="28806"/>
    <cellStyle name="Обычный 8 3 4 57 3" xfId="28807"/>
    <cellStyle name="Обычный 8 3 4 58" xfId="28808"/>
    <cellStyle name="Обычный 8 3 4 58 2" xfId="28809"/>
    <cellStyle name="Обычный 8 3 4 58 3" xfId="28810"/>
    <cellStyle name="Обычный 8 3 4 59" xfId="28811"/>
    <cellStyle name="Обычный 8 3 4 59 2" xfId="28812"/>
    <cellStyle name="Обычный 8 3 4 59 3" xfId="28813"/>
    <cellStyle name="Обычный 8 3 4 6" xfId="28814"/>
    <cellStyle name="Обычный 8 3 4 6 2" xfId="28815"/>
    <cellStyle name="Обычный 8 3 4 6 3" xfId="28816"/>
    <cellStyle name="Обычный 8 3 4 60" xfId="28817"/>
    <cellStyle name="Обычный 8 3 4 60 2" xfId="28818"/>
    <cellStyle name="Обычный 8 3 4 60 3" xfId="28819"/>
    <cellStyle name="Обычный 8 3 4 61" xfId="28820"/>
    <cellStyle name="Обычный 8 3 4 61 2" xfId="28821"/>
    <cellStyle name="Обычный 8 3 4 61 3" xfId="28822"/>
    <cellStyle name="Обычный 8 3 4 62" xfId="28823"/>
    <cellStyle name="Обычный 8 3 4 62 2" xfId="28824"/>
    <cellStyle name="Обычный 8 3 4 62 3" xfId="28825"/>
    <cellStyle name="Обычный 8 3 4 63" xfId="28826"/>
    <cellStyle name="Обычный 8 3 4 63 2" xfId="28827"/>
    <cellStyle name="Обычный 8 3 4 63 3" xfId="28828"/>
    <cellStyle name="Обычный 8 3 4 64" xfId="28829"/>
    <cellStyle name="Обычный 8 3 4 65" xfId="28830"/>
    <cellStyle name="Обычный 8 3 4 7" xfId="28831"/>
    <cellStyle name="Обычный 8 3 4 7 2" xfId="28832"/>
    <cellStyle name="Обычный 8 3 4 7 3" xfId="28833"/>
    <cellStyle name="Обычный 8 3 4 8" xfId="28834"/>
    <cellStyle name="Обычный 8 3 4 8 2" xfId="28835"/>
    <cellStyle name="Обычный 8 3 4 8 3" xfId="28836"/>
    <cellStyle name="Обычный 8 3 4 9" xfId="28837"/>
    <cellStyle name="Обычный 8 3 4 9 2" xfId="28838"/>
    <cellStyle name="Обычный 8 3 4 9 3" xfId="28839"/>
    <cellStyle name="Обычный 8 3 40" xfId="28840"/>
    <cellStyle name="Обычный 8 3 40 2" xfId="28841"/>
    <cellStyle name="Обычный 8 3 40 3" xfId="28842"/>
    <cellStyle name="Обычный 8 3 41" xfId="28843"/>
    <cellStyle name="Обычный 8 3 41 2" xfId="28844"/>
    <cellStyle name="Обычный 8 3 41 3" xfId="28845"/>
    <cellStyle name="Обычный 8 3 42" xfId="28846"/>
    <cellStyle name="Обычный 8 3 42 2" xfId="28847"/>
    <cellStyle name="Обычный 8 3 42 3" xfId="28848"/>
    <cellStyle name="Обычный 8 3 43" xfId="28849"/>
    <cellStyle name="Обычный 8 3 43 2" xfId="28850"/>
    <cellStyle name="Обычный 8 3 43 3" xfId="28851"/>
    <cellStyle name="Обычный 8 3 44" xfId="28852"/>
    <cellStyle name="Обычный 8 3 44 2" xfId="28853"/>
    <cellStyle name="Обычный 8 3 44 3" xfId="28854"/>
    <cellStyle name="Обычный 8 3 45" xfId="28855"/>
    <cellStyle name="Обычный 8 3 45 2" xfId="28856"/>
    <cellStyle name="Обычный 8 3 45 3" xfId="28857"/>
    <cellStyle name="Обычный 8 3 46" xfId="28858"/>
    <cellStyle name="Обычный 8 3 46 2" xfId="28859"/>
    <cellStyle name="Обычный 8 3 46 3" xfId="28860"/>
    <cellStyle name="Обычный 8 3 47" xfId="28861"/>
    <cellStyle name="Обычный 8 3 47 2" xfId="28862"/>
    <cellStyle name="Обычный 8 3 47 3" xfId="28863"/>
    <cellStyle name="Обычный 8 3 48" xfId="28864"/>
    <cellStyle name="Обычный 8 3 48 2" xfId="28865"/>
    <cellStyle name="Обычный 8 3 48 3" xfId="28866"/>
    <cellStyle name="Обычный 8 3 49" xfId="28867"/>
    <cellStyle name="Обычный 8 3 49 2" xfId="28868"/>
    <cellStyle name="Обычный 8 3 49 3" xfId="28869"/>
    <cellStyle name="Обычный 8 3 5" xfId="28870"/>
    <cellStyle name="Обычный 8 3 5 10" xfId="28871"/>
    <cellStyle name="Обычный 8 3 5 10 2" xfId="28872"/>
    <cellStyle name="Обычный 8 3 5 10 3" xfId="28873"/>
    <cellStyle name="Обычный 8 3 5 11" xfId="28874"/>
    <cellStyle name="Обычный 8 3 5 11 2" xfId="28875"/>
    <cellStyle name="Обычный 8 3 5 11 3" xfId="28876"/>
    <cellStyle name="Обычный 8 3 5 12" xfId="28877"/>
    <cellStyle name="Обычный 8 3 5 12 2" xfId="28878"/>
    <cellStyle name="Обычный 8 3 5 12 3" xfId="28879"/>
    <cellStyle name="Обычный 8 3 5 13" xfId="28880"/>
    <cellStyle name="Обычный 8 3 5 13 2" xfId="28881"/>
    <cellStyle name="Обычный 8 3 5 13 3" xfId="28882"/>
    <cellStyle name="Обычный 8 3 5 14" xfId="28883"/>
    <cellStyle name="Обычный 8 3 5 14 2" xfId="28884"/>
    <cellStyle name="Обычный 8 3 5 14 3" xfId="28885"/>
    <cellStyle name="Обычный 8 3 5 15" xfId="28886"/>
    <cellStyle name="Обычный 8 3 5 15 2" xfId="28887"/>
    <cellStyle name="Обычный 8 3 5 15 3" xfId="28888"/>
    <cellStyle name="Обычный 8 3 5 16" xfId="28889"/>
    <cellStyle name="Обычный 8 3 5 16 2" xfId="28890"/>
    <cellStyle name="Обычный 8 3 5 16 3" xfId="28891"/>
    <cellStyle name="Обычный 8 3 5 17" xfId="28892"/>
    <cellStyle name="Обычный 8 3 5 17 2" xfId="28893"/>
    <cellStyle name="Обычный 8 3 5 17 3" xfId="28894"/>
    <cellStyle name="Обычный 8 3 5 18" xfId="28895"/>
    <cellStyle name="Обычный 8 3 5 18 2" xfId="28896"/>
    <cellStyle name="Обычный 8 3 5 18 3" xfId="28897"/>
    <cellStyle name="Обычный 8 3 5 19" xfId="28898"/>
    <cellStyle name="Обычный 8 3 5 19 2" xfId="28899"/>
    <cellStyle name="Обычный 8 3 5 19 3" xfId="28900"/>
    <cellStyle name="Обычный 8 3 5 2" xfId="28901"/>
    <cellStyle name="Обычный 8 3 5 2 2" xfId="28902"/>
    <cellStyle name="Обычный 8 3 5 2 3" xfId="28903"/>
    <cellStyle name="Обычный 8 3 5 20" xfId="28904"/>
    <cellStyle name="Обычный 8 3 5 20 2" xfId="28905"/>
    <cellStyle name="Обычный 8 3 5 20 3" xfId="28906"/>
    <cellStyle name="Обычный 8 3 5 21" xfId="28907"/>
    <cellStyle name="Обычный 8 3 5 21 2" xfId="28908"/>
    <cellStyle name="Обычный 8 3 5 21 3" xfId="28909"/>
    <cellStyle name="Обычный 8 3 5 22" xfId="28910"/>
    <cellStyle name="Обычный 8 3 5 22 2" xfId="28911"/>
    <cellStyle name="Обычный 8 3 5 22 3" xfId="28912"/>
    <cellStyle name="Обычный 8 3 5 23" xfId="28913"/>
    <cellStyle name="Обычный 8 3 5 23 2" xfId="28914"/>
    <cellStyle name="Обычный 8 3 5 23 3" xfId="28915"/>
    <cellStyle name="Обычный 8 3 5 24" xfId="28916"/>
    <cellStyle name="Обычный 8 3 5 24 2" xfId="28917"/>
    <cellStyle name="Обычный 8 3 5 24 3" xfId="28918"/>
    <cellStyle name="Обычный 8 3 5 25" xfId="28919"/>
    <cellStyle name="Обычный 8 3 5 25 2" xfId="28920"/>
    <cellStyle name="Обычный 8 3 5 25 3" xfId="28921"/>
    <cellStyle name="Обычный 8 3 5 26" xfId="28922"/>
    <cellStyle name="Обычный 8 3 5 26 2" xfId="28923"/>
    <cellStyle name="Обычный 8 3 5 26 3" xfId="28924"/>
    <cellStyle name="Обычный 8 3 5 27" xfId="28925"/>
    <cellStyle name="Обычный 8 3 5 27 2" xfId="28926"/>
    <cellStyle name="Обычный 8 3 5 27 3" xfId="28927"/>
    <cellStyle name="Обычный 8 3 5 28" xfId="28928"/>
    <cellStyle name="Обычный 8 3 5 28 2" xfId="28929"/>
    <cellStyle name="Обычный 8 3 5 28 3" xfId="28930"/>
    <cellStyle name="Обычный 8 3 5 29" xfId="28931"/>
    <cellStyle name="Обычный 8 3 5 29 2" xfId="28932"/>
    <cellStyle name="Обычный 8 3 5 29 3" xfId="28933"/>
    <cellStyle name="Обычный 8 3 5 3" xfId="28934"/>
    <cellStyle name="Обычный 8 3 5 3 2" xfId="28935"/>
    <cellStyle name="Обычный 8 3 5 3 3" xfId="28936"/>
    <cellStyle name="Обычный 8 3 5 30" xfId="28937"/>
    <cellStyle name="Обычный 8 3 5 30 2" xfId="28938"/>
    <cellStyle name="Обычный 8 3 5 30 3" xfId="28939"/>
    <cellStyle name="Обычный 8 3 5 31" xfId="28940"/>
    <cellStyle name="Обычный 8 3 5 31 2" xfId="28941"/>
    <cellStyle name="Обычный 8 3 5 31 3" xfId="28942"/>
    <cellStyle name="Обычный 8 3 5 32" xfId="28943"/>
    <cellStyle name="Обычный 8 3 5 32 2" xfId="28944"/>
    <cellStyle name="Обычный 8 3 5 32 3" xfId="28945"/>
    <cellStyle name="Обычный 8 3 5 33" xfId="28946"/>
    <cellStyle name="Обычный 8 3 5 33 2" xfId="28947"/>
    <cellStyle name="Обычный 8 3 5 33 3" xfId="28948"/>
    <cellStyle name="Обычный 8 3 5 34" xfId="28949"/>
    <cellStyle name="Обычный 8 3 5 34 2" xfId="28950"/>
    <cellStyle name="Обычный 8 3 5 34 3" xfId="28951"/>
    <cellStyle name="Обычный 8 3 5 35" xfId="28952"/>
    <cellStyle name="Обычный 8 3 5 35 2" xfId="28953"/>
    <cellStyle name="Обычный 8 3 5 35 3" xfId="28954"/>
    <cellStyle name="Обычный 8 3 5 36" xfId="28955"/>
    <cellStyle name="Обычный 8 3 5 36 2" xfId="28956"/>
    <cellStyle name="Обычный 8 3 5 36 3" xfId="28957"/>
    <cellStyle name="Обычный 8 3 5 37" xfId="28958"/>
    <cellStyle name="Обычный 8 3 5 37 2" xfId="28959"/>
    <cellStyle name="Обычный 8 3 5 37 3" xfId="28960"/>
    <cellStyle name="Обычный 8 3 5 38" xfId="28961"/>
    <cellStyle name="Обычный 8 3 5 38 2" xfId="28962"/>
    <cellStyle name="Обычный 8 3 5 38 3" xfId="28963"/>
    <cellStyle name="Обычный 8 3 5 39" xfId="28964"/>
    <cellStyle name="Обычный 8 3 5 39 2" xfId="28965"/>
    <cellStyle name="Обычный 8 3 5 39 3" xfId="28966"/>
    <cellStyle name="Обычный 8 3 5 4" xfId="28967"/>
    <cellStyle name="Обычный 8 3 5 4 2" xfId="28968"/>
    <cellStyle name="Обычный 8 3 5 4 3" xfId="28969"/>
    <cellStyle name="Обычный 8 3 5 40" xfId="28970"/>
    <cellStyle name="Обычный 8 3 5 40 2" xfId="28971"/>
    <cellStyle name="Обычный 8 3 5 40 3" xfId="28972"/>
    <cellStyle name="Обычный 8 3 5 41" xfId="28973"/>
    <cellStyle name="Обычный 8 3 5 41 2" xfId="28974"/>
    <cellStyle name="Обычный 8 3 5 41 3" xfId="28975"/>
    <cellStyle name="Обычный 8 3 5 42" xfId="28976"/>
    <cellStyle name="Обычный 8 3 5 42 2" xfId="28977"/>
    <cellStyle name="Обычный 8 3 5 42 3" xfId="28978"/>
    <cellStyle name="Обычный 8 3 5 43" xfId="28979"/>
    <cellStyle name="Обычный 8 3 5 43 2" xfId="28980"/>
    <cellStyle name="Обычный 8 3 5 43 3" xfId="28981"/>
    <cellStyle name="Обычный 8 3 5 44" xfId="28982"/>
    <cellStyle name="Обычный 8 3 5 44 2" xfId="28983"/>
    <cellStyle name="Обычный 8 3 5 44 3" xfId="28984"/>
    <cellStyle name="Обычный 8 3 5 45" xfId="28985"/>
    <cellStyle name="Обычный 8 3 5 45 2" xfId="28986"/>
    <cellStyle name="Обычный 8 3 5 45 3" xfId="28987"/>
    <cellStyle name="Обычный 8 3 5 46" xfId="28988"/>
    <cellStyle name="Обычный 8 3 5 46 2" xfId="28989"/>
    <cellStyle name="Обычный 8 3 5 46 3" xfId="28990"/>
    <cellStyle name="Обычный 8 3 5 47" xfId="28991"/>
    <cellStyle name="Обычный 8 3 5 47 2" xfId="28992"/>
    <cellStyle name="Обычный 8 3 5 47 3" xfId="28993"/>
    <cellStyle name="Обычный 8 3 5 48" xfId="28994"/>
    <cellStyle name="Обычный 8 3 5 48 2" xfId="28995"/>
    <cellStyle name="Обычный 8 3 5 48 3" xfId="28996"/>
    <cellStyle name="Обычный 8 3 5 49" xfId="28997"/>
    <cellStyle name="Обычный 8 3 5 49 2" xfId="28998"/>
    <cellStyle name="Обычный 8 3 5 49 3" xfId="28999"/>
    <cellStyle name="Обычный 8 3 5 5" xfId="29000"/>
    <cellStyle name="Обычный 8 3 5 5 2" xfId="29001"/>
    <cellStyle name="Обычный 8 3 5 5 3" xfId="29002"/>
    <cellStyle name="Обычный 8 3 5 50" xfId="29003"/>
    <cellStyle name="Обычный 8 3 5 50 2" xfId="29004"/>
    <cellStyle name="Обычный 8 3 5 50 3" xfId="29005"/>
    <cellStyle name="Обычный 8 3 5 51" xfId="29006"/>
    <cellStyle name="Обычный 8 3 5 51 2" xfId="29007"/>
    <cellStyle name="Обычный 8 3 5 51 3" xfId="29008"/>
    <cellStyle name="Обычный 8 3 5 52" xfId="29009"/>
    <cellStyle name="Обычный 8 3 5 52 2" xfId="29010"/>
    <cellStyle name="Обычный 8 3 5 52 3" xfId="29011"/>
    <cellStyle name="Обычный 8 3 5 53" xfId="29012"/>
    <cellStyle name="Обычный 8 3 5 53 2" xfId="29013"/>
    <cellStyle name="Обычный 8 3 5 53 3" xfId="29014"/>
    <cellStyle name="Обычный 8 3 5 54" xfId="29015"/>
    <cellStyle name="Обычный 8 3 5 54 2" xfId="29016"/>
    <cellStyle name="Обычный 8 3 5 54 3" xfId="29017"/>
    <cellStyle name="Обычный 8 3 5 55" xfId="29018"/>
    <cellStyle name="Обычный 8 3 5 55 2" xfId="29019"/>
    <cellStyle name="Обычный 8 3 5 55 3" xfId="29020"/>
    <cellStyle name="Обычный 8 3 5 56" xfId="29021"/>
    <cellStyle name="Обычный 8 3 5 56 2" xfId="29022"/>
    <cellStyle name="Обычный 8 3 5 56 3" xfId="29023"/>
    <cellStyle name="Обычный 8 3 5 57" xfId="29024"/>
    <cellStyle name="Обычный 8 3 5 57 2" xfId="29025"/>
    <cellStyle name="Обычный 8 3 5 57 3" xfId="29026"/>
    <cellStyle name="Обычный 8 3 5 58" xfId="29027"/>
    <cellStyle name="Обычный 8 3 5 58 2" xfId="29028"/>
    <cellStyle name="Обычный 8 3 5 58 3" xfId="29029"/>
    <cellStyle name="Обычный 8 3 5 59" xfId="29030"/>
    <cellStyle name="Обычный 8 3 5 59 2" xfId="29031"/>
    <cellStyle name="Обычный 8 3 5 59 3" xfId="29032"/>
    <cellStyle name="Обычный 8 3 5 6" xfId="29033"/>
    <cellStyle name="Обычный 8 3 5 6 2" xfId="29034"/>
    <cellStyle name="Обычный 8 3 5 6 3" xfId="29035"/>
    <cellStyle name="Обычный 8 3 5 60" xfId="29036"/>
    <cellStyle name="Обычный 8 3 5 60 2" xfId="29037"/>
    <cellStyle name="Обычный 8 3 5 60 3" xfId="29038"/>
    <cellStyle name="Обычный 8 3 5 61" xfId="29039"/>
    <cellStyle name="Обычный 8 3 5 61 2" xfId="29040"/>
    <cellStyle name="Обычный 8 3 5 61 3" xfId="29041"/>
    <cellStyle name="Обычный 8 3 5 62" xfId="29042"/>
    <cellStyle name="Обычный 8 3 5 62 2" xfId="29043"/>
    <cellStyle name="Обычный 8 3 5 62 3" xfId="29044"/>
    <cellStyle name="Обычный 8 3 5 63" xfId="29045"/>
    <cellStyle name="Обычный 8 3 5 63 2" xfId="29046"/>
    <cellStyle name="Обычный 8 3 5 63 3" xfId="29047"/>
    <cellStyle name="Обычный 8 3 5 64" xfId="29048"/>
    <cellStyle name="Обычный 8 3 5 65" xfId="29049"/>
    <cellStyle name="Обычный 8 3 5 7" xfId="29050"/>
    <cellStyle name="Обычный 8 3 5 7 2" xfId="29051"/>
    <cellStyle name="Обычный 8 3 5 7 3" xfId="29052"/>
    <cellStyle name="Обычный 8 3 5 8" xfId="29053"/>
    <cellStyle name="Обычный 8 3 5 8 2" xfId="29054"/>
    <cellStyle name="Обычный 8 3 5 8 3" xfId="29055"/>
    <cellStyle name="Обычный 8 3 5 9" xfId="29056"/>
    <cellStyle name="Обычный 8 3 5 9 2" xfId="29057"/>
    <cellStyle name="Обычный 8 3 5 9 3" xfId="29058"/>
    <cellStyle name="Обычный 8 3 50" xfId="29059"/>
    <cellStyle name="Обычный 8 3 50 2" xfId="29060"/>
    <cellStyle name="Обычный 8 3 50 3" xfId="29061"/>
    <cellStyle name="Обычный 8 3 51" xfId="29062"/>
    <cellStyle name="Обычный 8 3 51 2" xfId="29063"/>
    <cellStyle name="Обычный 8 3 51 3" xfId="29064"/>
    <cellStyle name="Обычный 8 3 52" xfId="29065"/>
    <cellStyle name="Обычный 8 3 52 2" xfId="29066"/>
    <cellStyle name="Обычный 8 3 52 3" xfId="29067"/>
    <cellStyle name="Обычный 8 3 53" xfId="29068"/>
    <cellStyle name="Обычный 8 3 53 2" xfId="29069"/>
    <cellStyle name="Обычный 8 3 53 3" xfId="29070"/>
    <cellStyle name="Обычный 8 3 54" xfId="29071"/>
    <cellStyle name="Обычный 8 3 54 2" xfId="29072"/>
    <cellStyle name="Обычный 8 3 54 3" xfId="29073"/>
    <cellStyle name="Обычный 8 3 55" xfId="29074"/>
    <cellStyle name="Обычный 8 3 55 2" xfId="29075"/>
    <cellStyle name="Обычный 8 3 55 3" xfId="29076"/>
    <cellStyle name="Обычный 8 3 56" xfId="29077"/>
    <cellStyle name="Обычный 8 3 56 2" xfId="29078"/>
    <cellStyle name="Обычный 8 3 56 3" xfId="29079"/>
    <cellStyle name="Обычный 8 3 57" xfId="29080"/>
    <cellStyle name="Обычный 8 3 57 2" xfId="29081"/>
    <cellStyle name="Обычный 8 3 57 3" xfId="29082"/>
    <cellStyle name="Обычный 8 3 58" xfId="29083"/>
    <cellStyle name="Обычный 8 3 58 2" xfId="29084"/>
    <cellStyle name="Обычный 8 3 58 3" xfId="29085"/>
    <cellStyle name="Обычный 8 3 59" xfId="29086"/>
    <cellStyle name="Обычный 8 3 59 2" xfId="29087"/>
    <cellStyle name="Обычный 8 3 59 3" xfId="29088"/>
    <cellStyle name="Обычный 8 3 6" xfId="29089"/>
    <cellStyle name="Обычный 8 3 6 10" xfId="29090"/>
    <cellStyle name="Обычный 8 3 6 10 2" xfId="29091"/>
    <cellStyle name="Обычный 8 3 6 10 3" xfId="29092"/>
    <cellStyle name="Обычный 8 3 6 11" xfId="29093"/>
    <cellStyle name="Обычный 8 3 6 11 2" xfId="29094"/>
    <cellStyle name="Обычный 8 3 6 11 3" xfId="29095"/>
    <cellStyle name="Обычный 8 3 6 12" xfId="29096"/>
    <cellStyle name="Обычный 8 3 6 12 2" xfId="29097"/>
    <cellStyle name="Обычный 8 3 6 12 3" xfId="29098"/>
    <cellStyle name="Обычный 8 3 6 13" xfId="29099"/>
    <cellStyle name="Обычный 8 3 6 13 2" xfId="29100"/>
    <cellStyle name="Обычный 8 3 6 13 3" xfId="29101"/>
    <cellStyle name="Обычный 8 3 6 14" xfId="29102"/>
    <cellStyle name="Обычный 8 3 6 14 2" xfId="29103"/>
    <cellStyle name="Обычный 8 3 6 14 3" xfId="29104"/>
    <cellStyle name="Обычный 8 3 6 15" xfId="29105"/>
    <cellStyle name="Обычный 8 3 6 15 2" xfId="29106"/>
    <cellStyle name="Обычный 8 3 6 15 3" xfId="29107"/>
    <cellStyle name="Обычный 8 3 6 16" xfId="29108"/>
    <cellStyle name="Обычный 8 3 6 16 2" xfId="29109"/>
    <cellStyle name="Обычный 8 3 6 16 3" xfId="29110"/>
    <cellStyle name="Обычный 8 3 6 17" xfId="29111"/>
    <cellStyle name="Обычный 8 3 6 17 2" xfId="29112"/>
    <cellStyle name="Обычный 8 3 6 17 3" xfId="29113"/>
    <cellStyle name="Обычный 8 3 6 18" xfId="29114"/>
    <cellStyle name="Обычный 8 3 6 18 2" xfId="29115"/>
    <cellStyle name="Обычный 8 3 6 18 3" xfId="29116"/>
    <cellStyle name="Обычный 8 3 6 19" xfId="29117"/>
    <cellStyle name="Обычный 8 3 6 19 2" xfId="29118"/>
    <cellStyle name="Обычный 8 3 6 19 3" xfId="29119"/>
    <cellStyle name="Обычный 8 3 6 2" xfId="29120"/>
    <cellStyle name="Обычный 8 3 6 2 2" xfId="29121"/>
    <cellStyle name="Обычный 8 3 6 2 3" xfId="29122"/>
    <cellStyle name="Обычный 8 3 6 20" xfId="29123"/>
    <cellStyle name="Обычный 8 3 6 20 2" xfId="29124"/>
    <cellStyle name="Обычный 8 3 6 20 3" xfId="29125"/>
    <cellStyle name="Обычный 8 3 6 21" xfId="29126"/>
    <cellStyle name="Обычный 8 3 6 21 2" xfId="29127"/>
    <cellStyle name="Обычный 8 3 6 21 3" xfId="29128"/>
    <cellStyle name="Обычный 8 3 6 22" xfId="29129"/>
    <cellStyle name="Обычный 8 3 6 22 2" xfId="29130"/>
    <cellStyle name="Обычный 8 3 6 22 3" xfId="29131"/>
    <cellStyle name="Обычный 8 3 6 23" xfId="29132"/>
    <cellStyle name="Обычный 8 3 6 23 2" xfId="29133"/>
    <cellStyle name="Обычный 8 3 6 23 3" xfId="29134"/>
    <cellStyle name="Обычный 8 3 6 24" xfId="29135"/>
    <cellStyle name="Обычный 8 3 6 24 2" xfId="29136"/>
    <cellStyle name="Обычный 8 3 6 24 3" xfId="29137"/>
    <cellStyle name="Обычный 8 3 6 25" xfId="29138"/>
    <cellStyle name="Обычный 8 3 6 25 2" xfId="29139"/>
    <cellStyle name="Обычный 8 3 6 25 3" xfId="29140"/>
    <cellStyle name="Обычный 8 3 6 26" xfId="29141"/>
    <cellStyle name="Обычный 8 3 6 26 2" xfId="29142"/>
    <cellStyle name="Обычный 8 3 6 26 3" xfId="29143"/>
    <cellStyle name="Обычный 8 3 6 27" xfId="29144"/>
    <cellStyle name="Обычный 8 3 6 27 2" xfId="29145"/>
    <cellStyle name="Обычный 8 3 6 27 3" xfId="29146"/>
    <cellStyle name="Обычный 8 3 6 28" xfId="29147"/>
    <cellStyle name="Обычный 8 3 6 28 2" xfId="29148"/>
    <cellStyle name="Обычный 8 3 6 28 3" xfId="29149"/>
    <cellStyle name="Обычный 8 3 6 29" xfId="29150"/>
    <cellStyle name="Обычный 8 3 6 29 2" xfId="29151"/>
    <cellStyle name="Обычный 8 3 6 29 3" xfId="29152"/>
    <cellStyle name="Обычный 8 3 6 3" xfId="29153"/>
    <cellStyle name="Обычный 8 3 6 3 2" xfId="29154"/>
    <cellStyle name="Обычный 8 3 6 3 3" xfId="29155"/>
    <cellStyle name="Обычный 8 3 6 30" xfId="29156"/>
    <cellStyle name="Обычный 8 3 6 30 2" xfId="29157"/>
    <cellStyle name="Обычный 8 3 6 30 3" xfId="29158"/>
    <cellStyle name="Обычный 8 3 6 31" xfId="29159"/>
    <cellStyle name="Обычный 8 3 6 31 2" xfId="29160"/>
    <cellStyle name="Обычный 8 3 6 31 3" xfId="29161"/>
    <cellStyle name="Обычный 8 3 6 32" xfId="29162"/>
    <cellStyle name="Обычный 8 3 6 32 2" xfId="29163"/>
    <cellStyle name="Обычный 8 3 6 32 3" xfId="29164"/>
    <cellStyle name="Обычный 8 3 6 33" xfId="29165"/>
    <cellStyle name="Обычный 8 3 6 33 2" xfId="29166"/>
    <cellStyle name="Обычный 8 3 6 33 3" xfId="29167"/>
    <cellStyle name="Обычный 8 3 6 34" xfId="29168"/>
    <cellStyle name="Обычный 8 3 6 34 2" xfId="29169"/>
    <cellStyle name="Обычный 8 3 6 34 3" xfId="29170"/>
    <cellStyle name="Обычный 8 3 6 35" xfId="29171"/>
    <cellStyle name="Обычный 8 3 6 35 2" xfId="29172"/>
    <cellStyle name="Обычный 8 3 6 35 3" xfId="29173"/>
    <cellStyle name="Обычный 8 3 6 36" xfId="29174"/>
    <cellStyle name="Обычный 8 3 6 36 2" xfId="29175"/>
    <cellStyle name="Обычный 8 3 6 36 3" xfId="29176"/>
    <cellStyle name="Обычный 8 3 6 37" xfId="29177"/>
    <cellStyle name="Обычный 8 3 6 37 2" xfId="29178"/>
    <cellStyle name="Обычный 8 3 6 37 3" xfId="29179"/>
    <cellStyle name="Обычный 8 3 6 38" xfId="29180"/>
    <cellStyle name="Обычный 8 3 6 38 2" xfId="29181"/>
    <cellStyle name="Обычный 8 3 6 38 3" xfId="29182"/>
    <cellStyle name="Обычный 8 3 6 39" xfId="29183"/>
    <cellStyle name="Обычный 8 3 6 39 2" xfId="29184"/>
    <cellStyle name="Обычный 8 3 6 39 3" xfId="29185"/>
    <cellStyle name="Обычный 8 3 6 4" xfId="29186"/>
    <cellStyle name="Обычный 8 3 6 4 2" xfId="29187"/>
    <cellStyle name="Обычный 8 3 6 4 3" xfId="29188"/>
    <cellStyle name="Обычный 8 3 6 40" xfId="29189"/>
    <cellStyle name="Обычный 8 3 6 40 2" xfId="29190"/>
    <cellStyle name="Обычный 8 3 6 40 3" xfId="29191"/>
    <cellStyle name="Обычный 8 3 6 41" xfId="29192"/>
    <cellStyle name="Обычный 8 3 6 41 2" xfId="29193"/>
    <cellStyle name="Обычный 8 3 6 41 3" xfId="29194"/>
    <cellStyle name="Обычный 8 3 6 42" xfId="29195"/>
    <cellStyle name="Обычный 8 3 6 42 2" xfId="29196"/>
    <cellStyle name="Обычный 8 3 6 42 3" xfId="29197"/>
    <cellStyle name="Обычный 8 3 6 43" xfId="29198"/>
    <cellStyle name="Обычный 8 3 6 43 2" xfId="29199"/>
    <cellStyle name="Обычный 8 3 6 43 3" xfId="29200"/>
    <cellStyle name="Обычный 8 3 6 44" xfId="29201"/>
    <cellStyle name="Обычный 8 3 6 44 2" xfId="29202"/>
    <cellStyle name="Обычный 8 3 6 44 3" xfId="29203"/>
    <cellStyle name="Обычный 8 3 6 45" xfId="29204"/>
    <cellStyle name="Обычный 8 3 6 45 2" xfId="29205"/>
    <cellStyle name="Обычный 8 3 6 45 3" xfId="29206"/>
    <cellStyle name="Обычный 8 3 6 46" xfId="29207"/>
    <cellStyle name="Обычный 8 3 6 46 2" xfId="29208"/>
    <cellStyle name="Обычный 8 3 6 46 3" xfId="29209"/>
    <cellStyle name="Обычный 8 3 6 47" xfId="29210"/>
    <cellStyle name="Обычный 8 3 6 47 2" xfId="29211"/>
    <cellStyle name="Обычный 8 3 6 47 3" xfId="29212"/>
    <cellStyle name="Обычный 8 3 6 48" xfId="29213"/>
    <cellStyle name="Обычный 8 3 6 48 2" xfId="29214"/>
    <cellStyle name="Обычный 8 3 6 48 3" xfId="29215"/>
    <cellStyle name="Обычный 8 3 6 49" xfId="29216"/>
    <cellStyle name="Обычный 8 3 6 49 2" xfId="29217"/>
    <cellStyle name="Обычный 8 3 6 49 3" xfId="29218"/>
    <cellStyle name="Обычный 8 3 6 5" xfId="29219"/>
    <cellStyle name="Обычный 8 3 6 5 2" xfId="29220"/>
    <cellStyle name="Обычный 8 3 6 5 3" xfId="29221"/>
    <cellStyle name="Обычный 8 3 6 50" xfId="29222"/>
    <cellStyle name="Обычный 8 3 6 50 2" xfId="29223"/>
    <cellStyle name="Обычный 8 3 6 50 3" xfId="29224"/>
    <cellStyle name="Обычный 8 3 6 51" xfId="29225"/>
    <cellStyle name="Обычный 8 3 6 51 2" xfId="29226"/>
    <cellStyle name="Обычный 8 3 6 51 3" xfId="29227"/>
    <cellStyle name="Обычный 8 3 6 52" xfId="29228"/>
    <cellStyle name="Обычный 8 3 6 52 2" xfId="29229"/>
    <cellStyle name="Обычный 8 3 6 52 3" xfId="29230"/>
    <cellStyle name="Обычный 8 3 6 53" xfId="29231"/>
    <cellStyle name="Обычный 8 3 6 53 2" xfId="29232"/>
    <cellStyle name="Обычный 8 3 6 53 3" xfId="29233"/>
    <cellStyle name="Обычный 8 3 6 54" xfId="29234"/>
    <cellStyle name="Обычный 8 3 6 54 2" xfId="29235"/>
    <cellStyle name="Обычный 8 3 6 54 3" xfId="29236"/>
    <cellStyle name="Обычный 8 3 6 55" xfId="29237"/>
    <cellStyle name="Обычный 8 3 6 55 2" xfId="29238"/>
    <cellStyle name="Обычный 8 3 6 55 3" xfId="29239"/>
    <cellStyle name="Обычный 8 3 6 56" xfId="29240"/>
    <cellStyle name="Обычный 8 3 6 56 2" xfId="29241"/>
    <cellStyle name="Обычный 8 3 6 56 3" xfId="29242"/>
    <cellStyle name="Обычный 8 3 6 57" xfId="29243"/>
    <cellStyle name="Обычный 8 3 6 57 2" xfId="29244"/>
    <cellStyle name="Обычный 8 3 6 57 3" xfId="29245"/>
    <cellStyle name="Обычный 8 3 6 58" xfId="29246"/>
    <cellStyle name="Обычный 8 3 6 58 2" xfId="29247"/>
    <cellStyle name="Обычный 8 3 6 58 3" xfId="29248"/>
    <cellStyle name="Обычный 8 3 6 59" xfId="29249"/>
    <cellStyle name="Обычный 8 3 6 59 2" xfId="29250"/>
    <cellStyle name="Обычный 8 3 6 59 3" xfId="29251"/>
    <cellStyle name="Обычный 8 3 6 6" xfId="29252"/>
    <cellStyle name="Обычный 8 3 6 6 2" xfId="29253"/>
    <cellStyle name="Обычный 8 3 6 6 3" xfId="29254"/>
    <cellStyle name="Обычный 8 3 6 60" xfId="29255"/>
    <cellStyle name="Обычный 8 3 6 60 2" xfId="29256"/>
    <cellStyle name="Обычный 8 3 6 60 3" xfId="29257"/>
    <cellStyle name="Обычный 8 3 6 61" xfId="29258"/>
    <cellStyle name="Обычный 8 3 6 61 2" xfId="29259"/>
    <cellStyle name="Обычный 8 3 6 61 3" xfId="29260"/>
    <cellStyle name="Обычный 8 3 6 62" xfId="29261"/>
    <cellStyle name="Обычный 8 3 6 62 2" xfId="29262"/>
    <cellStyle name="Обычный 8 3 6 62 3" xfId="29263"/>
    <cellStyle name="Обычный 8 3 6 63" xfId="29264"/>
    <cellStyle name="Обычный 8 3 6 63 2" xfId="29265"/>
    <cellStyle name="Обычный 8 3 6 63 3" xfId="29266"/>
    <cellStyle name="Обычный 8 3 6 64" xfId="29267"/>
    <cellStyle name="Обычный 8 3 6 65" xfId="29268"/>
    <cellStyle name="Обычный 8 3 6 7" xfId="29269"/>
    <cellStyle name="Обычный 8 3 6 7 2" xfId="29270"/>
    <cellStyle name="Обычный 8 3 6 7 3" xfId="29271"/>
    <cellStyle name="Обычный 8 3 6 8" xfId="29272"/>
    <cellStyle name="Обычный 8 3 6 8 2" xfId="29273"/>
    <cellStyle name="Обычный 8 3 6 8 3" xfId="29274"/>
    <cellStyle name="Обычный 8 3 6 9" xfId="29275"/>
    <cellStyle name="Обычный 8 3 6 9 2" xfId="29276"/>
    <cellStyle name="Обычный 8 3 6 9 3" xfId="29277"/>
    <cellStyle name="Обычный 8 3 60" xfId="29278"/>
    <cellStyle name="Обычный 8 3 60 2" xfId="29279"/>
    <cellStyle name="Обычный 8 3 60 3" xfId="29280"/>
    <cellStyle name="Обычный 8 3 61" xfId="29281"/>
    <cellStyle name="Обычный 8 3 61 2" xfId="29282"/>
    <cellStyle name="Обычный 8 3 61 3" xfId="29283"/>
    <cellStyle name="Обычный 8 3 62" xfId="29284"/>
    <cellStyle name="Обычный 8 3 62 2" xfId="29285"/>
    <cellStyle name="Обычный 8 3 62 3" xfId="29286"/>
    <cellStyle name="Обычный 8 3 63" xfId="29287"/>
    <cellStyle name="Обычный 8 3 63 2" xfId="29288"/>
    <cellStyle name="Обычный 8 3 63 3" xfId="29289"/>
    <cellStyle name="Обычный 8 3 64" xfId="29290"/>
    <cellStyle name="Обычный 8 3 64 2" xfId="29291"/>
    <cellStyle name="Обычный 8 3 64 3" xfId="29292"/>
    <cellStyle name="Обычный 8 3 65" xfId="29293"/>
    <cellStyle name="Обычный 8 3 65 2" xfId="29294"/>
    <cellStyle name="Обычный 8 3 65 3" xfId="29295"/>
    <cellStyle name="Обычный 8 3 66" xfId="29296"/>
    <cellStyle name="Обычный 8 3 66 2" xfId="29297"/>
    <cellStyle name="Обычный 8 3 66 3" xfId="29298"/>
    <cellStyle name="Обычный 8 3 67" xfId="29299"/>
    <cellStyle name="Обычный 8 3 67 2" xfId="29300"/>
    <cellStyle name="Обычный 8 3 67 3" xfId="29301"/>
    <cellStyle name="Обычный 8 3 68" xfId="29302"/>
    <cellStyle name="Обычный 8 3 68 2" xfId="29303"/>
    <cellStyle name="Обычный 8 3 68 3" xfId="29304"/>
    <cellStyle name="Обычный 8 3 69" xfId="29305"/>
    <cellStyle name="Обычный 8 3 69 2" xfId="29306"/>
    <cellStyle name="Обычный 8 3 69 3" xfId="29307"/>
    <cellStyle name="Обычный 8 3 7" xfId="29308"/>
    <cellStyle name="Обычный 8 3 7 10" xfId="29309"/>
    <cellStyle name="Обычный 8 3 7 10 2" xfId="29310"/>
    <cellStyle name="Обычный 8 3 7 10 3" xfId="29311"/>
    <cellStyle name="Обычный 8 3 7 11" xfId="29312"/>
    <cellStyle name="Обычный 8 3 7 11 2" xfId="29313"/>
    <cellStyle name="Обычный 8 3 7 11 3" xfId="29314"/>
    <cellStyle name="Обычный 8 3 7 12" xfId="29315"/>
    <cellStyle name="Обычный 8 3 7 12 2" xfId="29316"/>
    <cellStyle name="Обычный 8 3 7 12 3" xfId="29317"/>
    <cellStyle name="Обычный 8 3 7 13" xfId="29318"/>
    <cellStyle name="Обычный 8 3 7 13 2" xfId="29319"/>
    <cellStyle name="Обычный 8 3 7 13 3" xfId="29320"/>
    <cellStyle name="Обычный 8 3 7 14" xfId="29321"/>
    <cellStyle name="Обычный 8 3 7 14 2" xfId="29322"/>
    <cellStyle name="Обычный 8 3 7 14 3" xfId="29323"/>
    <cellStyle name="Обычный 8 3 7 15" xfId="29324"/>
    <cellStyle name="Обычный 8 3 7 15 2" xfId="29325"/>
    <cellStyle name="Обычный 8 3 7 15 3" xfId="29326"/>
    <cellStyle name="Обычный 8 3 7 16" xfId="29327"/>
    <cellStyle name="Обычный 8 3 7 16 2" xfId="29328"/>
    <cellStyle name="Обычный 8 3 7 16 3" xfId="29329"/>
    <cellStyle name="Обычный 8 3 7 17" xfId="29330"/>
    <cellStyle name="Обычный 8 3 7 17 2" xfId="29331"/>
    <cellStyle name="Обычный 8 3 7 17 3" xfId="29332"/>
    <cellStyle name="Обычный 8 3 7 18" xfId="29333"/>
    <cellStyle name="Обычный 8 3 7 18 2" xfId="29334"/>
    <cellStyle name="Обычный 8 3 7 18 3" xfId="29335"/>
    <cellStyle name="Обычный 8 3 7 19" xfId="29336"/>
    <cellStyle name="Обычный 8 3 7 19 2" xfId="29337"/>
    <cellStyle name="Обычный 8 3 7 19 3" xfId="29338"/>
    <cellStyle name="Обычный 8 3 7 2" xfId="29339"/>
    <cellStyle name="Обычный 8 3 7 2 2" xfId="29340"/>
    <cellStyle name="Обычный 8 3 7 2 3" xfId="29341"/>
    <cellStyle name="Обычный 8 3 7 20" xfId="29342"/>
    <cellStyle name="Обычный 8 3 7 20 2" xfId="29343"/>
    <cellStyle name="Обычный 8 3 7 20 3" xfId="29344"/>
    <cellStyle name="Обычный 8 3 7 21" xfId="29345"/>
    <cellStyle name="Обычный 8 3 7 21 2" xfId="29346"/>
    <cellStyle name="Обычный 8 3 7 21 3" xfId="29347"/>
    <cellStyle name="Обычный 8 3 7 22" xfId="29348"/>
    <cellStyle name="Обычный 8 3 7 22 2" xfId="29349"/>
    <cellStyle name="Обычный 8 3 7 22 3" xfId="29350"/>
    <cellStyle name="Обычный 8 3 7 23" xfId="29351"/>
    <cellStyle name="Обычный 8 3 7 23 2" xfId="29352"/>
    <cellStyle name="Обычный 8 3 7 23 3" xfId="29353"/>
    <cellStyle name="Обычный 8 3 7 24" xfId="29354"/>
    <cellStyle name="Обычный 8 3 7 24 2" xfId="29355"/>
    <cellStyle name="Обычный 8 3 7 24 3" xfId="29356"/>
    <cellStyle name="Обычный 8 3 7 25" xfId="29357"/>
    <cellStyle name="Обычный 8 3 7 25 2" xfId="29358"/>
    <cellStyle name="Обычный 8 3 7 25 3" xfId="29359"/>
    <cellStyle name="Обычный 8 3 7 26" xfId="29360"/>
    <cellStyle name="Обычный 8 3 7 26 2" xfId="29361"/>
    <cellStyle name="Обычный 8 3 7 26 3" xfId="29362"/>
    <cellStyle name="Обычный 8 3 7 27" xfId="29363"/>
    <cellStyle name="Обычный 8 3 7 27 2" xfId="29364"/>
    <cellStyle name="Обычный 8 3 7 27 3" xfId="29365"/>
    <cellStyle name="Обычный 8 3 7 28" xfId="29366"/>
    <cellStyle name="Обычный 8 3 7 28 2" xfId="29367"/>
    <cellStyle name="Обычный 8 3 7 28 3" xfId="29368"/>
    <cellStyle name="Обычный 8 3 7 29" xfId="29369"/>
    <cellStyle name="Обычный 8 3 7 29 2" xfId="29370"/>
    <cellStyle name="Обычный 8 3 7 29 3" xfId="29371"/>
    <cellStyle name="Обычный 8 3 7 3" xfId="29372"/>
    <cellStyle name="Обычный 8 3 7 3 2" xfId="29373"/>
    <cellStyle name="Обычный 8 3 7 3 3" xfId="29374"/>
    <cellStyle name="Обычный 8 3 7 30" xfId="29375"/>
    <cellStyle name="Обычный 8 3 7 30 2" xfId="29376"/>
    <cellStyle name="Обычный 8 3 7 30 3" xfId="29377"/>
    <cellStyle name="Обычный 8 3 7 31" xfId="29378"/>
    <cellStyle name="Обычный 8 3 7 31 2" xfId="29379"/>
    <cellStyle name="Обычный 8 3 7 31 3" xfId="29380"/>
    <cellStyle name="Обычный 8 3 7 32" xfId="29381"/>
    <cellStyle name="Обычный 8 3 7 32 2" xfId="29382"/>
    <cellStyle name="Обычный 8 3 7 32 3" xfId="29383"/>
    <cellStyle name="Обычный 8 3 7 33" xfId="29384"/>
    <cellStyle name="Обычный 8 3 7 33 2" xfId="29385"/>
    <cellStyle name="Обычный 8 3 7 33 3" xfId="29386"/>
    <cellStyle name="Обычный 8 3 7 34" xfId="29387"/>
    <cellStyle name="Обычный 8 3 7 34 2" xfId="29388"/>
    <cellStyle name="Обычный 8 3 7 34 3" xfId="29389"/>
    <cellStyle name="Обычный 8 3 7 35" xfId="29390"/>
    <cellStyle name="Обычный 8 3 7 35 2" xfId="29391"/>
    <cellStyle name="Обычный 8 3 7 35 3" xfId="29392"/>
    <cellStyle name="Обычный 8 3 7 36" xfId="29393"/>
    <cellStyle name="Обычный 8 3 7 36 2" xfId="29394"/>
    <cellStyle name="Обычный 8 3 7 36 3" xfId="29395"/>
    <cellStyle name="Обычный 8 3 7 37" xfId="29396"/>
    <cellStyle name="Обычный 8 3 7 37 2" xfId="29397"/>
    <cellStyle name="Обычный 8 3 7 37 3" xfId="29398"/>
    <cellStyle name="Обычный 8 3 7 38" xfId="29399"/>
    <cellStyle name="Обычный 8 3 7 38 2" xfId="29400"/>
    <cellStyle name="Обычный 8 3 7 38 3" xfId="29401"/>
    <cellStyle name="Обычный 8 3 7 39" xfId="29402"/>
    <cellStyle name="Обычный 8 3 7 39 2" xfId="29403"/>
    <cellStyle name="Обычный 8 3 7 39 3" xfId="29404"/>
    <cellStyle name="Обычный 8 3 7 4" xfId="29405"/>
    <cellStyle name="Обычный 8 3 7 4 2" xfId="29406"/>
    <cellStyle name="Обычный 8 3 7 4 3" xfId="29407"/>
    <cellStyle name="Обычный 8 3 7 40" xfId="29408"/>
    <cellStyle name="Обычный 8 3 7 40 2" xfId="29409"/>
    <cellStyle name="Обычный 8 3 7 40 3" xfId="29410"/>
    <cellStyle name="Обычный 8 3 7 41" xfId="29411"/>
    <cellStyle name="Обычный 8 3 7 41 2" xfId="29412"/>
    <cellStyle name="Обычный 8 3 7 41 3" xfId="29413"/>
    <cellStyle name="Обычный 8 3 7 42" xfId="29414"/>
    <cellStyle name="Обычный 8 3 7 42 2" xfId="29415"/>
    <cellStyle name="Обычный 8 3 7 42 3" xfId="29416"/>
    <cellStyle name="Обычный 8 3 7 43" xfId="29417"/>
    <cellStyle name="Обычный 8 3 7 43 2" xfId="29418"/>
    <cellStyle name="Обычный 8 3 7 43 3" xfId="29419"/>
    <cellStyle name="Обычный 8 3 7 44" xfId="29420"/>
    <cellStyle name="Обычный 8 3 7 44 2" xfId="29421"/>
    <cellStyle name="Обычный 8 3 7 44 3" xfId="29422"/>
    <cellStyle name="Обычный 8 3 7 45" xfId="29423"/>
    <cellStyle name="Обычный 8 3 7 45 2" xfId="29424"/>
    <cellStyle name="Обычный 8 3 7 45 3" xfId="29425"/>
    <cellStyle name="Обычный 8 3 7 46" xfId="29426"/>
    <cellStyle name="Обычный 8 3 7 46 2" xfId="29427"/>
    <cellStyle name="Обычный 8 3 7 46 3" xfId="29428"/>
    <cellStyle name="Обычный 8 3 7 47" xfId="29429"/>
    <cellStyle name="Обычный 8 3 7 47 2" xfId="29430"/>
    <cellStyle name="Обычный 8 3 7 47 3" xfId="29431"/>
    <cellStyle name="Обычный 8 3 7 48" xfId="29432"/>
    <cellStyle name="Обычный 8 3 7 48 2" xfId="29433"/>
    <cellStyle name="Обычный 8 3 7 48 3" xfId="29434"/>
    <cellStyle name="Обычный 8 3 7 49" xfId="29435"/>
    <cellStyle name="Обычный 8 3 7 49 2" xfId="29436"/>
    <cellStyle name="Обычный 8 3 7 49 3" xfId="29437"/>
    <cellStyle name="Обычный 8 3 7 5" xfId="29438"/>
    <cellStyle name="Обычный 8 3 7 5 2" xfId="29439"/>
    <cellStyle name="Обычный 8 3 7 5 3" xfId="29440"/>
    <cellStyle name="Обычный 8 3 7 50" xfId="29441"/>
    <cellStyle name="Обычный 8 3 7 50 2" xfId="29442"/>
    <cellStyle name="Обычный 8 3 7 50 3" xfId="29443"/>
    <cellStyle name="Обычный 8 3 7 51" xfId="29444"/>
    <cellStyle name="Обычный 8 3 7 51 2" xfId="29445"/>
    <cellStyle name="Обычный 8 3 7 51 3" xfId="29446"/>
    <cellStyle name="Обычный 8 3 7 52" xfId="29447"/>
    <cellStyle name="Обычный 8 3 7 52 2" xfId="29448"/>
    <cellStyle name="Обычный 8 3 7 52 3" xfId="29449"/>
    <cellStyle name="Обычный 8 3 7 53" xfId="29450"/>
    <cellStyle name="Обычный 8 3 7 53 2" xfId="29451"/>
    <cellStyle name="Обычный 8 3 7 53 3" xfId="29452"/>
    <cellStyle name="Обычный 8 3 7 54" xfId="29453"/>
    <cellStyle name="Обычный 8 3 7 54 2" xfId="29454"/>
    <cellStyle name="Обычный 8 3 7 54 3" xfId="29455"/>
    <cellStyle name="Обычный 8 3 7 55" xfId="29456"/>
    <cellStyle name="Обычный 8 3 7 55 2" xfId="29457"/>
    <cellStyle name="Обычный 8 3 7 55 3" xfId="29458"/>
    <cellStyle name="Обычный 8 3 7 56" xfId="29459"/>
    <cellStyle name="Обычный 8 3 7 56 2" xfId="29460"/>
    <cellStyle name="Обычный 8 3 7 56 3" xfId="29461"/>
    <cellStyle name="Обычный 8 3 7 57" xfId="29462"/>
    <cellStyle name="Обычный 8 3 7 57 2" xfId="29463"/>
    <cellStyle name="Обычный 8 3 7 57 3" xfId="29464"/>
    <cellStyle name="Обычный 8 3 7 58" xfId="29465"/>
    <cellStyle name="Обычный 8 3 7 58 2" xfId="29466"/>
    <cellStyle name="Обычный 8 3 7 58 3" xfId="29467"/>
    <cellStyle name="Обычный 8 3 7 59" xfId="29468"/>
    <cellStyle name="Обычный 8 3 7 59 2" xfId="29469"/>
    <cellStyle name="Обычный 8 3 7 59 3" xfId="29470"/>
    <cellStyle name="Обычный 8 3 7 6" xfId="29471"/>
    <cellStyle name="Обычный 8 3 7 6 2" xfId="29472"/>
    <cellStyle name="Обычный 8 3 7 6 3" xfId="29473"/>
    <cellStyle name="Обычный 8 3 7 60" xfId="29474"/>
    <cellStyle name="Обычный 8 3 7 60 2" xfId="29475"/>
    <cellStyle name="Обычный 8 3 7 60 3" xfId="29476"/>
    <cellStyle name="Обычный 8 3 7 61" xfId="29477"/>
    <cellStyle name="Обычный 8 3 7 61 2" xfId="29478"/>
    <cellStyle name="Обычный 8 3 7 61 3" xfId="29479"/>
    <cellStyle name="Обычный 8 3 7 62" xfId="29480"/>
    <cellStyle name="Обычный 8 3 7 62 2" xfId="29481"/>
    <cellStyle name="Обычный 8 3 7 62 3" xfId="29482"/>
    <cellStyle name="Обычный 8 3 7 63" xfId="29483"/>
    <cellStyle name="Обычный 8 3 7 63 2" xfId="29484"/>
    <cellStyle name="Обычный 8 3 7 63 3" xfId="29485"/>
    <cellStyle name="Обычный 8 3 7 64" xfId="29486"/>
    <cellStyle name="Обычный 8 3 7 65" xfId="29487"/>
    <cellStyle name="Обычный 8 3 7 7" xfId="29488"/>
    <cellStyle name="Обычный 8 3 7 7 2" xfId="29489"/>
    <cellStyle name="Обычный 8 3 7 7 3" xfId="29490"/>
    <cellStyle name="Обычный 8 3 7 8" xfId="29491"/>
    <cellStyle name="Обычный 8 3 7 8 2" xfId="29492"/>
    <cellStyle name="Обычный 8 3 7 8 3" xfId="29493"/>
    <cellStyle name="Обычный 8 3 7 9" xfId="29494"/>
    <cellStyle name="Обычный 8 3 7 9 2" xfId="29495"/>
    <cellStyle name="Обычный 8 3 7 9 3" xfId="29496"/>
    <cellStyle name="Обычный 8 3 70" xfId="29497"/>
    <cellStyle name="Обычный 8 3 70 2" xfId="29498"/>
    <cellStyle name="Обычный 8 3 70 3" xfId="29499"/>
    <cellStyle name="Обычный 8 3 71" xfId="29500"/>
    <cellStyle name="Обычный 8 3 72" xfId="29501"/>
    <cellStyle name="Обычный 8 3 8" xfId="29502"/>
    <cellStyle name="Обычный 8 3 8 10" xfId="29503"/>
    <cellStyle name="Обычный 8 3 8 10 2" xfId="29504"/>
    <cellStyle name="Обычный 8 3 8 10 3" xfId="29505"/>
    <cellStyle name="Обычный 8 3 8 11" xfId="29506"/>
    <cellStyle name="Обычный 8 3 8 11 2" xfId="29507"/>
    <cellStyle name="Обычный 8 3 8 11 3" xfId="29508"/>
    <cellStyle name="Обычный 8 3 8 12" xfId="29509"/>
    <cellStyle name="Обычный 8 3 8 12 2" xfId="29510"/>
    <cellStyle name="Обычный 8 3 8 12 3" xfId="29511"/>
    <cellStyle name="Обычный 8 3 8 13" xfId="29512"/>
    <cellStyle name="Обычный 8 3 8 13 2" xfId="29513"/>
    <cellStyle name="Обычный 8 3 8 13 3" xfId="29514"/>
    <cellStyle name="Обычный 8 3 8 14" xfId="29515"/>
    <cellStyle name="Обычный 8 3 8 14 2" xfId="29516"/>
    <cellStyle name="Обычный 8 3 8 14 3" xfId="29517"/>
    <cellStyle name="Обычный 8 3 8 15" xfId="29518"/>
    <cellStyle name="Обычный 8 3 8 15 2" xfId="29519"/>
    <cellStyle name="Обычный 8 3 8 15 3" xfId="29520"/>
    <cellStyle name="Обычный 8 3 8 16" xfId="29521"/>
    <cellStyle name="Обычный 8 3 8 16 2" xfId="29522"/>
    <cellStyle name="Обычный 8 3 8 16 3" xfId="29523"/>
    <cellStyle name="Обычный 8 3 8 17" xfId="29524"/>
    <cellStyle name="Обычный 8 3 8 17 2" xfId="29525"/>
    <cellStyle name="Обычный 8 3 8 17 3" xfId="29526"/>
    <cellStyle name="Обычный 8 3 8 18" xfId="29527"/>
    <cellStyle name="Обычный 8 3 8 18 2" xfId="29528"/>
    <cellStyle name="Обычный 8 3 8 18 3" xfId="29529"/>
    <cellStyle name="Обычный 8 3 8 19" xfId="29530"/>
    <cellStyle name="Обычный 8 3 8 19 2" xfId="29531"/>
    <cellStyle name="Обычный 8 3 8 19 3" xfId="29532"/>
    <cellStyle name="Обычный 8 3 8 2" xfId="29533"/>
    <cellStyle name="Обычный 8 3 8 2 2" xfId="29534"/>
    <cellStyle name="Обычный 8 3 8 2 3" xfId="29535"/>
    <cellStyle name="Обычный 8 3 8 20" xfId="29536"/>
    <cellStyle name="Обычный 8 3 8 20 2" xfId="29537"/>
    <cellStyle name="Обычный 8 3 8 20 3" xfId="29538"/>
    <cellStyle name="Обычный 8 3 8 21" xfId="29539"/>
    <cellStyle name="Обычный 8 3 8 21 2" xfId="29540"/>
    <cellStyle name="Обычный 8 3 8 21 3" xfId="29541"/>
    <cellStyle name="Обычный 8 3 8 22" xfId="29542"/>
    <cellStyle name="Обычный 8 3 8 22 2" xfId="29543"/>
    <cellStyle name="Обычный 8 3 8 22 3" xfId="29544"/>
    <cellStyle name="Обычный 8 3 8 23" xfId="29545"/>
    <cellStyle name="Обычный 8 3 8 23 2" xfId="29546"/>
    <cellStyle name="Обычный 8 3 8 23 3" xfId="29547"/>
    <cellStyle name="Обычный 8 3 8 24" xfId="29548"/>
    <cellStyle name="Обычный 8 3 8 24 2" xfId="29549"/>
    <cellStyle name="Обычный 8 3 8 24 3" xfId="29550"/>
    <cellStyle name="Обычный 8 3 8 25" xfId="29551"/>
    <cellStyle name="Обычный 8 3 8 25 2" xfId="29552"/>
    <cellStyle name="Обычный 8 3 8 25 3" xfId="29553"/>
    <cellStyle name="Обычный 8 3 8 26" xfId="29554"/>
    <cellStyle name="Обычный 8 3 8 26 2" xfId="29555"/>
    <cellStyle name="Обычный 8 3 8 26 3" xfId="29556"/>
    <cellStyle name="Обычный 8 3 8 27" xfId="29557"/>
    <cellStyle name="Обычный 8 3 8 27 2" xfId="29558"/>
    <cellStyle name="Обычный 8 3 8 27 3" xfId="29559"/>
    <cellStyle name="Обычный 8 3 8 28" xfId="29560"/>
    <cellStyle name="Обычный 8 3 8 28 2" xfId="29561"/>
    <cellStyle name="Обычный 8 3 8 28 3" xfId="29562"/>
    <cellStyle name="Обычный 8 3 8 29" xfId="29563"/>
    <cellStyle name="Обычный 8 3 8 29 2" xfId="29564"/>
    <cellStyle name="Обычный 8 3 8 29 3" xfId="29565"/>
    <cellStyle name="Обычный 8 3 8 3" xfId="29566"/>
    <cellStyle name="Обычный 8 3 8 3 2" xfId="29567"/>
    <cellStyle name="Обычный 8 3 8 3 3" xfId="29568"/>
    <cellStyle name="Обычный 8 3 8 30" xfId="29569"/>
    <cellStyle name="Обычный 8 3 8 30 2" xfId="29570"/>
    <cellStyle name="Обычный 8 3 8 30 3" xfId="29571"/>
    <cellStyle name="Обычный 8 3 8 31" xfId="29572"/>
    <cellStyle name="Обычный 8 3 8 31 2" xfId="29573"/>
    <cellStyle name="Обычный 8 3 8 31 3" xfId="29574"/>
    <cellStyle name="Обычный 8 3 8 32" xfId="29575"/>
    <cellStyle name="Обычный 8 3 8 32 2" xfId="29576"/>
    <cellStyle name="Обычный 8 3 8 32 3" xfId="29577"/>
    <cellStyle name="Обычный 8 3 8 33" xfId="29578"/>
    <cellStyle name="Обычный 8 3 8 33 2" xfId="29579"/>
    <cellStyle name="Обычный 8 3 8 33 3" xfId="29580"/>
    <cellStyle name="Обычный 8 3 8 34" xfId="29581"/>
    <cellStyle name="Обычный 8 3 8 34 2" xfId="29582"/>
    <cellStyle name="Обычный 8 3 8 34 3" xfId="29583"/>
    <cellStyle name="Обычный 8 3 8 35" xfId="29584"/>
    <cellStyle name="Обычный 8 3 8 35 2" xfId="29585"/>
    <cellStyle name="Обычный 8 3 8 35 3" xfId="29586"/>
    <cellStyle name="Обычный 8 3 8 36" xfId="29587"/>
    <cellStyle name="Обычный 8 3 8 36 2" xfId="29588"/>
    <cellStyle name="Обычный 8 3 8 36 3" xfId="29589"/>
    <cellStyle name="Обычный 8 3 8 37" xfId="29590"/>
    <cellStyle name="Обычный 8 3 8 37 2" xfId="29591"/>
    <cellStyle name="Обычный 8 3 8 37 3" xfId="29592"/>
    <cellStyle name="Обычный 8 3 8 38" xfId="29593"/>
    <cellStyle name="Обычный 8 3 8 38 2" xfId="29594"/>
    <cellStyle name="Обычный 8 3 8 38 3" xfId="29595"/>
    <cellStyle name="Обычный 8 3 8 39" xfId="29596"/>
    <cellStyle name="Обычный 8 3 8 39 2" xfId="29597"/>
    <cellStyle name="Обычный 8 3 8 39 3" xfId="29598"/>
    <cellStyle name="Обычный 8 3 8 4" xfId="29599"/>
    <cellStyle name="Обычный 8 3 8 4 2" xfId="29600"/>
    <cellStyle name="Обычный 8 3 8 4 3" xfId="29601"/>
    <cellStyle name="Обычный 8 3 8 40" xfId="29602"/>
    <cellStyle name="Обычный 8 3 8 40 2" xfId="29603"/>
    <cellStyle name="Обычный 8 3 8 40 3" xfId="29604"/>
    <cellStyle name="Обычный 8 3 8 41" xfId="29605"/>
    <cellStyle name="Обычный 8 3 8 41 2" xfId="29606"/>
    <cellStyle name="Обычный 8 3 8 41 3" xfId="29607"/>
    <cellStyle name="Обычный 8 3 8 42" xfId="29608"/>
    <cellStyle name="Обычный 8 3 8 42 2" xfId="29609"/>
    <cellStyle name="Обычный 8 3 8 42 3" xfId="29610"/>
    <cellStyle name="Обычный 8 3 8 43" xfId="29611"/>
    <cellStyle name="Обычный 8 3 8 43 2" xfId="29612"/>
    <cellStyle name="Обычный 8 3 8 43 3" xfId="29613"/>
    <cellStyle name="Обычный 8 3 8 44" xfId="29614"/>
    <cellStyle name="Обычный 8 3 8 44 2" xfId="29615"/>
    <cellStyle name="Обычный 8 3 8 44 3" xfId="29616"/>
    <cellStyle name="Обычный 8 3 8 45" xfId="29617"/>
    <cellStyle name="Обычный 8 3 8 45 2" xfId="29618"/>
    <cellStyle name="Обычный 8 3 8 45 3" xfId="29619"/>
    <cellStyle name="Обычный 8 3 8 46" xfId="29620"/>
    <cellStyle name="Обычный 8 3 8 46 2" xfId="29621"/>
    <cellStyle name="Обычный 8 3 8 46 3" xfId="29622"/>
    <cellStyle name="Обычный 8 3 8 47" xfId="29623"/>
    <cellStyle name="Обычный 8 3 8 47 2" xfId="29624"/>
    <cellStyle name="Обычный 8 3 8 47 3" xfId="29625"/>
    <cellStyle name="Обычный 8 3 8 48" xfId="29626"/>
    <cellStyle name="Обычный 8 3 8 48 2" xfId="29627"/>
    <cellStyle name="Обычный 8 3 8 48 3" xfId="29628"/>
    <cellStyle name="Обычный 8 3 8 49" xfId="29629"/>
    <cellStyle name="Обычный 8 3 8 49 2" xfId="29630"/>
    <cellStyle name="Обычный 8 3 8 49 3" xfId="29631"/>
    <cellStyle name="Обычный 8 3 8 5" xfId="29632"/>
    <cellStyle name="Обычный 8 3 8 5 2" xfId="29633"/>
    <cellStyle name="Обычный 8 3 8 5 3" xfId="29634"/>
    <cellStyle name="Обычный 8 3 8 50" xfId="29635"/>
    <cellStyle name="Обычный 8 3 8 50 2" xfId="29636"/>
    <cellStyle name="Обычный 8 3 8 50 3" xfId="29637"/>
    <cellStyle name="Обычный 8 3 8 51" xfId="29638"/>
    <cellStyle name="Обычный 8 3 8 51 2" xfId="29639"/>
    <cellStyle name="Обычный 8 3 8 51 3" xfId="29640"/>
    <cellStyle name="Обычный 8 3 8 52" xfId="29641"/>
    <cellStyle name="Обычный 8 3 8 52 2" xfId="29642"/>
    <cellStyle name="Обычный 8 3 8 52 3" xfId="29643"/>
    <cellStyle name="Обычный 8 3 8 53" xfId="29644"/>
    <cellStyle name="Обычный 8 3 8 53 2" xfId="29645"/>
    <cellStyle name="Обычный 8 3 8 53 3" xfId="29646"/>
    <cellStyle name="Обычный 8 3 8 54" xfId="29647"/>
    <cellStyle name="Обычный 8 3 8 54 2" xfId="29648"/>
    <cellStyle name="Обычный 8 3 8 54 3" xfId="29649"/>
    <cellStyle name="Обычный 8 3 8 55" xfId="29650"/>
    <cellStyle name="Обычный 8 3 8 55 2" xfId="29651"/>
    <cellStyle name="Обычный 8 3 8 55 3" xfId="29652"/>
    <cellStyle name="Обычный 8 3 8 56" xfId="29653"/>
    <cellStyle name="Обычный 8 3 8 56 2" xfId="29654"/>
    <cellStyle name="Обычный 8 3 8 56 3" xfId="29655"/>
    <cellStyle name="Обычный 8 3 8 57" xfId="29656"/>
    <cellStyle name="Обычный 8 3 8 57 2" xfId="29657"/>
    <cellStyle name="Обычный 8 3 8 57 3" xfId="29658"/>
    <cellStyle name="Обычный 8 3 8 58" xfId="29659"/>
    <cellStyle name="Обычный 8 3 8 58 2" xfId="29660"/>
    <cellStyle name="Обычный 8 3 8 58 3" xfId="29661"/>
    <cellStyle name="Обычный 8 3 8 59" xfId="29662"/>
    <cellStyle name="Обычный 8 3 8 59 2" xfId="29663"/>
    <cellStyle name="Обычный 8 3 8 59 3" xfId="29664"/>
    <cellStyle name="Обычный 8 3 8 6" xfId="29665"/>
    <cellStyle name="Обычный 8 3 8 6 2" xfId="29666"/>
    <cellStyle name="Обычный 8 3 8 6 3" xfId="29667"/>
    <cellStyle name="Обычный 8 3 8 60" xfId="29668"/>
    <cellStyle name="Обычный 8 3 8 60 2" xfId="29669"/>
    <cellStyle name="Обычный 8 3 8 60 3" xfId="29670"/>
    <cellStyle name="Обычный 8 3 8 61" xfId="29671"/>
    <cellStyle name="Обычный 8 3 8 61 2" xfId="29672"/>
    <cellStyle name="Обычный 8 3 8 61 3" xfId="29673"/>
    <cellStyle name="Обычный 8 3 8 62" xfId="29674"/>
    <cellStyle name="Обычный 8 3 8 62 2" xfId="29675"/>
    <cellStyle name="Обычный 8 3 8 62 3" xfId="29676"/>
    <cellStyle name="Обычный 8 3 8 63" xfId="29677"/>
    <cellStyle name="Обычный 8 3 8 63 2" xfId="29678"/>
    <cellStyle name="Обычный 8 3 8 63 3" xfId="29679"/>
    <cellStyle name="Обычный 8 3 8 64" xfId="29680"/>
    <cellStyle name="Обычный 8 3 8 65" xfId="29681"/>
    <cellStyle name="Обычный 8 3 8 7" xfId="29682"/>
    <cellStyle name="Обычный 8 3 8 7 2" xfId="29683"/>
    <cellStyle name="Обычный 8 3 8 7 3" xfId="29684"/>
    <cellStyle name="Обычный 8 3 8 8" xfId="29685"/>
    <cellStyle name="Обычный 8 3 8 8 2" xfId="29686"/>
    <cellStyle name="Обычный 8 3 8 8 3" xfId="29687"/>
    <cellStyle name="Обычный 8 3 8 9" xfId="29688"/>
    <cellStyle name="Обычный 8 3 8 9 2" xfId="29689"/>
    <cellStyle name="Обычный 8 3 8 9 3" xfId="29690"/>
    <cellStyle name="Обычный 8 3 9" xfId="29691"/>
    <cellStyle name="Обычный 8 3 9 2" xfId="29692"/>
    <cellStyle name="Обычный 8 3 9 3" xfId="29693"/>
    <cellStyle name="Обычный 8 30" xfId="29694"/>
    <cellStyle name="Обычный 8 30 2" xfId="29695"/>
    <cellStyle name="Обычный 8 30 3" xfId="29696"/>
    <cellStyle name="Обычный 8 31" xfId="29697"/>
    <cellStyle name="Обычный 8 31 2" xfId="29698"/>
    <cellStyle name="Обычный 8 31 3" xfId="29699"/>
    <cellStyle name="Обычный 8 32" xfId="29700"/>
    <cellStyle name="Обычный 8 32 2" xfId="29701"/>
    <cellStyle name="Обычный 8 32 3" xfId="29702"/>
    <cellStyle name="Обычный 8 33" xfId="29703"/>
    <cellStyle name="Обычный 8 33 2" xfId="29704"/>
    <cellStyle name="Обычный 8 33 3" xfId="29705"/>
    <cellStyle name="Обычный 8 34" xfId="29706"/>
    <cellStyle name="Обычный 8 34 2" xfId="29707"/>
    <cellStyle name="Обычный 8 34 3" xfId="29708"/>
    <cellStyle name="Обычный 8 35" xfId="29709"/>
    <cellStyle name="Обычный 8 35 2" xfId="29710"/>
    <cellStyle name="Обычный 8 35 3" xfId="29711"/>
    <cellStyle name="Обычный 8 36" xfId="29712"/>
    <cellStyle name="Обычный 8 36 2" xfId="29713"/>
    <cellStyle name="Обычный 8 36 3" xfId="29714"/>
    <cellStyle name="Обычный 8 37" xfId="29715"/>
    <cellStyle name="Обычный 8 37 2" xfId="29716"/>
    <cellStyle name="Обычный 8 37 3" xfId="29717"/>
    <cellStyle name="Обычный 8 38" xfId="29718"/>
    <cellStyle name="Обычный 8 38 2" xfId="29719"/>
    <cellStyle name="Обычный 8 38 3" xfId="29720"/>
    <cellStyle name="Обычный 8 39" xfId="29721"/>
    <cellStyle name="Обычный 8 39 2" xfId="29722"/>
    <cellStyle name="Обычный 8 39 3" xfId="29723"/>
    <cellStyle name="Обычный 8 4" xfId="29724"/>
    <cellStyle name="Обычный 8 4 10" xfId="29725"/>
    <cellStyle name="Обычный 8 4 10 2" xfId="29726"/>
    <cellStyle name="Обычный 8 4 10 3" xfId="29727"/>
    <cellStyle name="Обычный 8 4 11" xfId="29728"/>
    <cellStyle name="Обычный 8 4 11 2" xfId="29729"/>
    <cellStyle name="Обычный 8 4 11 3" xfId="29730"/>
    <cellStyle name="Обычный 8 4 12" xfId="29731"/>
    <cellStyle name="Обычный 8 4 12 2" xfId="29732"/>
    <cellStyle name="Обычный 8 4 12 3" xfId="29733"/>
    <cellStyle name="Обычный 8 4 13" xfId="29734"/>
    <cellStyle name="Обычный 8 4 13 2" xfId="29735"/>
    <cellStyle name="Обычный 8 4 13 3" xfId="29736"/>
    <cellStyle name="Обычный 8 4 14" xfId="29737"/>
    <cellStyle name="Обычный 8 4 14 2" xfId="29738"/>
    <cellStyle name="Обычный 8 4 14 3" xfId="29739"/>
    <cellStyle name="Обычный 8 4 15" xfId="29740"/>
    <cellStyle name="Обычный 8 4 15 2" xfId="29741"/>
    <cellStyle name="Обычный 8 4 15 3" xfId="29742"/>
    <cellStyle name="Обычный 8 4 16" xfId="29743"/>
    <cellStyle name="Обычный 8 4 16 2" xfId="29744"/>
    <cellStyle name="Обычный 8 4 16 3" xfId="29745"/>
    <cellStyle name="Обычный 8 4 17" xfId="29746"/>
    <cellStyle name="Обычный 8 4 17 2" xfId="29747"/>
    <cellStyle name="Обычный 8 4 17 3" xfId="29748"/>
    <cellStyle name="Обычный 8 4 18" xfId="29749"/>
    <cellStyle name="Обычный 8 4 18 2" xfId="29750"/>
    <cellStyle name="Обычный 8 4 18 3" xfId="29751"/>
    <cellStyle name="Обычный 8 4 19" xfId="29752"/>
    <cellStyle name="Обычный 8 4 19 2" xfId="29753"/>
    <cellStyle name="Обычный 8 4 19 3" xfId="29754"/>
    <cellStyle name="Обычный 8 4 2" xfId="29755"/>
    <cellStyle name="Обычный 8 4 2 2" xfId="29756"/>
    <cellStyle name="Обычный 8 4 2 3" xfId="29757"/>
    <cellStyle name="Обычный 8 4 20" xfId="29758"/>
    <cellStyle name="Обычный 8 4 20 2" xfId="29759"/>
    <cellStyle name="Обычный 8 4 20 3" xfId="29760"/>
    <cellStyle name="Обычный 8 4 21" xfId="29761"/>
    <cellStyle name="Обычный 8 4 21 2" xfId="29762"/>
    <cellStyle name="Обычный 8 4 21 3" xfId="29763"/>
    <cellStyle name="Обычный 8 4 22" xfId="29764"/>
    <cellStyle name="Обычный 8 4 22 2" xfId="29765"/>
    <cellStyle name="Обычный 8 4 22 3" xfId="29766"/>
    <cellStyle name="Обычный 8 4 23" xfId="29767"/>
    <cellStyle name="Обычный 8 4 23 2" xfId="29768"/>
    <cellStyle name="Обычный 8 4 23 3" xfId="29769"/>
    <cellStyle name="Обычный 8 4 24" xfId="29770"/>
    <cellStyle name="Обычный 8 4 24 2" xfId="29771"/>
    <cellStyle name="Обычный 8 4 24 3" xfId="29772"/>
    <cellStyle name="Обычный 8 4 25" xfId="29773"/>
    <cellStyle name="Обычный 8 4 25 2" xfId="29774"/>
    <cellStyle name="Обычный 8 4 25 3" xfId="29775"/>
    <cellStyle name="Обычный 8 4 26" xfId="29776"/>
    <cellStyle name="Обычный 8 4 26 2" xfId="29777"/>
    <cellStyle name="Обычный 8 4 26 3" xfId="29778"/>
    <cellStyle name="Обычный 8 4 27" xfId="29779"/>
    <cellStyle name="Обычный 8 4 27 2" xfId="29780"/>
    <cellStyle name="Обычный 8 4 27 3" xfId="29781"/>
    <cellStyle name="Обычный 8 4 28" xfId="29782"/>
    <cellStyle name="Обычный 8 4 28 2" xfId="29783"/>
    <cellStyle name="Обычный 8 4 28 3" xfId="29784"/>
    <cellStyle name="Обычный 8 4 29" xfId="29785"/>
    <cellStyle name="Обычный 8 4 29 2" xfId="29786"/>
    <cellStyle name="Обычный 8 4 29 3" xfId="29787"/>
    <cellStyle name="Обычный 8 4 3" xfId="29788"/>
    <cellStyle name="Обычный 8 4 3 2" xfId="29789"/>
    <cellStyle name="Обычный 8 4 3 3" xfId="29790"/>
    <cellStyle name="Обычный 8 4 30" xfId="29791"/>
    <cellStyle name="Обычный 8 4 30 2" xfId="29792"/>
    <cellStyle name="Обычный 8 4 30 3" xfId="29793"/>
    <cellStyle name="Обычный 8 4 31" xfId="29794"/>
    <cellStyle name="Обычный 8 4 31 2" xfId="29795"/>
    <cellStyle name="Обычный 8 4 31 3" xfId="29796"/>
    <cellStyle name="Обычный 8 4 32" xfId="29797"/>
    <cellStyle name="Обычный 8 4 32 2" xfId="29798"/>
    <cellStyle name="Обычный 8 4 32 3" xfId="29799"/>
    <cellStyle name="Обычный 8 4 33" xfId="29800"/>
    <cellStyle name="Обычный 8 4 33 2" xfId="29801"/>
    <cellStyle name="Обычный 8 4 33 3" xfId="29802"/>
    <cellStyle name="Обычный 8 4 34" xfId="29803"/>
    <cellStyle name="Обычный 8 4 34 2" xfId="29804"/>
    <cellStyle name="Обычный 8 4 34 3" xfId="29805"/>
    <cellStyle name="Обычный 8 4 35" xfId="29806"/>
    <cellStyle name="Обычный 8 4 35 2" xfId="29807"/>
    <cellStyle name="Обычный 8 4 35 3" xfId="29808"/>
    <cellStyle name="Обычный 8 4 36" xfId="29809"/>
    <cellStyle name="Обычный 8 4 36 2" xfId="29810"/>
    <cellStyle name="Обычный 8 4 36 3" xfId="29811"/>
    <cellStyle name="Обычный 8 4 37" xfId="29812"/>
    <cellStyle name="Обычный 8 4 37 2" xfId="29813"/>
    <cellStyle name="Обычный 8 4 37 3" xfId="29814"/>
    <cellStyle name="Обычный 8 4 38" xfId="29815"/>
    <cellStyle name="Обычный 8 4 38 2" xfId="29816"/>
    <cellStyle name="Обычный 8 4 38 3" xfId="29817"/>
    <cellStyle name="Обычный 8 4 39" xfId="29818"/>
    <cellStyle name="Обычный 8 4 39 2" xfId="29819"/>
    <cellStyle name="Обычный 8 4 39 3" xfId="29820"/>
    <cellStyle name="Обычный 8 4 4" xfId="29821"/>
    <cellStyle name="Обычный 8 4 4 2" xfId="29822"/>
    <cellStyle name="Обычный 8 4 4 3" xfId="29823"/>
    <cellStyle name="Обычный 8 4 40" xfId="29824"/>
    <cellStyle name="Обычный 8 4 40 2" xfId="29825"/>
    <cellStyle name="Обычный 8 4 40 3" xfId="29826"/>
    <cellStyle name="Обычный 8 4 41" xfId="29827"/>
    <cellStyle name="Обычный 8 4 41 2" xfId="29828"/>
    <cellStyle name="Обычный 8 4 41 3" xfId="29829"/>
    <cellStyle name="Обычный 8 4 42" xfId="29830"/>
    <cellStyle name="Обычный 8 4 42 2" xfId="29831"/>
    <cellStyle name="Обычный 8 4 42 3" xfId="29832"/>
    <cellStyle name="Обычный 8 4 43" xfId="29833"/>
    <cellStyle name="Обычный 8 4 43 2" xfId="29834"/>
    <cellStyle name="Обычный 8 4 43 3" xfId="29835"/>
    <cellStyle name="Обычный 8 4 44" xfId="29836"/>
    <cellStyle name="Обычный 8 4 44 2" xfId="29837"/>
    <cellStyle name="Обычный 8 4 44 3" xfId="29838"/>
    <cellStyle name="Обычный 8 4 45" xfId="29839"/>
    <cellStyle name="Обычный 8 4 45 2" xfId="29840"/>
    <cellStyle name="Обычный 8 4 45 3" xfId="29841"/>
    <cellStyle name="Обычный 8 4 46" xfId="29842"/>
    <cellStyle name="Обычный 8 4 46 2" xfId="29843"/>
    <cellStyle name="Обычный 8 4 46 3" xfId="29844"/>
    <cellStyle name="Обычный 8 4 47" xfId="29845"/>
    <cellStyle name="Обычный 8 4 47 2" xfId="29846"/>
    <cellStyle name="Обычный 8 4 47 3" xfId="29847"/>
    <cellStyle name="Обычный 8 4 48" xfId="29848"/>
    <cellStyle name="Обычный 8 4 48 2" xfId="29849"/>
    <cellStyle name="Обычный 8 4 48 3" xfId="29850"/>
    <cellStyle name="Обычный 8 4 49" xfId="29851"/>
    <cellStyle name="Обычный 8 4 49 2" xfId="29852"/>
    <cellStyle name="Обычный 8 4 49 3" xfId="29853"/>
    <cellStyle name="Обычный 8 4 5" xfId="29854"/>
    <cellStyle name="Обычный 8 4 5 2" xfId="29855"/>
    <cellStyle name="Обычный 8 4 5 3" xfId="29856"/>
    <cellStyle name="Обычный 8 4 50" xfId="29857"/>
    <cellStyle name="Обычный 8 4 50 2" xfId="29858"/>
    <cellStyle name="Обычный 8 4 50 3" xfId="29859"/>
    <cellStyle name="Обычный 8 4 51" xfId="29860"/>
    <cellStyle name="Обычный 8 4 51 2" xfId="29861"/>
    <cellStyle name="Обычный 8 4 51 3" xfId="29862"/>
    <cellStyle name="Обычный 8 4 52" xfId="29863"/>
    <cellStyle name="Обычный 8 4 52 2" xfId="29864"/>
    <cellStyle name="Обычный 8 4 52 3" xfId="29865"/>
    <cellStyle name="Обычный 8 4 53" xfId="29866"/>
    <cellStyle name="Обычный 8 4 53 2" xfId="29867"/>
    <cellStyle name="Обычный 8 4 53 3" xfId="29868"/>
    <cellStyle name="Обычный 8 4 54" xfId="29869"/>
    <cellStyle name="Обычный 8 4 54 2" xfId="29870"/>
    <cellStyle name="Обычный 8 4 54 3" xfId="29871"/>
    <cellStyle name="Обычный 8 4 55" xfId="29872"/>
    <cellStyle name="Обычный 8 4 55 2" xfId="29873"/>
    <cellStyle name="Обычный 8 4 55 3" xfId="29874"/>
    <cellStyle name="Обычный 8 4 56" xfId="29875"/>
    <cellStyle name="Обычный 8 4 56 2" xfId="29876"/>
    <cellStyle name="Обычный 8 4 56 3" xfId="29877"/>
    <cellStyle name="Обычный 8 4 57" xfId="29878"/>
    <cellStyle name="Обычный 8 4 57 2" xfId="29879"/>
    <cellStyle name="Обычный 8 4 57 3" xfId="29880"/>
    <cellStyle name="Обычный 8 4 58" xfId="29881"/>
    <cellStyle name="Обычный 8 4 58 2" xfId="29882"/>
    <cellStyle name="Обычный 8 4 58 3" xfId="29883"/>
    <cellStyle name="Обычный 8 4 59" xfId="29884"/>
    <cellStyle name="Обычный 8 4 59 2" xfId="29885"/>
    <cellStyle name="Обычный 8 4 59 3" xfId="29886"/>
    <cellStyle name="Обычный 8 4 6" xfId="29887"/>
    <cellStyle name="Обычный 8 4 6 2" xfId="29888"/>
    <cellStyle name="Обычный 8 4 6 3" xfId="29889"/>
    <cellStyle name="Обычный 8 4 60" xfId="29890"/>
    <cellStyle name="Обычный 8 4 60 2" xfId="29891"/>
    <cellStyle name="Обычный 8 4 60 3" xfId="29892"/>
    <cellStyle name="Обычный 8 4 61" xfId="29893"/>
    <cellStyle name="Обычный 8 4 61 2" xfId="29894"/>
    <cellStyle name="Обычный 8 4 61 3" xfId="29895"/>
    <cellStyle name="Обычный 8 4 62" xfId="29896"/>
    <cellStyle name="Обычный 8 4 62 2" xfId="29897"/>
    <cellStyle name="Обычный 8 4 62 3" xfId="29898"/>
    <cellStyle name="Обычный 8 4 63" xfId="29899"/>
    <cellStyle name="Обычный 8 4 63 2" xfId="29900"/>
    <cellStyle name="Обычный 8 4 63 3" xfId="29901"/>
    <cellStyle name="Обычный 8 4 64" xfId="29902"/>
    <cellStyle name="Обычный 8 4 65" xfId="29903"/>
    <cellStyle name="Обычный 8 4 7" xfId="29904"/>
    <cellStyle name="Обычный 8 4 7 2" xfId="29905"/>
    <cellStyle name="Обычный 8 4 7 3" xfId="29906"/>
    <cellStyle name="Обычный 8 4 8" xfId="29907"/>
    <cellStyle name="Обычный 8 4 8 2" xfId="29908"/>
    <cellStyle name="Обычный 8 4 8 3" xfId="29909"/>
    <cellStyle name="Обычный 8 4 9" xfId="29910"/>
    <cellStyle name="Обычный 8 4 9 2" xfId="29911"/>
    <cellStyle name="Обычный 8 4 9 3" xfId="29912"/>
    <cellStyle name="Обычный 8 40" xfId="29913"/>
    <cellStyle name="Обычный 8 40 2" xfId="29914"/>
    <cellStyle name="Обычный 8 40 3" xfId="29915"/>
    <cellStyle name="Обычный 8 41" xfId="29916"/>
    <cellStyle name="Обычный 8 41 2" xfId="29917"/>
    <cellStyle name="Обычный 8 41 3" xfId="29918"/>
    <cellStyle name="Обычный 8 42" xfId="29919"/>
    <cellStyle name="Обычный 8 42 2" xfId="29920"/>
    <cellStyle name="Обычный 8 42 3" xfId="29921"/>
    <cellStyle name="Обычный 8 43" xfId="29922"/>
    <cellStyle name="Обычный 8 43 2" xfId="29923"/>
    <cellStyle name="Обычный 8 43 3" xfId="29924"/>
    <cellStyle name="Обычный 8 44" xfId="29925"/>
    <cellStyle name="Обычный 8 44 2" xfId="29926"/>
    <cellStyle name="Обычный 8 44 3" xfId="29927"/>
    <cellStyle name="Обычный 8 45" xfId="29928"/>
    <cellStyle name="Обычный 8 45 2" xfId="29929"/>
    <cellStyle name="Обычный 8 45 3" xfId="29930"/>
    <cellStyle name="Обычный 8 46" xfId="29931"/>
    <cellStyle name="Обычный 8 46 2" xfId="29932"/>
    <cellStyle name="Обычный 8 46 3" xfId="29933"/>
    <cellStyle name="Обычный 8 47" xfId="29934"/>
    <cellStyle name="Обычный 8 47 2" xfId="29935"/>
    <cellStyle name="Обычный 8 47 3" xfId="29936"/>
    <cellStyle name="Обычный 8 48" xfId="29937"/>
    <cellStyle name="Обычный 8 48 2" xfId="29938"/>
    <cellStyle name="Обычный 8 48 3" xfId="29939"/>
    <cellStyle name="Обычный 8 49" xfId="29940"/>
    <cellStyle name="Обычный 8 49 2" xfId="29941"/>
    <cellStyle name="Обычный 8 49 3" xfId="29942"/>
    <cellStyle name="Обычный 8 5" xfId="29943"/>
    <cellStyle name="Обычный 8 5 10" xfId="29944"/>
    <cellStyle name="Обычный 8 5 10 2" xfId="29945"/>
    <cellStyle name="Обычный 8 5 10 3" xfId="29946"/>
    <cellStyle name="Обычный 8 5 11" xfId="29947"/>
    <cellStyle name="Обычный 8 5 11 2" xfId="29948"/>
    <cellStyle name="Обычный 8 5 11 3" xfId="29949"/>
    <cellStyle name="Обычный 8 5 12" xfId="29950"/>
    <cellStyle name="Обычный 8 5 12 2" xfId="29951"/>
    <cellStyle name="Обычный 8 5 12 3" xfId="29952"/>
    <cellStyle name="Обычный 8 5 13" xfId="29953"/>
    <cellStyle name="Обычный 8 5 13 2" xfId="29954"/>
    <cellStyle name="Обычный 8 5 13 3" xfId="29955"/>
    <cellStyle name="Обычный 8 5 14" xfId="29956"/>
    <cellStyle name="Обычный 8 5 14 2" xfId="29957"/>
    <cellStyle name="Обычный 8 5 14 3" xfId="29958"/>
    <cellStyle name="Обычный 8 5 15" xfId="29959"/>
    <cellStyle name="Обычный 8 5 15 2" xfId="29960"/>
    <cellStyle name="Обычный 8 5 15 3" xfId="29961"/>
    <cellStyle name="Обычный 8 5 16" xfId="29962"/>
    <cellStyle name="Обычный 8 5 16 2" xfId="29963"/>
    <cellStyle name="Обычный 8 5 16 3" xfId="29964"/>
    <cellStyle name="Обычный 8 5 17" xfId="29965"/>
    <cellStyle name="Обычный 8 5 17 2" xfId="29966"/>
    <cellStyle name="Обычный 8 5 17 3" xfId="29967"/>
    <cellStyle name="Обычный 8 5 18" xfId="29968"/>
    <cellStyle name="Обычный 8 5 18 2" xfId="29969"/>
    <cellStyle name="Обычный 8 5 18 3" xfId="29970"/>
    <cellStyle name="Обычный 8 5 19" xfId="29971"/>
    <cellStyle name="Обычный 8 5 19 2" xfId="29972"/>
    <cellStyle name="Обычный 8 5 19 3" xfId="29973"/>
    <cellStyle name="Обычный 8 5 2" xfId="29974"/>
    <cellStyle name="Обычный 8 5 2 2" xfId="29975"/>
    <cellStyle name="Обычный 8 5 2 3" xfId="29976"/>
    <cellStyle name="Обычный 8 5 20" xfId="29977"/>
    <cellStyle name="Обычный 8 5 20 2" xfId="29978"/>
    <cellStyle name="Обычный 8 5 20 3" xfId="29979"/>
    <cellStyle name="Обычный 8 5 21" xfId="29980"/>
    <cellStyle name="Обычный 8 5 21 2" xfId="29981"/>
    <cellStyle name="Обычный 8 5 21 3" xfId="29982"/>
    <cellStyle name="Обычный 8 5 22" xfId="29983"/>
    <cellStyle name="Обычный 8 5 22 2" xfId="29984"/>
    <cellStyle name="Обычный 8 5 22 3" xfId="29985"/>
    <cellStyle name="Обычный 8 5 23" xfId="29986"/>
    <cellStyle name="Обычный 8 5 23 2" xfId="29987"/>
    <cellStyle name="Обычный 8 5 23 3" xfId="29988"/>
    <cellStyle name="Обычный 8 5 24" xfId="29989"/>
    <cellStyle name="Обычный 8 5 24 2" xfId="29990"/>
    <cellStyle name="Обычный 8 5 24 3" xfId="29991"/>
    <cellStyle name="Обычный 8 5 25" xfId="29992"/>
    <cellStyle name="Обычный 8 5 25 2" xfId="29993"/>
    <cellStyle name="Обычный 8 5 25 3" xfId="29994"/>
    <cellStyle name="Обычный 8 5 26" xfId="29995"/>
    <cellStyle name="Обычный 8 5 26 2" xfId="29996"/>
    <cellStyle name="Обычный 8 5 26 3" xfId="29997"/>
    <cellStyle name="Обычный 8 5 27" xfId="29998"/>
    <cellStyle name="Обычный 8 5 27 2" xfId="29999"/>
    <cellStyle name="Обычный 8 5 27 3" xfId="30000"/>
    <cellStyle name="Обычный 8 5 28" xfId="30001"/>
    <cellStyle name="Обычный 8 5 28 2" xfId="30002"/>
    <cellStyle name="Обычный 8 5 28 3" xfId="30003"/>
    <cellStyle name="Обычный 8 5 29" xfId="30004"/>
    <cellStyle name="Обычный 8 5 29 2" xfId="30005"/>
    <cellStyle name="Обычный 8 5 29 3" xfId="30006"/>
    <cellStyle name="Обычный 8 5 3" xfId="30007"/>
    <cellStyle name="Обычный 8 5 3 2" xfId="30008"/>
    <cellStyle name="Обычный 8 5 3 3" xfId="30009"/>
    <cellStyle name="Обычный 8 5 30" xfId="30010"/>
    <cellStyle name="Обычный 8 5 30 2" xfId="30011"/>
    <cellStyle name="Обычный 8 5 30 3" xfId="30012"/>
    <cellStyle name="Обычный 8 5 31" xfId="30013"/>
    <cellStyle name="Обычный 8 5 31 2" xfId="30014"/>
    <cellStyle name="Обычный 8 5 31 3" xfId="30015"/>
    <cellStyle name="Обычный 8 5 32" xfId="30016"/>
    <cellStyle name="Обычный 8 5 32 2" xfId="30017"/>
    <cellStyle name="Обычный 8 5 32 3" xfId="30018"/>
    <cellStyle name="Обычный 8 5 33" xfId="30019"/>
    <cellStyle name="Обычный 8 5 33 2" xfId="30020"/>
    <cellStyle name="Обычный 8 5 33 3" xfId="30021"/>
    <cellStyle name="Обычный 8 5 34" xfId="30022"/>
    <cellStyle name="Обычный 8 5 34 2" xfId="30023"/>
    <cellStyle name="Обычный 8 5 34 3" xfId="30024"/>
    <cellStyle name="Обычный 8 5 35" xfId="30025"/>
    <cellStyle name="Обычный 8 5 35 2" xfId="30026"/>
    <cellStyle name="Обычный 8 5 35 3" xfId="30027"/>
    <cellStyle name="Обычный 8 5 36" xfId="30028"/>
    <cellStyle name="Обычный 8 5 36 2" xfId="30029"/>
    <cellStyle name="Обычный 8 5 36 3" xfId="30030"/>
    <cellStyle name="Обычный 8 5 37" xfId="30031"/>
    <cellStyle name="Обычный 8 5 37 2" xfId="30032"/>
    <cellStyle name="Обычный 8 5 37 3" xfId="30033"/>
    <cellStyle name="Обычный 8 5 38" xfId="30034"/>
    <cellStyle name="Обычный 8 5 38 2" xfId="30035"/>
    <cellStyle name="Обычный 8 5 38 3" xfId="30036"/>
    <cellStyle name="Обычный 8 5 39" xfId="30037"/>
    <cellStyle name="Обычный 8 5 39 2" xfId="30038"/>
    <cellStyle name="Обычный 8 5 39 3" xfId="30039"/>
    <cellStyle name="Обычный 8 5 4" xfId="30040"/>
    <cellStyle name="Обычный 8 5 4 2" xfId="30041"/>
    <cellStyle name="Обычный 8 5 4 3" xfId="30042"/>
    <cellStyle name="Обычный 8 5 40" xfId="30043"/>
    <cellStyle name="Обычный 8 5 40 2" xfId="30044"/>
    <cellStyle name="Обычный 8 5 40 3" xfId="30045"/>
    <cellStyle name="Обычный 8 5 41" xfId="30046"/>
    <cellStyle name="Обычный 8 5 41 2" xfId="30047"/>
    <cellStyle name="Обычный 8 5 41 3" xfId="30048"/>
    <cellStyle name="Обычный 8 5 42" xfId="30049"/>
    <cellStyle name="Обычный 8 5 42 2" xfId="30050"/>
    <cellStyle name="Обычный 8 5 42 3" xfId="30051"/>
    <cellStyle name="Обычный 8 5 43" xfId="30052"/>
    <cellStyle name="Обычный 8 5 43 2" xfId="30053"/>
    <cellStyle name="Обычный 8 5 43 3" xfId="30054"/>
    <cellStyle name="Обычный 8 5 44" xfId="30055"/>
    <cellStyle name="Обычный 8 5 44 2" xfId="30056"/>
    <cellStyle name="Обычный 8 5 44 3" xfId="30057"/>
    <cellStyle name="Обычный 8 5 45" xfId="30058"/>
    <cellStyle name="Обычный 8 5 45 2" xfId="30059"/>
    <cellStyle name="Обычный 8 5 45 3" xfId="30060"/>
    <cellStyle name="Обычный 8 5 46" xfId="30061"/>
    <cellStyle name="Обычный 8 5 46 2" xfId="30062"/>
    <cellStyle name="Обычный 8 5 46 3" xfId="30063"/>
    <cellStyle name="Обычный 8 5 47" xfId="30064"/>
    <cellStyle name="Обычный 8 5 47 2" xfId="30065"/>
    <cellStyle name="Обычный 8 5 47 3" xfId="30066"/>
    <cellStyle name="Обычный 8 5 48" xfId="30067"/>
    <cellStyle name="Обычный 8 5 48 2" xfId="30068"/>
    <cellStyle name="Обычный 8 5 48 3" xfId="30069"/>
    <cellStyle name="Обычный 8 5 49" xfId="30070"/>
    <cellStyle name="Обычный 8 5 49 2" xfId="30071"/>
    <cellStyle name="Обычный 8 5 49 3" xfId="30072"/>
    <cellStyle name="Обычный 8 5 5" xfId="30073"/>
    <cellStyle name="Обычный 8 5 5 2" xfId="30074"/>
    <cellStyle name="Обычный 8 5 5 3" xfId="30075"/>
    <cellStyle name="Обычный 8 5 50" xfId="30076"/>
    <cellStyle name="Обычный 8 5 50 2" xfId="30077"/>
    <cellStyle name="Обычный 8 5 50 3" xfId="30078"/>
    <cellStyle name="Обычный 8 5 51" xfId="30079"/>
    <cellStyle name="Обычный 8 5 51 2" xfId="30080"/>
    <cellStyle name="Обычный 8 5 51 3" xfId="30081"/>
    <cellStyle name="Обычный 8 5 52" xfId="30082"/>
    <cellStyle name="Обычный 8 5 52 2" xfId="30083"/>
    <cellStyle name="Обычный 8 5 52 3" xfId="30084"/>
    <cellStyle name="Обычный 8 5 53" xfId="30085"/>
    <cellStyle name="Обычный 8 5 53 2" xfId="30086"/>
    <cellStyle name="Обычный 8 5 53 3" xfId="30087"/>
    <cellStyle name="Обычный 8 5 54" xfId="30088"/>
    <cellStyle name="Обычный 8 5 54 2" xfId="30089"/>
    <cellStyle name="Обычный 8 5 54 3" xfId="30090"/>
    <cellStyle name="Обычный 8 5 55" xfId="30091"/>
    <cellStyle name="Обычный 8 5 55 2" xfId="30092"/>
    <cellStyle name="Обычный 8 5 55 3" xfId="30093"/>
    <cellStyle name="Обычный 8 5 56" xfId="30094"/>
    <cellStyle name="Обычный 8 5 56 2" xfId="30095"/>
    <cellStyle name="Обычный 8 5 56 3" xfId="30096"/>
    <cellStyle name="Обычный 8 5 57" xfId="30097"/>
    <cellStyle name="Обычный 8 5 57 2" xfId="30098"/>
    <cellStyle name="Обычный 8 5 57 3" xfId="30099"/>
    <cellStyle name="Обычный 8 5 58" xfId="30100"/>
    <cellStyle name="Обычный 8 5 58 2" xfId="30101"/>
    <cellStyle name="Обычный 8 5 58 3" xfId="30102"/>
    <cellStyle name="Обычный 8 5 59" xfId="30103"/>
    <cellStyle name="Обычный 8 5 59 2" xfId="30104"/>
    <cellStyle name="Обычный 8 5 59 3" xfId="30105"/>
    <cellStyle name="Обычный 8 5 6" xfId="30106"/>
    <cellStyle name="Обычный 8 5 6 2" xfId="30107"/>
    <cellStyle name="Обычный 8 5 6 3" xfId="30108"/>
    <cellStyle name="Обычный 8 5 60" xfId="30109"/>
    <cellStyle name="Обычный 8 5 60 2" xfId="30110"/>
    <cellStyle name="Обычный 8 5 60 3" xfId="30111"/>
    <cellStyle name="Обычный 8 5 61" xfId="30112"/>
    <cellStyle name="Обычный 8 5 61 2" xfId="30113"/>
    <cellStyle name="Обычный 8 5 61 3" xfId="30114"/>
    <cellStyle name="Обычный 8 5 62" xfId="30115"/>
    <cellStyle name="Обычный 8 5 62 2" xfId="30116"/>
    <cellStyle name="Обычный 8 5 62 3" xfId="30117"/>
    <cellStyle name="Обычный 8 5 63" xfId="30118"/>
    <cellStyle name="Обычный 8 5 63 2" xfId="30119"/>
    <cellStyle name="Обычный 8 5 63 3" xfId="30120"/>
    <cellStyle name="Обычный 8 5 64" xfId="30121"/>
    <cellStyle name="Обычный 8 5 65" xfId="30122"/>
    <cellStyle name="Обычный 8 5 7" xfId="30123"/>
    <cellStyle name="Обычный 8 5 7 2" xfId="30124"/>
    <cellStyle name="Обычный 8 5 7 3" xfId="30125"/>
    <cellStyle name="Обычный 8 5 8" xfId="30126"/>
    <cellStyle name="Обычный 8 5 8 2" xfId="30127"/>
    <cellStyle name="Обычный 8 5 8 3" xfId="30128"/>
    <cellStyle name="Обычный 8 5 9" xfId="30129"/>
    <cellStyle name="Обычный 8 5 9 2" xfId="30130"/>
    <cellStyle name="Обычный 8 5 9 3" xfId="30131"/>
    <cellStyle name="Обычный 8 50" xfId="30132"/>
    <cellStyle name="Обычный 8 50 2" xfId="30133"/>
    <cellStyle name="Обычный 8 50 3" xfId="30134"/>
    <cellStyle name="Обычный 8 51" xfId="30135"/>
    <cellStyle name="Обычный 8 51 2" xfId="30136"/>
    <cellStyle name="Обычный 8 51 3" xfId="30137"/>
    <cellStyle name="Обычный 8 52" xfId="30138"/>
    <cellStyle name="Обычный 8 52 2" xfId="30139"/>
    <cellStyle name="Обычный 8 52 3" xfId="30140"/>
    <cellStyle name="Обычный 8 53" xfId="30141"/>
    <cellStyle name="Обычный 8 53 2" xfId="30142"/>
    <cellStyle name="Обычный 8 53 3" xfId="30143"/>
    <cellStyle name="Обычный 8 54" xfId="30144"/>
    <cellStyle name="Обычный 8 54 2" xfId="30145"/>
    <cellStyle name="Обычный 8 54 3" xfId="30146"/>
    <cellStyle name="Обычный 8 55" xfId="30147"/>
    <cellStyle name="Обычный 8 55 2" xfId="30148"/>
    <cellStyle name="Обычный 8 55 3" xfId="30149"/>
    <cellStyle name="Обычный 8 56" xfId="30150"/>
    <cellStyle name="Обычный 8 56 2" xfId="30151"/>
    <cellStyle name="Обычный 8 56 3" xfId="30152"/>
    <cellStyle name="Обычный 8 57" xfId="30153"/>
    <cellStyle name="Обычный 8 57 2" xfId="30154"/>
    <cellStyle name="Обычный 8 57 3" xfId="30155"/>
    <cellStyle name="Обычный 8 58" xfId="30156"/>
    <cellStyle name="Обычный 8 58 2" xfId="30157"/>
    <cellStyle name="Обычный 8 58 3" xfId="30158"/>
    <cellStyle name="Обычный 8 59" xfId="30159"/>
    <cellStyle name="Обычный 8 59 2" xfId="30160"/>
    <cellStyle name="Обычный 8 59 3" xfId="30161"/>
    <cellStyle name="Обычный 8 6" xfId="30162"/>
    <cellStyle name="Обычный 8 6 10" xfId="30163"/>
    <cellStyle name="Обычный 8 6 10 2" xfId="30164"/>
    <cellStyle name="Обычный 8 6 10 3" xfId="30165"/>
    <cellStyle name="Обычный 8 6 11" xfId="30166"/>
    <cellStyle name="Обычный 8 6 11 2" xfId="30167"/>
    <cellStyle name="Обычный 8 6 11 3" xfId="30168"/>
    <cellStyle name="Обычный 8 6 12" xfId="30169"/>
    <cellStyle name="Обычный 8 6 12 2" xfId="30170"/>
    <cellStyle name="Обычный 8 6 12 3" xfId="30171"/>
    <cellStyle name="Обычный 8 6 13" xfId="30172"/>
    <cellStyle name="Обычный 8 6 13 2" xfId="30173"/>
    <cellStyle name="Обычный 8 6 13 3" xfId="30174"/>
    <cellStyle name="Обычный 8 6 14" xfId="30175"/>
    <cellStyle name="Обычный 8 6 14 2" xfId="30176"/>
    <cellStyle name="Обычный 8 6 14 3" xfId="30177"/>
    <cellStyle name="Обычный 8 6 15" xfId="30178"/>
    <cellStyle name="Обычный 8 6 15 2" xfId="30179"/>
    <cellStyle name="Обычный 8 6 15 3" xfId="30180"/>
    <cellStyle name="Обычный 8 6 16" xfId="30181"/>
    <cellStyle name="Обычный 8 6 16 2" xfId="30182"/>
    <cellStyle name="Обычный 8 6 16 3" xfId="30183"/>
    <cellStyle name="Обычный 8 6 17" xfId="30184"/>
    <cellStyle name="Обычный 8 6 17 2" xfId="30185"/>
    <cellStyle name="Обычный 8 6 17 3" xfId="30186"/>
    <cellStyle name="Обычный 8 6 18" xfId="30187"/>
    <cellStyle name="Обычный 8 6 18 2" xfId="30188"/>
    <cellStyle name="Обычный 8 6 18 3" xfId="30189"/>
    <cellStyle name="Обычный 8 6 19" xfId="30190"/>
    <cellStyle name="Обычный 8 6 19 2" xfId="30191"/>
    <cellStyle name="Обычный 8 6 19 3" xfId="30192"/>
    <cellStyle name="Обычный 8 6 2" xfId="30193"/>
    <cellStyle name="Обычный 8 6 2 2" xfId="30194"/>
    <cellStyle name="Обычный 8 6 2 3" xfId="30195"/>
    <cellStyle name="Обычный 8 6 20" xfId="30196"/>
    <cellStyle name="Обычный 8 6 20 2" xfId="30197"/>
    <cellStyle name="Обычный 8 6 20 3" xfId="30198"/>
    <cellStyle name="Обычный 8 6 21" xfId="30199"/>
    <cellStyle name="Обычный 8 6 21 2" xfId="30200"/>
    <cellStyle name="Обычный 8 6 21 3" xfId="30201"/>
    <cellStyle name="Обычный 8 6 22" xfId="30202"/>
    <cellStyle name="Обычный 8 6 22 2" xfId="30203"/>
    <cellStyle name="Обычный 8 6 22 3" xfId="30204"/>
    <cellStyle name="Обычный 8 6 23" xfId="30205"/>
    <cellStyle name="Обычный 8 6 23 2" xfId="30206"/>
    <cellStyle name="Обычный 8 6 23 3" xfId="30207"/>
    <cellStyle name="Обычный 8 6 24" xfId="30208"/>
    <cellStyle name="Обычный 8 6 24 2" xfId="30209"/>
    <cellStyle name="Обычный 8 6 24 3" xfId="30210"/>
    <cellStyle name="Обычный 8 6 25" xfId="30211"/>
    <cellStyle name="Обычный 8 6 25 2" xfId="30212"/>
    <cellStyle name="Обычный 8 6 25 3" xfId="30213"/>
    <cellStyle name="Обычный 8 6 26" xfId="30214"/>
    <cellStyle name="Обычный 8 6 26 2" xfId="30215"/>
    <cellStyle name="Обычный 8 6 26 3" xfId="30216"/>
    <cellStyle name="Обычный 8 6 27" xfId="30217"/>
    <cellStyle name="Обычный 8 6 27 2" xfId="30218"/>
    <cellStyle name="Обычный 8 6 27 3" xfId="30219"/>
    <cellStyle name="Обычный 8 6 28" xfId="30220"/>
    <cellStyle name="Обычный 8 6 28 2" xfId="30221"/>
    <cellStyle name="Обычный 8 6 28 3" xfId="30222"/>
    <cellStyle name="Обычный 8 6 29" xfId="30223"/>
    <cellStyle name="Обычный 8 6 29 2" xfId="30224"/>
    <cellStyle name="Обычный 8 6 29 3" xfId="30225"/>
    <cellStyle name="Обычный 8 6 3" xfId="30226"/>
    <cellStyle name="Обычный 8 6 3 2" xfId="30227"/>
    <cellStyle name="Обычный 8 6 3 3" xfId="30228"/>
    <cellStyle name="Обычный 8 6 30" xfId="30229"/>
    <cellStyle name="Обычный 8 6 30 2" xfId="30230"/>
    <cellStyle name="Обычный 8 6 30 3" xfId="30231"/>
    <cellStyle name="Обычный 8 6 31" xfId="30232"/>
    <cellStyle name="Обычный 8 6 31 2" xfId="30233"/>
    <cellStyle name="Обычный 8 6 31 3" xfId="30234"/>
    <cellStyle name="Обычный 8 6 32" xfId="30235"/>
    <cellStyle name="Обычный 8 6 32 2" xfId="30236"/>
    <cellStyle name="Обычный 8 6 32 3" xfId="30237"/>
    <cellStyle name="Обычный 8 6 33" xfId="30238"/>
    <cellStyle name="Обычный 8 6 33 2" xfId="30239"/>
    <cellStyle name="Обычный 8 6 33 3" xfId="30240"/>
    <cellStyle name="Обычный 8 6 34" xfId="30241"/>
    <cellStyle name="Обычный 8 6 34 2" xfId="30242"/>
    <cellStyle name="Обычный 8 6 34 3" xfId="30243"/>
    <cellStyle name="Обычный 8 6 35" xfId="30244"/>
    <cellStyle name="Обычный 8 6 35 2" xfId="30245"/>
    <cellStyle name="Обычный 8 6 35 3" xfId="30246"/>
    <cellStyle name="Обычный 8 6 36" xfId="30247"/>
    <cellStyle name="Обычный 8 6 36 2" xfId="30248"/>
    <cellStyle name="Обычный 8 6 36 3" xfId="30249"/>
    <cellStyle name="Обычный 8 6 37" xfId="30250"/>
    <cellStyle name="Обычный 8 6 37 2" xfId="30251"/>
    <cellStyle name="Обычный 8 6 37 3" xfId="30252"/>
    <cellStyle name="Обычный 8 6 38" xfId="30253"/>
    <cellStyle name="Обычный 8 6 38 2" xfId="30254"/>
    <cellStyle name="Обычный 8 6 38 3" xfId="30255"/>
    <cellStyle name="Обычный 8 6 39" xfId="30256"/>
    <cellStyle name="Обычный 8 6 39 2" xfId="30257"/>
    <cellStyle name="Обычный 8 6 39 3" xfId="30258"/>
    <cellStyle name="Обычный 8 6 4" xfId="30259"/>
    <cellStyle name="Обычный 8 6 4 2" xfId="30260"/>
    <cellStyle name="Обычный 8 6 4 3" xfId="30261"/>
    <cellStyle name="Обычный 8 6 40" xfId="30262"/>
    <cellStyle name="Обычный 8 6 40 2" xfId="30263"/>
    <cellStyle name="Обычный 8 6 40 3" xfId="30264"/>
    <cellStyle name="Обычный 8 6 41" xfId="30265"/>
    <cellStyle name="Обычный 8 6 41 2" xfId="30266"/>
    <cellStyle name="Обычный 8 6 41 3" xfId="30267"/>
    <cellStyle name="Обычный 8 6 42" xfId="30268"/>
    <cellStyle name="Обычный 8 6 42 2" xfId="30269"/>
    <cellStyle name="Обычный 8 6 42 3" xfId="30270"/>
    <cellStyle name="Обычный 8 6 43" xfId="30271"/>
    <cellStyle name="Обычный 8 6 43 2" xfId="30272"/>
    <cellStyle name="Обычный 8 6 43 3" xfId="30273"/>
    <cellStyle name="Обычный 8 6 44" xfId="30274"/>
    <cellStyle name="Обычный 8 6 44 2" xfId="30275"/>
    <cellStyle name="Обычный 8 6 44 3" xfId="30276"/>
    <cellStyle name="Обычный 8 6 45" xfId="30277"/>
    <cellStyle name="Обычный 8 6 45 2" xfId="30278"/>
    <cellStyle name="Обычный 8 6 45 3" xfId="30279"/>
    <cellStyle name="Обычный 8 6 46" xfId="30280"/>
    <cellStyle name="Обычный 8 6 46 2" xfId="30281"/>
    <cellStyle name="Обычный 8 6 46 3" xfId="30282"/>
    <cellStyle name="Обычный 8 6 47" xfId="30283"/>
    <cellStyle name="Обычный 8 6 47 2" xfId="30284"/>
    <cellStyle name="Обычный 8 6 47 3" xfId="30285"/>
    <cellStyle name="Обычный 8 6 48" xfId="30286"/>
    <cellStyle name="Обычный 8 6 48 2" xfId="30287"/>
    <cellStyle name="Обычный 8 6 48 3" xfId="30288"/>
    <cellStyle name="Обычный 8 6 49" xfId="30289"/>
    <cellStyle name="Обычный 8 6 49 2" xfId="30290"/>
    <cellStyle name="Обычный 8 6 49 3" xfId="30291"/>
    <cellStyle name="Обычный 8 6 5" xfId="30292"/>
    <cellStyle name="Обычный 8 6 5 2" xfId="30293"/>
    <cellStyle name="Обычный 8 6 5 3" xfId="30294"/>
    <cellStyle name="Обычный 8 6 50" xfId="30295"/>
    <cellStyle name="Обычный 8 6 50 2" xfId="30296"/>
    <cellStyle name="Обычный 8 6 50 3" xfId="30297"/>
    <cellStyle name="Обычный 8 6 51" xfId="30298"/>
    <cellStyle name="Обычный 8 6 51 2" xfId="30299"/>
    <cellStyle name="Обычный 8 6 51 3" xfId="30300"/>
    <cellStyle name="Обычный 8 6 52" xfId="30301"/>
    <cellStyle name="Обычный 8 6 52 2" xfId="30302"/>
    <cellStyle name="Обычный 8 6 52 3" xfId="30303"/>
    <cellStyle name="Обычный 8 6 53" xfId="30304"/>
    <cellStyle name="Обычный 8 6 53 2" xfId="30305"/>
    <cellStyle name="Обычный 8 6 53 3" xfId="30306"/>
    <cellStyle name="Обычный 8 6 54" xfId="30307"/>
    <cellStyle name="Обычный 8 6 54 2" xfId="30308"/>
    <cellStyle name="Обычный 8 6 54 3" xfId="30309"/>
    <cellStyle name="Обычный 8 6 55" xfId="30310"/>
    <cellStyle name="Обычный 8 6 55 2" xfId="30311"/>
    <cellStyle name="Обычный 8 6 55 3" xfId="30312"/>
    <cellStyle name="Обычный 8 6 56" xfId="30313"/>
    <cellStyle name="Обычный 8 6 56 2" xfId="30314"/>
    <cellStyle name="Обычный 8 6 56 3" xfId="30315"/>
    <cellStyle name="Обычный 8 6 57" xfId="30316"/>
    <cellStyle name="Обычный 8 6 57 2" xfId="30317"/>
    <cellStyle name="Обычный 8 6 57 3" xfId="30318"/>
    <cellStyle name="Обычный 8 6 58" xfId="30319"/>
    <cellStyle name="Обычный 8 6 58 2" xfId="30320"/>
    <cellStyle name="Обычный 8 6 58 3" xfId="30321"/>
    <cellStyle name="Обычный 8 6 59" xfId="30322"/>
    <cellStyle name="Обычный 8 6 59 2" xfId="30323"/>
    <cellStyle name="Обычный 8 6 59 3" xfId="30324"/>
    <cellStyle name="Обычный 8 6 6" xfId="30325"/>
    <cellStyle name="Обычный 8 6 6 2" xfId="30326"/>
    <cellStyle name="Обычный 8 6 6 3" xfId="30327"/>
    <cellStyle name="Обычный 8 6 60" xfId="30328"/>
    <cellStyle name="Обычный 8 6 60 2" xfId="30329"/>
    <cellStyle name="Обычный 8 6 60 3" xfId="30330"/>
    <cellStyle name="Обычный 8 6 61" xfId="30331"/>
    <cellStyle name="Обычный 8 6 61 2" xfId="30332"/>
    <cellStyle name="Обычный 8 6 61 3" xfId="30333"/>
    <cellStyle name="Обычный 8 6 62" xfId="30334"/>
    <cellStyle name="Обычный 8 6 62 2" xfId="30335"/>
    <cellStyle name="Обычный 8 6 62 3" xfId="30336"/>
    <cellStyle name="Обычный 8 6 63" xfId="30337"/>
    <cellStyle name="Обычный 8 6 63 2" xfId="30338"/>
    <cellStyle name="Обычный 8 6 63 3" xfId="30339"/>
    <cellStyle name="Обычный 8 6 64" xfId="30340"/>
    <cellStyle name="Обычный 8 6 65" xfId="30341"/>
    <cellStyle name="Обычный 8 6 7" xfId="30342"/>
    <cellStyle name="Обычный 8 6 7 2" xfId="30343"/>
    <cellStyle name="Обычный 8 6 7 3" xfId="30344"/>
    <cellStyle name="Обычный 8 6 8" xfId="30345"/>
    <cellStyle name="Обычный 8 6 8 2" xfId="30346"/>
    <cellStyle name="Обычный 8 6 8 3" xfId="30347"/>
    <cellStyle name="Обычный 8 6 9" xfId="30348"/>
    <cellStyle name="Обычный 8 6 9 2" xfId="30349"/>
    <cellStyle name="Обычный 8 6 9 3" xfId="30350"/>
    <cellStyle name="Обычный 8 60" xfId="30351"/>
    <cellStyle name="Обычный 8 60 2" xfId="30352"/>
    <cellStyle name="Обычный 8 60 3" xfId="30353"/>
    <cellStyle name="Обычный 8 61" xfId="30354"/>
    <cellStyle name="Обычный 8 61 2" xfId="30355"/>
    <cellStyle name="Обычный 8 61 3" xfId="30356"/>
    <cellStyle name="Обычный 8 62" xfId="30357"/>
    <cellStyle name="Обычный 8 62 2" xfId="30358"/>
    <cellStyle name="Обычный 8 62 3" xfId="30359"/>
    <cellStyle name="Обычный 8 63" xfId="30360"/>
    <cellStyle name="Обычный 8 63 2" xfId="30361"/>
    <cellStyle name="Обычный 8 63 3" xfId="30362"/>
    <cellStyle name="Обычный 8 64" xfId="30363"/>
    <cellStyle name="Обычный 8 64 2" xfId="30364"/>
    <cellStyle name="Обычный 8 64 3" xfId="30365"/>
    <cellStyle name="Обычный 8 65" xfId="30366"/>
    <cellStyle name="Обычный 8 65 2" xfId="30367"/>
    <cellStyle name="Обычный 8 65 3" xfId="30368"/>
    <cellStyle name="Обычный 8 66" xfId="30369"/>
    <cellStyle name="Обычный 8 66 2" xfId="30370"/>
    <cellStyle name="Обычный 8 66 3" xfId="30371"/>
    <cellStyle name="Обычный 8 67" xfId="30372"/>
    <cellStyle name="Обычный 8 67 2" xfId="30373"/>
    <cellStyle name="Обычный 8 67 3" xfId="30374"/>
    <cellStyle name="Обычный 8 68" xfId="30375"/>
    <cellStyle name="Обычный 8 68 2" xfId="30376"/>
    <cellStyle name="Обычный 8 68 3" xfId="30377"/>
    <cellStyle name="Обычный 8 69" xfId="30378"/>
    <cellStyle name="Обычный 8 69 2" xfId="30379"/>
    <cellStyle name="Обычный 8 69 3" xfId="30380"/>
    <cellStyle name="Обычный 8 7" xfId="30381"/>
    <cellStyle name="Обычный 8 7 10" xfId="30382"/>
    <cellStyle name="Обычный 8 7 10 2" xfId="30383"/>
    <cellStyle name="Обычный 8 7 10 3" xfId="30384"/>
    <cellStyle name="Обычный 8 7 11" xfId="30385"/>
    <cellStyle name="Обычный 8 7 11 2" xfId="30386"/>
    <cellStyle name="Обычный 8 7 11 3" xfId="30387"/>
    <cellStyle name="Обычный 8 7 12" xfId="30388"/>
    <cellStyle name="Обычный 8 7 12 2" xfId="30389"/>
    <cellStyle name="Обычный 8 7 12 3" xfId="30390"/>
    <cellStyle name="Обычный 8 7 13" xfId="30391"/>
    <cellStyle name="Обычный 8 7 13 2" xfId="30392"/>
    <cellStyle name="Обычный 8 7 13 3" xfId="30393"/>
    <cellStyle name="Обычный 8 7 14" xfId="30394"/>
    <cellStyle name="Обычный 8 7 14 2" xfId="30395"/>
    <cellStyle name="Обычный 8 7 14 3" xfId="30396"/>
    <cellStyle name="Обычный 8 7 15" xfId="30397"/>
    <cellStyle name="Обычный 8 7 15 2" xfId="30398"/>
    <cellStyle name="Обычный 8 7 15 3" xfId="30399"/>
    <cellStyle name="Обычный 8 7 16" xfId="30400"/>
    <cellStyle name="Обычный 8 7 16 2" xfId="30401"/>
    <cellStyle name="Обычный 8 7 16 3" xfId="30402"/>
    <cellStyle name="Обычный 8 7 17" xfId="30403"/>
    <cellStyle name="Обычный 8 7 17 2" xfId="30404"/>
    <cellStyle name="Обычный 8 7 17 3" xfId="30405"/>
    <cellStyle name="Обычный 8 7 18" xfId="30406"/>
    <cellStyle name="Обычный 8 7 18 2" xfId="30407"/>
    <cellStyle name="Обычный 8 7 18 3" xfId="30408"/>
    <cellStyle name="Обычный 8 7 19" xfId="30409"/>
    <cellStyle name="Обычный 8 7 19 2" xfId="30410"/>
    <cellStyle name="Обычный 8 7 19 3" xfId="30411"/>
    <cellStyle name="Обычный 8 7 2" xfId="30412"/>
    <cellStyle name="Обычный 8 7 2 2" xfId="30413"/>
    <cellStyle name="Обычный 8 7 2 3" xfId="30414"/>
    <cellStyle name="Обычный 8 7 20" xfId="30415"/>
    <cellStyle name="Обычный 8 7 20 2" xfId="30416"/>
    <cellStyle name="Обычный 8 7 20 3" xfId="30417"/>
    <cellStyle name="Обычный 8 7 21" xfId="30418"/>
    <cellStyle name="Обычный 8 7 21 2" xfId="30419"/>
    <cellStyle name="Обычный 8 7 21 3" xfId="30420"/>
    <cellStyle name="Обычный 8 7 22" xfId="30421"/>
    <cellStyle name="Обычный 8 7 22 2" xfId="30422"/>
    <cellStyle name="Обычный 8 7 22 3" xfId="30423"/>
    <cellStyle name="Обычный 8 7 23" xfId="30424"/>
    <cellStyle name="Обычный 8 7 23 2" xfId="30425"/>
    <cellStyle name="Обычный 8 7 23 3" xfId="30426"/>
    <cellStyle name="Обычный 8 7 24" xfId="30427"/>
    <cellStyle name="Обычный 8 7 24 2" xfId="30428"/>
    <cellStyle name="Обычный 8 7 24 3" xfId="30429"/>
    <cellStyle name="Обычный 8 7 25" xfId="30430"/>
    <cellStyle name="Обычный 8 7 25 2" xfId="30431"/>
    <cellStyle name="Обычный 8 7 25 3" xfId="30432"/>
    <cellStyle name="Обычный 8 7 26" xfId="30433"/>
    <cellStyle name="Обычный 8 7 26 2" xfId="30434"/>
    <cellStyle name="Обычный 8 7 26 3" xfId="30435"/>
    <cellStyle name="Обычный 8 7 27" xfId="30436"/>
    <cellStyle name="Обычный 8 7 27 2" xfId="30437"/>
    <cellStyle name="Обычный 8 7 27 3" xfId="30438"/>
    <cellStyle name="Обычный 8 7 28" xfId="30439"/>
    <cellStyle name="Обычный 8 7 28 2" xfId="30440"/>
    <cellStyle name="Обычный 8 7 28 3" xfId="30441"/>
    <cellStyle name="Обычный 8 7 29" xfId="30442"/>
    <cellStyle name="Обычный 8 7 29 2" xfId="30443"/>
    <cellStyle name="Обычный 8 7 29 3" xfId="30444"/>
    <cellStyle name="Обычный 8 7 3" xfId="30445"/>
    <cellStyle name="Обычный 8 7 3 2" xfId="30446"/>
    <cellStyle name="Обычный 8 7 3 3" xfId="30447"/>
    <cellStyle name="Обычный 8 7 30" xfId="30448"/>
    <cellStyle name="Обычный 8 7 30 2" xfId="30449"/>
    <cellStyle name="Обычный 8 7 30 3" xfId="30450"/>
    <cellStyle name="Обычный 8 7 31" xfId="30451"/>
    <cellStyle name="Обычный 8 7 31 2" xfId="30452"/>
    <cellStyle name="Обычный 8 7 31 3" xfId="30453"/>
    <cellStyle name="Обычный 8 7 32" xfId="30454"/>
    <cellStyle name="Обычный 8 7 32 2" xfId="30455"/>
    <cellStyle name="Обычный 8 7 32 3" xfId="30456"/>
    <cellStyle name="Обычный 8 7 33" xfId="30457"/>
    <cellStyle name="Обычный 8 7 33 2" xfId="30458"/>
    <cellStyle name="Обычный 8 7 33 3" xfId="30459"/>
    <cellStyle name="Обычный 8 7 34" xfId="30460"/>
    <cellStyle name="Обычный 8 7 34 2" xfId="30461"/>
    <cellStyle name="Обычный 8 7 34 3" xfId="30462"/>
    <cellStyle name="Обычный 8 7 35" xfId="30463"/>
    <cellStyle name="Обычный 8 7 35 2" xfId="30464"/>
    <cellStyle name="Обычный 8 7 35 3" xfId="30465"/>
    <cellStyle name="Обычный 8 7 36" xfId="30466"/>
    <cellStyle name="Обычный 8 7 36 2" xfId="30467"/>
    <cellStyle name="Обычный 8 7 36 3" xfId="30468"/>
    <cellStyle name="Обычный 8 7 37" xfId="30469"/>
    <cellStyle name="Обычный 8 7 37 2" xfId="30470"/>
    <cellStyle name="Обычный 8 7 37 3" xfId="30471"/>
    <cellStyle name="Обычный 8 7 38" xfId="30472"/>
    <cellStyle name="Обычный 8 7 38 2" xfId="30473"/>
    <cellStyle name="Обычный 8 7 38 3" xfId="30474"/>
    <cellStyle name="Обычный 8 7 39" xfId="30475"/>
    <cellStyle name="Обычный 8 7 39 2" xfId="30476"/>
    <cellStyle name="Обычный 8 7 39 3" xfId="30477"/>
    <cellStyle name="Обычный 8 7 4" xfId="30478"/>
    <cellStyle name="Обычный 8 7 4 2" xfId="30479"/>
    <cellStyle name="Обычный 8 7 4 3" xfId="30480"/>
    <cellStyle name="Обычный 8 7 40" xfId="30481"/>
    <cellStyle name="Обычный 8 7 40 2" xfId="30482"/>
    <cellStyle name="Обычный 8 7 40 3" xfId="30483"/>
    <cellStyle name="Обычный 8 7 41" xfId="30484"/>
    <cellStyle name="Обычный 8 7 41 2" xfId="30485"/>
    <cellStyle name="Обычный 8 7 41 3" xfId="30486"/>
    <cellStyle name="Обычный 8 7 42" xfId="30487"/>
    <cellStyle name="Обычный 8 7 42 2" xfId="30488"/>
    <cellStyle name="Обычный 8 7 42 3" xfId="30489"/>
    <cellStyle name="Обычный 8 7 43" xfId="30490"/>
    <cellStyle name="Обычный 8 7 43 2" xfId="30491"/>
    <cellStyle name="Обычный 8 7 43 3" xfId="30492"/>
    <cellStyle name="Обычный 8 7 44" xfId="30493"/>
    <cellStyle name="Обычный 8 7 44 2" xfId="30494"/>
    <cellStyle name="Обычный 8 7 44 3" xfId="30495"/>
    <cellStyle name="Обычный 8 7 45" xfId="30496"/>
    <cellStyle name="Обычный 8 7 45 2" xfId="30497"/>
    <cellStyle name="Обычный 8 7 45 3" xfId="30498"/>
    <cellStyle name="Обычный 8 7 46" xfId="30499"/>
    <cellStyle name="Обычный 8 7 46 2" xfId="30500"/>
    <cellStyle name="Обычный 8 7 46 3" xfId="30501"/>
    <cellStyle name="Обычный 8 7 47" xfId="30502"/>
    <cellStyle name="Обычный 8 7 47 2" xfId="30503"/>
    <cellStyle name="Обычный 8 7 47 3" xfId="30504"/>
    <cellStyle name="Обычный 8 7 48" xfId="30505"/>
    <cellStyle name="Обычный 8 7 48 2" xfId="30506"/>
    <cellStyle name="Обычный 8 7 48 3" xfId="30507"/>
    <cellStyle name="Обычный 8 7 49" xfId="30508"/>
    <cellStyle name="Обычный 8 7 49 2" xfId="30509"/>
    <cellStyle name="Обычный 8 7 49 3" xfId="30510"/>
    <cellStyle name="Обычный 8 7 5" xfId="30511"/>
    <cellStyle name="Обычный 8 7 5 2" xfId="30512"/>
    <cellStyle name="Обычный 8 7 5 3" xfId="30513"/>
    <cellStyle name="Обычный 8 7 50" xfId="30514"/>
    <cellStyle name="Обычный 8 7 50 2" xfId="30515"/>
    <cellStyle name="Обычный 8 7 50 3" xfId="30516"/>
    <cellStyle name="Обычный 8 7 51" xfId="30517"/>
    <cellStyle name="Обычный 8 7 51 2" xfId="30518"/>
    <cellStyle name="Обычный 8 7 51 3" xfId="30519"/>
    <cellStyle name="Обычный 8 7 52" xfId="30520"/>
    <cellStyle name="Обычный 8 7 52 2" xfId="30521"/>
    <cellStyle name="Обычный 8 7 52 3" xfId="30522"/>
    <cellStyle name="Обычный 8 7 53" xfId="30523"/>
    <cellStyle name="Обычный 8 7 53 2" xfId="30524"/>
    <cellStyle name="Обычный 8 7 53 3" xfId="30525"/>
    <cellStyle name="Обычный 8 7 54" xfId="30526"/>
    <cellStyle name="Обычный 8 7 54 2" xfId="30527"/>
    <cellStyle name="Обычный 8 7 54 3" xfId="30528"/>
    <cellStyle name="Обычный 8 7 55" xfId="30529"/>
    <cellStyle name="Обычный 8 7 55 2" xfId="30530"/>
    <cellStyle name="Обычный 8 7 55 3" xfId="30531"/>
    <cellStyle name="Обычный 8 7 56" xfId="30532"/>
    <cellStyle name="Обычный 8 7 56 2" xfId="30533"/>
    <cellStyle name="Обычный 8 7 56 3" xfId="30534"/>
    <cellStyle name="Обычный 8 7 57" xfId="30535"/>
    <cellStyle name="Обычный 8 7 57 2" xfId="30536"/>
    <cellStyle name="Обычный 8 7 57 3" xfId="30537"/>
    <cellStyle name="Обычный 8 7 58" xfId="30538"/>
    <cellStyle name="Обычный 8 7 58 2" xfId="30539"/>
    <cellStyle name="Обычный 8 7 58 3" xfId="30540"/>
    <cellStyle name="Обычный 8 7 59" xfId="30541"/>
    <cellStyle name="Обычный 8 7 59 2" xfId="30542"/>
    <cellStyle name="Обычный 8 7 59 3" xfId="30543"/>
    <cellStyle name="Обычный 8 7 6" xfId="30544"/>
    <cellStyle name="Обычный 8 7 6 2" xfId="30545"/>
    <cellStyle name="Обычный 8 7 6 3" xfId="30546"/>
    <cellStyle name="Обычный 8 7 60" xfId="30547"/>
    <cellStyle name="Обычный 8 7 60 2" xfId="30548"/>
    <cellStyle name="Обычный 8 7 60 3" xfId="30549"/>
    <cellStyle name="Обычный 8 7 61" xfId="30550"/>
    <cellStyle name="Обычный 8 7 61 2" xfId="30551"/>
    <cellStyle name="Обычный 8 7 61 3" xfId="30552"/>
    <cellStyle name="Обычный 8 7 62" xfId="30553"/>
    <cellStyle name="Обычный 8 7 62 2" xfId="30554"/>
    <cellStyle name="Обычный 8 7 62 3" xfId="30555"/>
    <cellStyle name="Обычный 8 7 63" xfId="30556"/>
    <cellStyle name="Обычный 8 7 63 2" xfId="30557"/>
    <cellStyle name="Обычный 8 7 63 3" xfId="30558"/>
    <cellStyle name="Обычный 8 7 64" xfId="30559"/>
    <cellStyle name="Обычный 8 7 65" xfId="30560"/>
    <cellStyle name="Обычный 8 7 7" xfId="30561"/>
    <cellStyle name="Обычный 8 7 7 2" xfId="30562"/>
    <cellStyle name="Обычный 8 7 7 3" xfId="30563"/>
    <cellStyle name="Обычный 8 7 8" xfId="30564"/>
    <cellStyle name="Обычный 8 7 8 2" xfId="30565"/>
    <cellStyle name="Обычный 8 7 8 3" xfId="30566"/>
    <cellStyle name="Обычный 8 7 9" xfId="30567"/>
    <cellStyle name="Обычный 8 7 9 2" xfId="30568"/>
    <cellStyle name="Обычный 8 7 9 3" xfId="30569"/>
    <cellStyle name="Обычный 8 70" xfId="30570"/>
    <cellStyle name="Обычный 8 70 2" xfId="30571"/>
    <cellStyle name="Обычный 8 70 3" xfId="30572"/>
    <cellStyle name="Обычный 8 71" xfId="30573"/>
    <cellStyle name="Обычный 8 71 2" xfId="30574"/>
    <cellStyle name="Обычный 8 71 3" xfId="30575"/>
    <cellStyle name="Обычный 8 72" xfId="30576"/>
    <cellStyle name="Обычный 8 72 2" xfId="30577"/>
    <cellStyle name="Обычный 8 72 3" xfId="30578"/>
    <cellStyle name="Обычный 8 73" xfId="30579"/>
    <cellStyle name="Обычный 8 74" xfId="30580"/>
    <cellStyle name="Обычный 8 8" xfId="30581"/>
    <cellStyle name="Обычный 8 8 10" xfId="30582"/>
    <cellStyle name="Обычный 8 8 10 2" xfId="30583"/>
    <cellStyle name="Обычный 8 8 10 3" xfId="30584"/>
    <cellStyle name="Обычный 8 8 11" xfId="30585"/>
    <cellStyle name="Обычный 8 8 11 2" xfId="30586"/>
    <cellStyle name="Обычный 8 8 11 3" xfId="30587"/>
    <cellStyle name="Обычный 8 8 12" xfId="30588"/>
    <cellStyle name="Обычный 8 8 12 2" xfId="30589"/>
    <cellStyle name="Обычный 8 8 12 3" xfId="30590"/>
    <cellStyle name="Обычный 8 8 13" xfId="30591"/>
    <cellStyle name="Обычный 8 8 13 2" xfId="30592"/>
    <cellStyle name="Обычный 8 8 13 3" xfId="30593"/>
    <cellStyle name="Обычный 8 8 14" xfId="30594"/>
    <cellStyle name="Обычный 8 8 14 2" xfId="30595"/>
    <cellStyle name="Обычный 8 8 14 3" xfId="30596"/>
    <cellStyle name="Обычный 8 8 15" xfId="30597"/>
    <cellStyle name="Обычный 8 8 15 2" xfId="30598"/>
    <cellStyle name="Обычный 8 8 15 3" xfId="30599"/>
    <cellStyle name="Обычный 8 8 16" xfId="30600"/>
    <cellStyle name="Обычный 8 8 16 2" xfId="30601"/>
    <cellStyle name="Обычный 8 8 16 3" xfId="30602"/>
    <cellStyle name="Обычный 8 8 17" xfId="30603"/>
    <cellStyle name="Обычный 8 8 17 2" xfId="30604"/>
    <cellStyle name="Обычный 8 8 17 3" xfId="30605"/>
    <cellStyle name="Обычный 8 8 18" xfId="30606"/>
    <cellStyle name="Обычный 8 8 18 2" xfId="30607"/>
    <cellStyle name="Обычный 8 8 18 3" xfId="30608"/>
    <cellStyle name="Обычный 8 8 19" xfId="30609"/>
    <cellStyle name="Обычный 8 8 19 2" xfId="30610"/>
    <cellStyle name="Обычный 8 8 19 3" xfId="30611"/>
    <cellStyle name="Обычный 8 8 2" xfId="30612"/>
    <cellStyle name="Обычный 8 8 2 2" xfId="30613"/>
    <cellStyle name="Обычный 8 8 2 3" xfId="30614"/>
    <cellStyle name="Обычный 8 8 20" xfId="30615"/>
    <cellStyle name="Обычный 8 8 20 2" xfId="30616"/>
    <cellStyle name="Обычный 8 8 20 3" xfId="30617"/>
    <cellStyle name="Обычный 8 8 21" xfId="30618"/>
    <cellStyle name="Обычный 8 8 21 2" xfId="30619"/>
    <cellStyle name="Обычный 8 8 21 3" xfId="30620"/>
    <cellStyle name="Обычный 8 8 22" xfId="30621"/>
    <cellStyle name="Обычный 8 8 22 2" xfId="30622"/>
    <cellStyle name="Обычный 8 8 22 3" xfId="30623"/>
    <cellStyle name="Обычный 8 8 23" xfId="30624"/>
    <cellStyle name="Обычный 8 8 23 2" xfId="30625"/>
    <cellStyle name="Обычный 8 8 23 3" xfId="30626"/>
    <cellStyle name="Обычный 8 8 24" xfId="30627"/>
    <cellStyle name="Обычный 8 8 24 2" xfId="30628"/>
    <cellStyle name="Обычный 8 8 24 3" xfId="30629"/>
    <cellStyle name="Обычный 8 8 25" xfId="30630"/>
    <cellStyle name="Обычный 8 8 25 2" xfId="30631"/>
    <cellStyle name="Обычный 8 8 25 3" xfId="30632"/>
    <cellStyle name="Обычный 8 8 26" xfId="30633"/>
    <cellStyle name="Обычный 8 8 26 2" xfId="30634"/>
    <cellStyle name="Обычный 8 8 26 3" xfId="30635"/>
    <cellStyle name="Обычный 8 8 27" xfId="30636"/>
    <cellStyle name="Обычный 8 8 27 2" xfId="30637"/>
    <cellStyle name="Обычный 8 8 27 3" xfId="30638"/>
    <cellStyle name="Обычный 8 8 28" xfId="30639"/>
    <cellStyle name="Обычный 8 8 28 2" xfId="30640"/>
    <cellStyle name="Обычный 8 8 28 3" xfId="30641"/>
    <cellStyle name="Обычный 8 8 29" xfId="30642"/>
    <cellStyle name="Обычный 8 8 29 2" xfId="30643"/>
    <cellStyle name="Обычный 8 8 29 3" xfId="30644"/>
    <cellStyle name="Обычный 8 8 3" xfId="30645"/>
    <cellStyle name="Обычный 8 8 3 2" xfId="30646"/>
    <cellStyle name="Обычный 8 8 3 3" xfId="30647"/>
    <cellStyle name="Обычный 8 8 30" xfId="30648"/>
    <cellStyle name="Обычный 8 8 30 2" xfId="30649"/>
    <cellStyle name="Обычный 8 8 30 3" xfId="30650"/>
    <cellStyle name="Обычный 8 8 31" xfId="30651"/>
    <cellStyle name="Обычный 8 8 31 2" xfId="30652"/>
    <cellStyle name="Обычный 8 8 31 3" xfId="30653"/>
    <cellStyle name="Обычный 8 8 32" xfId="30654"/>
    <cellStyle name="Обычный 8 8 32 2" xfId="30655"/>
    <cellStyle name="Обычный 8 8 32 3" xfId="30656"/>
    <cellStyle name="Обычный 8 8 33" xfId="30657"/>
    <cellStyle name="Обычный 8 8 33 2" xfId="30658"/>
    <cellStyle name="Обычный 8 8 33 3" xfId="30659"/>
    <cellStyle name="Обычный 8 8 34" xfId="30660"/>
    <cellStyle name="Обычный 8 8 34 2" xfId="30661"/>
    <cellStyle name="Обычный 8 8 34 3" xfId="30662"/>
    <cellStyle name="Обычный 8 8 35" xfId="30663"/>
    <cellStyle name="Обычный 8 8 35 2" xfId="30664"/>
    <cellStyle name="Обычный 8 8 35 3" xfId="30665"/>
    <cellStyle name="Обычный 8 8 36" xfId="30666"/>
    <cellStyle name="Обычный 8 8 36 2" xfId="30667"/>
    <cellStyle name="Обычный 8 8 36 3" xfId="30668"/>
    <cellStyle name="Обычный 8 8 37" xfId="30669"/>
    <cellStyle name="Обычный 8 8 37 2" xfId="30670"/>
    <cellStyle name="Обычный 8 8 37 3" xfId="30671"/>
    <cellStyle name="Обычный 8 8 38" xfId="30672"/>
    <cellStyle name="Обычный 8 8 38 2" xfId="30673"/>
    <cellStyle name="Обычный 8 8 38 3" xfId="30674"/>
    <cellStyle name="Обычный 8 8 39" xfId="30675"/>
    <cellStyle name="Обычный 8 8 39 2" xfId="30676"/>
    <cellStyle name="Обычный 8 8 39 3" xfId="30677"/>
    <cellStyle name="Обычный 8 8 4" xfId="30678"/>
    <cellStyle name="Обычный 8 8 4 2" xfId="30679"/>
    <cellStyle name="Обычный 8 8 4 3" xfId="30680"/>
    <cellStyle name="Обычный 8 8 40" xfId="30681"/>
    <cellStyle name="Обычный 8 8 40 2" xfId="30682"/>
    <cellStyle name="Обычный 8 8 40 3" xfId="30683"/>
    <cellStyle name="Обычный 8 8 41" xfId="30684"/>
    <cellStyle name="Обычный 8 8 41 2" xfId="30685"/>
    <cellStyle name="Обычный 8 8 41 3" xfId="30686"/>
    <cellStyle name="Обычный 8 8 42" xfId="30687"/>
    <cellStyle name="Обычный 8 8 42 2" xfId="30688"/>
    <cellStyle name="Обычный 8 8 42 3" xfId="30689"/>
    <cellStyle name="Обычный 8 8 43" xfId="30690"/>
    <cellStyle name="Обычный 8 8 43 2" xfId="30691"/>
    <cellStyle name="Обычный 8 8 43 3" xfId="30692"/>
    <cellStyle name="Обычный 8 8 44" xfId="30693"/>
    <cellStyle name="Обычный 8 8 44 2" xfId="30694"/>
    <cellStyle name="Обычный 8 8 44 3" xfId="30695"/>
    <cellStyle name="Обычный 8 8 45" xfId="30696"/>
    <cellStyle name="Обычный 8 8 45 2" xfId="30697"/>
    <cellStyle name="Обычный 8 8 45 3" xfId="30698"/>
    <cellStyle name="Обычный 8 8 46" xfId="30699"/>
    <cellStyle name="Обычный 8 8 46 2" xfId="30700"/>
    <cellStyle name="Обычный 8 8 46 3" xfId="30701"/>
    <cellStyle name="Обычный 8 8 47" xfId="30702"/>
    <cellStyle name="Обычный 8 8 47 2" xfId="30703"/>
    <cellStyle name="Обычный 8 8 47 3" xfId="30704"/>
    <cellStyle name="Обычный 8 8 48" xfId="30705"/>
    <cellStyle name="Обычный 8 8 48 2" xfId="30706"/>
    <cellStyle name="Обычный 8 8 48 3" xfId="30707"/>
    <cellStyle name="Обычный 8 8 49" xfId="30708"/>
    <cellStyle name="Обычный 8 8 49 2" xfId="30709"/>
    <cellStyle name="Обычный 8 8 49 3" xfId="30710"/>
    <cellStyle name="Обычный 8 8 5" xfId="30711"/>
    <cellStyle name="Обычный 8 8 5 2" xfId="30712"/>
    <cellStyle name="Обычный 8 8 5 3" xfId="30713"/>
    <cellStyle name="Обычный 8 8 50" xfId="30714"/>
    <cellStyle name="Обычный 8 8 50 2" xfId="30715"/>
    <cellStyle name="Обычный 8 8 50 3" xfId="30716"/>
    <cellStyle name="Обычный 8 8 51" xfId="30717"/>
    <cellStyle name="Обычный 8 8 51 2" xfId="30718"/>
    <cellStyle name="Обычный 8 8 51 3" xfId="30719"/>
    <cellStyle name="Обычный 8 8 52" xfId="30720"/>
    <cellStyle name="Обычный 8 8 52 2" xfId="30721"/>
    <cellStyle name="Обычный 8 8 52 3" xfId="30722"/>
    <cellStyle name="Обычный 8 8 53" xfId="30723"/>
    <cellStyle name="Обычный 8 8 53 2" xfId="30724"/>
    <cellStyle name="Обычный 8 8 53 3" xfId="30725"/>
    <cellStyle name="Обычный 8 8 54" xfId="30726"/>
    <cellStyle name="Обычный 8 8 54 2" xfId="30727"/>
    <cellStyle name="Обычный 8 8 54 3" xfId="30728"/>
    <cellStyle name="Обычный 8 8 55" xfId="30729"/>
    <cellStyle name="Обычный 8 8 55 2" xfId="30730"/>
    <cellStyle name="Обычный 8 8 55 3" xfId="30731"/>
    <cellStyle name="Обычный 8 8 56" xfId="30732"/>
    <cellStyle name="Обычный 8 8 56 2" xfId="30733"/>
    <cellStyle name="Обычный 8 8 56 3" xfId="30734"/>
    <cellStyle name="Обычный 8 8 57" xfId="30735"/>
    <cellStyle name="Обычный 8 8 57 2" xfId="30736"/>
    <cellStyle name="Обычный 8 8 57 3" xfId="30737"/>
    <cellStyle name="Обычный 8 8 58" xfId="30738"/>
    <cellStyle name="Обычный 8 8 58 2" xfId="30739"/>
    <cellStyle name="Обычный 8 8 58 3" xfId="30740"/>
    <cellStyle name="Обычный 8 8 59" xfId="30741"/>
    <cellStyle name="Обычный 8 8 59 2" xfId="30742"/>
    <cellStyle name="Обычный 8 8 59 3" xfId="30743"/>
    <cellStyle name="Обычный 8 8 6" xfId="30744"/>
    <cellStyle name="Обычный 8 8 6 2" xfId="30745"/>
    <cellStyle name="Обычный 8 8 6 3" xfId="30746"/>
    <cellStyle name="Обычный 8 8 60" xfId="30747"/>
    <cellStyle name="Обычный 8 8 60 2" xfId="30748"/>
    <cellStyle name="Обычный 8 8 60 3" xfId="30749"/>
    <cellStyle name="Обычный 8 8 61" xfId="30750"/>
    <cellStyle name="Обычный 8 8 61 2" xfId="30751"/>
    <cellStyle name="Обычный 8 8 61 3" xfId="30752"/>
    <cellStyle name="Обычный 8 8 62" xfId="30753"/>
    <cellStyle name="Обычный 8 8 62 2" xfId="30754"/>
    <cellStyle name="Обычный 8 8 62 3" xfId="30755"/>
    <cellStyle name="Обычный 8 8 63" xfId="30756"/>
    <cellStyle name="Обычный 8 8 63 2" xfId="30757"/>
    <cellStyle name="Обычный 8 8 63 3" xfId="30758"/>
    <cellStyle name="Обычный 8 8 64" xfId="30759"/>
    <cellStyle name="Обычный 8 8 65" xfId="30760"/>
    <cellStyle name="Обычный 8 8 7" xfId="30761"/>
    <cellStyle name="Обычный 8 8 7 2" xfId="30762"/>
    <cellStyle name="Обычный 8 8 7 3" xfId="30763"/>
    <cellStyle name="Обычный 8 8 8" xfId="30764"/>
    <cellStyle name="Обычный 8 8 8 2" xfId="30765"/>
    <cellStyle name="Обычный 8 8 8 3" xfId="30766"/>
    <cellStyle name="Обычный 8 8 9" xfId="30767"/>
    <cellStyle name="Обычный 8 8 9 2" xfId="30768"/>
    <cellStyle name="Обычный 8 8 9 3" xfId="30769"/>
    <cellStyle name="Обычный 8 9" xfId="30770"/>
    <cellStyle name="Обычный 8 9 10" xfId="30771"/>
    <cellStyle name="Обычный 8 9 10 2" xfId="30772"/>
    <cellStyle name="Обычный 8 9 10 3" xfId="30773"/>
    <cellStyle name="Обычный 8 9 11" xfId="30774"/>
    <cellStyle name="Обычный 8 9 11 2" xfId="30775"/>
    <cellStyle name="Обычный 8 9 11 3" xfId="30776"/>
    <cellStyle name="Обычный 8 9 12" xfId="30777"/>
    <cellStyle name="Обычный 8 9 12 2" xfId="30778"/>
    <cellStyle name="Обычный 8 9 12 3" xfId="30779"/>
    <cellStyle name="Обычный 8 9 13" xfId="30780"/>
    <cellStyle name="Обычный 8 9 13 2" xfId="30781"/>
    <cellStyle name="Обычный 8 9 13 3" xfId="30782"/>
    <cellStyle name="Обычный 8 9 14" xfId="30783"/>
    <cellStyle name="Обычный 8 9 14 2" xfId="30784"/>
    <cellStyle name="Обычный 8 9 14 3" xfId="30785"/>
    <cellStyle name="Обычный 8 9 15" xfId="30786"/>
    <cellStyle name="Обычный 8 9 15 2" xfId="30787"/>
    <cellStyle name="Обычный 8 9 15 3" xfId="30788"/>
    <cellStyle name="Обычный 8 9 16" xfId="30789"/>
    <cellStyle name="Обычный 8 9 16 2" xfId="30790"/>
    <cellStyle name="Обычный 8 9 16 3" xfId="30791"/>
    <cellStyle name="Обычный 8 9 17" xfId="30792"/>
    <cellStyle name="Обычный 8 9 17 2" xfId="30793"/>
    <cellStyle name="Обычный 8 9 17 3" xfId="30794"/>
    <cellStyle name="Обычный 8 9 18" xfId="30795"/>
    <cellStyle name="Обычный 8 9 18 2" xfId="30796"/>
    <cellStyle name="Обычный 8 9 18 3" xfId="30797"/>
    <cellStyle name="Обычный 8 9 19" xfId="30798"/>
    <cellStyle name="Обычный 8 9 19 2" xfId="30799"/>
    <cellStyle name="Обычный 8 9 19 3" xfId="30800"/>
    <cellStyle name="Обычный 8 9 2" xfId="30801"/>
    <cellStyle name="Обычный 8 9 2 2" xfId="30802"/>
    <cellStyle name="Обычный 8 9 2 3" xfId="30803"/>
    <cellStyle name="Обычный 8 9 20" xfId="30804"/>
    <cellStyle name="Обычный 8 9 20 2" xfId="30805"/>
    <cellStyle name="Обычный 8 9 20 3" xfId="30806"/>
    <cellStyle name="Обычный 8 9 21" xfId="30807"/>
    <cellStyle name="Обычный 8 9 21 2" xfId="30808"/>
    <cellStyle name="Обычный 8 9 21 3" xfId="30809"/>
    <cellStyle name="Обычный 8 9 22" xfId="30810"/>
    <cellStyle name="Обычный 8 9 22 2" xfId="30811"/>
    <cellStyle name="Обычный 8 9 22 3" xfId="30812"/>
    <cellStyle name="Обычный 8 9 23" xfId="30813"/>
    <cellStyle name="Обычный 8 9 23 2" xfId="30814"/>
    <cellStyle name="Обычный 8 9 23 3" xfId="30815"/>
    <cellStyle name="Обычный 8 9 24" xfId="30816"/>
    <cellStyle name="Обычный 8 9 24 2" xfId="30817"/>
    <cellStyle name="Обычный 8 9 24 3" xfId="30818"/>
    <cellStyle name="Обычный 8 9 25" xfId="30819"/>
    <cellStyle name="Обычный 8 9 25 2" xfId="30820"/>
    <cellStyle name="Обычный 8 9 25 3" xfId="30821"/>
    <cellStyle name="Обычный 8 9 26" xfId="30822"/>
    <cellStyle name="Обычный 8 9 26 2" xfId="30823"/>
    <cellStyle name="Обычный 8 9 26 3" xfId="30824"/>
    <cellStyle name="Обычный 8 9 27" xfId="30825"/>
    <cellStyle name="Обычный 8 9 27 2" xfId="30826"/>
    <cellStyle name="Обычный 8 9 27 3" xfId="30827"/>
    <cellStyle name="Обычный 8 9 28" xfId="30828"/>
    <cellStyle name="Обычный 8 9 28 2" xfId="30829"/>
    <cellStyle name="Обычный 8 9 28 3" xfId="30830"/>
    <cellStyle name="Обычный 8 9 29" xfId="30831"/>
    <cellStyle name="Обычный 8 9 29 2" xfId="30832"/>
    <cellStyle name="Обычный 8 9 29 3" xfId="30833"/>
    <cellStyle name="Обычный 8 9 3" xfId="30834"/>
    <cellStyle name="Обычный 8 9 3 2" xfId="30835"/>
    <cellStyle name="Обычный 8 9 3 3" xfId="30836"/>
    <cellStyle name="Обычный 8 9 30" xfId="30837"/>
    <cellStyle name="Обычный 8 9 30 2" xfId="30838"/>
    <cellStyle name="Обычный 8 9 30 3" xfId="30839"/>
    <cellStyle name="Обычный 8 9 31" xfId="30840"/>
    <cellStyle name="Обычный 8 9 31 2" xfId="30841"/>
    <cellStyle name="Обычный 8 9 31 3" xfId="30842"/>
    <cellStyle name="Обычный 8 9 32" xfId="30843"/>
    <cellStyle name="Обычный 8 9 32 2" xfId="30844"/>
    <cellStyle name="Обычный 8 9 32 3" xfId="30845"/>
    <cellStyle name="Обычный 8 9 33" xfId="30846"/>
    <cellStyle name="Обычный 8 9 33 2" xfId="30847"/>
    <cellStyle name="Обычный 8 9 33 3" xfId="30848"/>
    <cellStyle name="Обычный 8 9 34" xfId="30849"/>
    <cellStyle name="Обычный 8 9 34 2" xfId="30850"/>
    <cellStyle name="Обычный 8 9 34 3" xfId="30851"/>
    <cellStyle name="Обычный 8 9 35" xfId="30852"/>
    <cellStyle name="Обычный 8 9 35 2" xfId="30853"/>
    <cellStyle name="Обычный 8 9 35 3" xfId="30854"/>
    <cellStyle name="Обычный 8 9 36" xfId="30855"/>
    <cellStyle name="Обычный 8 9 36 2" xfId="30856"/>
    <cellStyle name="Обычный 8 9 36 3" xfId="30857"/>
    <cellStyle name="Обычный 8 9 37" xfId="30858"/>
    <cellStyle name="Обычный 8 9 37 2" xfId="30859"/>
    <cellStyle name="Обычный 8 9 37 3" xfId="30860"/>
    <cellStyle name="Обычный 8 9 38" xfId="30861"/>
    <cellStyle name="Обычный 8 9 38 2" xfId="30862"/>
    <cellStyle name="Обычный 8 9 38 3" xfId="30863"/>
    <cellStyle name="Обычный 8 9 39" xfId="30864"/>
    <cellStyle name="Обычный 8 9 39 2" xfId="30865"/>
    <cellStyle name="Обычный 8 9 39 3" xfId="30866"/>
    <cellStyle name="Обычный 8 9 4" xfId="30867"/>
    <cellStyle name="Обычный 8 9 4 2" xfId="30868"/>
    <cellStyle name="Обычный 8 9 4 3" xfId="30869"/>
    <cellStyle name="Обычный 8 9 40" xfId="30870"/>
    <cellStyle name="Обычный 8 9 40 2" xfId="30871"/>
    <cellStyle name="Обычный 8 9 40 3" xfId="30872"/>
    <cellStyle name="Обычный 8 9 41" xfId="30873"/>
    <cellStyle name="Обычный 8 9 41 2" xfId="30874"/>
    <cellStyle name="Обычный 8 9 41 3" xfId="30875"/>
    <cellStyle name="Обычный 8 9 42" xfId="30876"/>
    <cellStyle name="Обычный 8 9 42 2" xfId="30877"/>
    <cellStyle name="Обычный 8 9 42 3" xfId="30878"/>
    <cellStyle name="Обычный 8 9 43" xfId="30879"/>
    <cellStyle name="Обычный 8 9 43 2" xfId="30880"/>
    <cellStyle name="Обычный 8 9 43 3" xfId="30881"/>
    <cellStyle name="Обычный 8 9 44" xfId="30882"/>
    <cellStyle name="Обычный 8 9 44 2" xfId="30883"/>
    <cellStyle name="Обычный 8 9 44 3" xfId="30884"/>
    <cellStyle name="Обычный 8 9 45" xfId="30885"/>
    <cellStyle name="Обычный 8 9 45 2" xfId="30886"/>
    <cellStyle name="Обычный 8 9 45 3" xfId="30887"/>
    <cellStyle name="Обычный 8 9 46" xfId="30888"/>
    <cellStyle name="Обычный 8 9 46 2" xfId="30889"/>
    <cellStyle name="Обычный 8 9 46 3" xfId="30890"/>
    <cellStyle name="Обычный 8 9 47" xfId="30891"/>
    <cellStyle name="Обычный 8 9 47 2" xfId="30892"/>
    <cellStyle name="Обычный 8 9 47 3" xfId="30893"/>
    <cellStyle name="Обычный 8 9 48" xfId="30894"/>
    <cellStyle name="Обычный 8 9 48 2" xfId="30895"/>
    <cellStyle name="Обычный 8 9 48 3" xfId="30896"/>
    <cellStyle name="Обычный 8 9 49" xfId="30897"/>
    <cellStyle name="Обычный 8 9 49 2" xfId="30898"/>
    <cellStyle name="Обычный 8 9 49 3" xfId="30899"/>
    <cellStyle name="Обычный 8 9 5" xfId="30900"/>
    <cellStyle name="Обычный 8 9 5 2" xfId="30901"/>
    <cellStyle name="Обычный 8 9 5 3" xfId="30902"/>
    <cellStyle name="Обычный 8 9 50" xfId="30903"/>
    <cellStyle name="Обычный 8 9 50 2" xfId="30904"/>
    <cellStyle name="Обычный 8 9 50 3" xfId="30905"/>
    <cellStyle name="Обычный 8 9 51" xfId="30906"/>
    <cellStyle name="Обычный 8 9 51 2" xfId="30907"/>
    <cellStyle name="Обычный 8 9 51 3" xfId="30908"/>
    <cellStyle name="Обычный 8 9 52" xfId="30909"/>
    <cellStyle name="Обычный 8 9 52 2" xfId="30910"/>
    <cellStyle name="Обычный 8 9 52 3" xfId="30911"/>
    <cellStyle name="Обычный 8 9 53" xfId="30912"/>
    <cellStyle name="Обычный 8 9 53 2" xfId="30913"/>
    <cellStyle name="Обычный 8 9 53 3" xfId="30914"/>
    <cellStyle name="Обычный 8 9 54" xfId="30915"/>
    <cellStyle name="Обычный 8 9 54 2" xfId="30916"/>
    <cellStyle name="Обычный 8 9 54 3" xfId="30917"/>
    <cellStyle name="Обычный 8 9 55" xfId="30918"/>
    <cellStyle name="Обычный 8 9 55 2" xfId="30919"/>
    <cellStyle name="Обычный 8 9 55 3" xfId="30920"/>
    <cellStyle name="Обычный 8 9 56" xfId="30921"/>
    <cellStyle name="Обычный 8 9 56 2" xfId="30922"/>
    <cellStyle name="Обычный 8 9 56 3" xfId="30923"/>
    <cellStyle name="Обычный 8 9 57" xfId="30924"/>
    <cellStyle name="Обычный 8 9 57 2" xfId="30925"/>
    <cellStyle name="Обычный 8 9 57 3" xfId="30926"/>
    <cellStyle name="Обычный 8 9 58" xfId="30927"/>
    <cellStyle name="Обычный 8 9 58 2" xfId="30928"/>
    <cellStyle name="Обычный 8 9 58 3" xfId="30929"/>
    <cellStyle name="Обычный 8 9 59" xfId="30930"/>
    <cellStyle name="Обычный 8 9 59 2" xfId="30931"/>
    <cellStyle name="Обычный 8 9 59 3" xfId="30932"/>
    <cellStyle name="Обычный 8 9 6" xfId="30933"/>
    <cellStyle name="Обычный 8 9 6 2" xfId="30934"/>
    <cellStyle name="Обычный 8 9 6 3" xfId="30935"/>
    <cellStyle name="Обычный 8 9 60" xfId="30936"/>
    <cellStyle name="Обычный 8 9 60 2" xfId="30937"/>
    <cellStyle name="Обычный 8 9 60 3" xfId="30938"/>
    <cellStyle name="Обычный 8 9 61" xfId="30939"/>
    <cellStyle name="Обычный 8 9 61 2" xfId="30940"/>
    <cellStyle name="Обычный 8 9 61 3" xfId="30941"/>
    <cellStyle name="Обычный 8 9 62" xfId="30942"/>
    <cellStyle name="Обычный 8 9 62 2" xfId="30943"/>
    <cellStyle name="Обычный 8 9 62 3" xfId="30944"/>
    <cellStyle name="Обычный 8 9 63" xfId="30945"/>
    <cellStyle name="Обычный 8 9 63 2" xfId="30946"/>
    <cellStyle name="Обычный 8 9 63 3" xfId="30947"/>
    <cellStyle name="Обычный 8 9 64" xfId="30948"/>
    <cellStyle name="Обычный 8 9 65" xfId="30949"/>
    <cellStyle name="Обычный 8 9 7" xfId="30950"/>
    <cellStyle name="Обычный 8 9 7 2" xfId="30951"/>
    <cellStyle name="Обычный 8 9 7 3" xfId="30952"/>
    <cellStyle name="Обычный 8 9 8" xfId="30953"/>
    <cellStyle name="Обычный 8 9 8 2" xfId="30954"/>
    <cellStyle name="Обычный 8 9 8 3" xfId="30955"/>
    <cellStyle name="Обычный 8 9 9" xfId="30956"/>
    <cellStyle name="Обычный 8 9 9 2" xfId="30957"/>
    <cellStyle name="Обычный 8 9 9 3" xfId="30958"/>
    <cellStyle name="Обычный 80" xfId="30959"/>
    <cellStyle name="Обычный 80 2" xfId="30960"/>
    <cellStyle name="Обычный 80 3" xfId="30961"/>
    <cellStyle name="Обычный 81" xfId="30962"/>
    <cellStyle name="Обычный 81 2" xfId="30963"/>
    <cellStyle name="Обычный 81 3" xfId="30964"/>
    <cellStyle name="Обычный 82" xfId="30965"/>
    <cellStyle name="Обычный 82 2" xfId="30966"/>
    <cellStyle name="Обычный 82 3" xfId="30967"/>
    <cellStyle name="Обычный 83" xfId="30968"/>
    <cellStyle name="Обычный 83 2" xfId="30969"/>
    <cellStyle name="Обычный 83 3" xfId="30970"/>
    <cellStyle name="Обычный 84" xfId="30971"/>
    <cellStyle name="Обычный 84 2" xfId="30972"/>
    <cellStyle name="Обычный 84 3" xfId="30973"/>
    <cellStyle name="Обычный 85" xfId="30974"/>
    <cellStyle name="Обычный 85 2" xfId="30975"/>
    <cellStyle name="Обычный 85 3" xfId="30976"/>
    <cellStyle name="Обычный 86" xfId="30977"/>
    <cellStyle name="Обычный 86 2" xfId="30978"/>
    <cellStyle name="Обычный 86 3" xfId="30979"/>
    <cellStyle name="Обычный 87" xfId="30980"/>
    <cellStyle name="Обычный 87 2" xfId="30981"/>
    <cellStyle name="Обычный 87 3" xfId="30982"/>
    <cellStyle name="Обычный 88" xfId="30983"/>
    <cellStyle name="Обычный 88 2" xfId="30984"/>
    <cellStyle name="Обычный 88 3" xfId="30985"/>
    <cellStyle name="Обычный 9" xfId="122"/>
    <cellStyle name="Обычный 90" xfId="30986"/>
    <cellStyle name="Обычный 90 2" xfId="30987"/>
    <cellStyle name="Обычный 90 3" xfId="30988"/>
    <cellStyle name="Обычный 91" xfId="30989"/>
    <cellStyle name="Обычный 91 2" xfId="30990"/>
    <cellStyle name="Обычный 91 3" xfId="30991"/>
    <cellStyle name="Обычный_Для работы" xfId="32666"/>
    <cellStyle name="Плохой 10" xfId="30992"/>
    <cellStyle name="Плохой 11" xfId="30993"/>
    <cellStyle name="Плохой 12" xfId="30994"/>
    <cellStyle name="Плохой 13" xfId="30995"/>
    <cellStyle name="Плохой 14" xfId="30996"/>
    <cellStyle name="Плохой 15" xfId="30997"/>
    <cellStyle name="Плохой 15 2" xfId="30998"/>
    <cellStyle name="Плохой 16" xfId="30999"/>
    <cellStyle name="Плохой 16 2" xfId="31000"/>
    <cellStyle name="Плохой 17" xfId="31001"/>
    <cellStyle name="Плохой 17 2" xfId="31002"/>
    <cellStyle name="Плохой 18" xfId="31003"/>
    <cellStyle name="Плохой 18 2" xfId="31004"/>
    <cellStyle name="Плохой 19" xfId="31005"/>
    <cellStyle name="Плохой 2" xfId="31006"/>
    <cellStyle name="Плохой 2 10" xfId="31007"/>
    <cellStyle name="Плохой 2 11" xfId="31008"/>
    <cellStyle name="Плохой 2 12" xfId="31009"/>
    <cellStyle name="Плохой 2 13" xfId="31010"/>
    <cellStyle name="Плохой 2 14" xfId="31011"/>
    <cellStyle name="Плохой 2 15" xfId="31012"/>
    <cellStyle name="Плохой 2 16" xfId="31013"/>
    <cellStyle name="Плохой 2 17" xfId="31014"/>
    <cellStyle name="Плохой 2 18" xfId="31015"/>
    <cellStyle name="Плохой 2 19" xfId="31016"/>
    <cellStyle name="Плохой 2 2" xfId="31017"/>
    <cellStyle name="Плохой 2 20" xfId="31018"/>
    <cellStyle name="Плохой 2 21" xfId="31019"/>
    <cellStyle name="Плохой 2 22" xfId="31020"/>
    <cellStyle name="Плохой 2 23" xfId="31021"/>
    <cellStyle name="Плохой 2 24" xfId="31022"/>
    <cellStyle name="Плохой 2 25" xfId="31023"/>
    <cellStyle name="Плохой 2 26" xfId="31024"/>
    <cellStyle name="Плохой 2 27" xfId="31025"/>
    <cellStyle name="Плохой 2 28" xfId="31026"/>
    <cellStyle name="Плохой 2 29" xfId="31027"/>
    <cellStyle name="Плохой 2 3" xfId="31028"/>
    <cellStyle name="Плохой 2 30" xfId="31029"/>
    <cellStyle name="Плохой 2 31" xfId="31030"/>
    <cellStyle name="Плохой 2 32" xfId="31031"/>
    <cellStyle name="Плохой 2 33" xfId="31032"/>
    <cellStyle name="Плохой 2 34" xfId="31033"/>
    <cellStyle name="Плохой 2 35" xfId="31034"/>
    <cellStyle name="Плохой 2 36" xfId="31035"/>
    <cellStyle name="Плохой 2 4" xfId="31036"/>
    <cellStyle name="Плохой 2 5" xfId="31037"/>
    <cellStyle name="Плохой 2 6" xfId="31038"/>
    <cellStyle name="Плохой 2 7" xfId="31039"/>
    <cellStyle name="Плохой 2 8" xfId="31040"/>
    <cellStyle name="Плохой 2 9" xfId="31041"/>
    <cellStyle name="Плохой 20" xfId="31042"/>
    <cellStyle name="Плохой 20 2" xfId="31043"/>
    <cellStyle name="Плохой 20 3" xfId="31044"/>
    <cellStyle name="Плохой 20 4" xfId="31045"/>
    <cellStyle name="Плохой 21" xfId="31046"/>
    <cellStyle name="Плохой 21 2" xfId="31047"/>
    <cellStyle name="Плохой 21 3" xfId="31048"/>
    <cellStyle name="Плохой 21 4" xfId="31049"/>
    <cellStyle name="Плохой 22" xfId="31050"/>
    <cellStyle name="Плохой 22 2" xfId="31051"/>
    <cellStyle name="Плохой 22 3" xfId="31052"/>
    <cellStyle name="Плохой 22 4" xfId="31053"/>
    <cellStyle name="Плохой 23" xfId="31054"/>
    <cellStyle name="Плохой 24" xfId="31055"/>
    <cellStyle name="Плохой 25" xfId="31056"/>
    <cellStyle name="Плохой 26" xfId="31057"/>
    <cellStyle name="Плохой 27" xfId="31058"/>
    <cellStyle name="Плохой 28" xfId="31059"/>
    <cellStyle name="Плохой 29" xfId="31060"/>
    <cellStyle name="Плохой 3" xfId="31061"/>
    <cellStyle name="Плохой 4" xfId="31062"/>
    <cellStyle name="Плохой 5" xfId="31063"/>
    <cellStyle name="Плохой 6" xfId="31064"/>
    <cellStyle name="Плохой 7" xfId="31065"/>
    <cellStyle name="Плохой 8" xfId="31066"/>
    <cellStyle name="Плохой 9" xfId="31067"/>
    <cellStyle name="Пояснение 10" xfId="31068"/>
    <cellStyle name="Пояснение 11" xfId="31069"/>
    <cellStyle name="Пояснение 12" xfId="31070"/>
    <cellStyle name="Пояснение 13" xfId="31071"/>
    <cellStyle name="Пояснение 14" xfId="31072"/>
    <cellStyle name="Пояснение 15" xfId="31073"/>
    <cellStyle name="Пояснение 15 2" xfId="31074"/>
    <cellStyle name="Пояснение 16" xfId="31075"/>
    <cellStyle name="Пояснение 16 2" xfId="31076"/>
    <cellStyle name="Пояснение 17" xfId="31077"/>
    <cellStyle name="Пояснение 17 2" xfId="31078"/>
    <cellStyle name="Пояснение 18" xfId="31079"/>
    <cellStyle name="Пояснение 18 2" xfId="31080"/>
    <cellStyle name="Пояснение 19" xfId="31081"/>
    <cellStyle name="Пояснение 2" xfId="31082"/>
    <cellStyle name="Пояснение 2 10" xfId="31083"/>
    <cellStyle name="Пояснение 2 11" xfId="31084"/>
    <cellStyle name="Пояснение 2 12" xfId="31085"/>
    <cellStyle name="Пояснение 2 13" xfId="31086"/>
    <cellStyle name="Пояснение 2 14" xfId="31087"/>
    <cellStyle name="Пояснение 2 15" xfId="31088"/>
    <cellStyle name="Пояснение 2 16" xfId="31089"/>
    <cellStyle name="Пояснение 2 17" xfId="31090"/>
    <cellStyle name="Пояснение 2 18" xfId="31091"/>
    <cellStyle name="Пояснение 2 19" xfId="31092"/>
    <cellStyle name="Пояснение 2 2" xfId="31093"/>
    <cellStyle name="Пояснение 2 20" xfId="31094"/>
    <cellStyle name="Пояснение 2 21" xfId="31095"/>
    <cellStyle name="Пояснение 2 22" xfId="31096"/>
    <cellStyle name="Пояснение 2 23" xfId="31097"/>
    <cellStyle name="Пояснение 2 24" xfId="31098"/>
    <cellStyle name="Пояснение 2 25" xfId="31099"/>
    <cellStyle name="Пояснение 2 26" xfId="31100"/>
    <cellStyle name="Пояснение 2 27" xfId="31101"/>
    <cellStyle name="Пояснение 2 28" xfId="31102"/>
    <cellStyle name="Пояснение 2 29" xfId="31103"/>
    <cellStyle name="Пояснение 2 3" xfId="31104"/>
    <cellStyle name="Пояснение 2 30" xfId="31105"/>
    <cellStyle name="Пояснение 2 31" xfId="31106"/>
    <cellStyle name="Пояснение 2 32" xfId="31107"/>
    <cellStyle name="Пояснение 2 33" xfId="31108"/>
    <cellStyle name="Пояснение 2 34" xfId="31109"/>
    <cellStyle name="Пояснение 2 35" xfId="31110"/>
    <cellStyle name="Пояснение 2 36" xfId="31111"/>
    <cellStyle name="Пояснение 2 4" xfId="31112"/>
    <cellStyle name="Пояснение 2 5" xfId="31113"/>
    <cellStyle name="Пояснение 2 6" xfId="31114"/>
    <cellStyle name="Пояснение 2 7" xfId="31115"/>
    <cellStyle name="Пояснение 2 8" xfId="31116"/>
    <cellStyle name="Пояснение 2 9" xfId="31117"/>
    <cellStyle name="Пояснение 20" xfId="31118"/>
    <cellStyle name="Пояснение 20 2" xfId="31119"/>
    <cellStyle name="Пояснение 20 3" xfId="31120"/>
    <cellStyle name="Пояснение 20 4" xfId="31121"/>
    <cellStyle name="Пояснение 21" xfId="31122"/>
    <cellStyle name="Пояснение 21 2" xfId="31123"/>
    <cellStyle name="Пояснение 21 3" xfId="31124"/>
    <cellStyle name="Пояснение 21 4" xfId="31125"/>
    <cellStyle name="Пояснение 22" xfId="31126"/>
    <cellStyle name="Пояснение 22 2" xfId="31127"/>
    <cellStyle name="Пояснение 22 3" xfId="31128"/>
    <cellStyle name="Пояснение 22 4" xfId="31129"/>
    <cellStyle name="Пояснение 23" xfId="31130"/>
    <cellStyle name="Пояснение 24" xfId="31131"/>
    <cellStyle name="Пояснение 25" xfId="31132"/>
    <cellStyle name="Пояснение 26" xfId="31133"/>
    <cellStyle name="Пояснение 27" xfId="31134"/>
    <cellStyle name="Пояснение 28" xfId="31135"/>
    <cellStyle name="Пояснение 29" xfId="31136"/>
    <cellStyle name="Пояснение 3" xfId="31137"/>
    <cellStyle name="Пояснение 4" xfId="31138"/>
    <cellStyle name="Пояснение 5" xfId="31139"/>
    <cellStyle name="Пояснение 6" xfId="31140"/>
    <cellStyle name="Пояснение 7" xfId="31141"/>
    <cellStyle name="Пояснение 8" xfId="31142"/>
    <cellStyle name="Пояснение 9" xfId="31143"/>
    <cellStyle name="Примечание 10" xfId="31144"/>
    <cellStyle name="Примечание 11" xfId="31145"/>
    <cellStyle name="Примечание 12" xfId="31146"/>
    <cellStyle name="Примечание 13" xfId="31147"/>
    <cellStyle name="Примечание 14" xfId="31148"/>
    <cellStyle name="Примечание 15" xfId="31149"/>
    <cellStyle name="Примечание 15 2" xfId="31150"/>
    <cellStyle name="Примечание 16" xfId="31151"/>
    <cellStyle name="Примечание 16 2" xfId="31152"/>
    <cellStyle name="Примечание 17" xfId="31153"/>
    <cellStyle name="Примечание 17 2" xfId="31154"/>
    <cellStyle name="Примечание 18" xfId="31155"/>
    <cellStyle name="Примечание 18 2" xfId="31156"/>
    <cellStyle name="Примечание 19" xfId="31157"/>
    <cellStyle name="Примечание 2" xfId="31158"/>
    <cellStyle name="Примечание 2 10" xfId="31159"/>
    <cellStyle name="Примечание 2 11" xfId="31160"/>
    <cellStyle name="Примечание 2 12" xfId="31161"/>
    <cellStyle name="Примечание 2 13" xfId="31162"/>
    <cellStyle name="Примечание 2 14" xfId="31163"/>
    <cellStyle name="Примечание 2 15" xfId="31164"/>
    <cellStyle name="Примечание 2 16" xfId="31165"/>
    <cellStyle name="Примечание 2 17" xfId="31166"/>
    <cellStyle name="Примечание 2 18" xfId="31167"/>
    <cellStyle name="Примечание 2 19" xfId="31168"/>
    <cellStyle name="Примечание 2 2" xfId="31169"/>
    <cellStyle name="Примечание 2 20" xfId="31170"/>
    <cellStyle name="Примечание 2 21" xfId="31171"/>
    <cellStyle name="Примечание 2 22" xfId="31172"/>
    <cellStyle name="Примечание 2 23" xfId="31173"/>
    <cellStyle name="Примечание 2 24" xfId="31174"/>
    <cellStyle name="Примечание 2 25" xfId="31175"/>
    <cellStyle name="Примечание 2 26" xfId="31176"/>
    <cellStyle name="Примечание 2 27" xfId="31177"/>
    <cellStyle name="Примечание 2 28" xfId="31178"/>
    <cellStyle name="Примечание 2 29" xfId="31179"/>
    <cellStyle name="Примечание 2 3" xfId="31180"/>
    <cellStyle name="Примечание 2 30" xfId="31181"/>
    <cellStyle name="Примечание 2 31" xfId="31182"/>
    <cellStyle name="Примечание 2 32" xfId="31183"/>
    <cellStyle name="Примечание 2 33" xfId="31184"/>
    <cellStyle name="Примечание 2 34" xfId="31185"/>
    <cellStyle name="Примечание 2 35" xfId="31186"/>
    <cellStyle name="Примечание 2 36" xfId="31187"/>
    <cellStyle name="Примечание 2 4" xfId="31188"/>
    <cellStyle name="Примечание 2 5" xfId="31189"/>
    <cellStyle name="Примечание 2 6" xfId="31190"/>
    <cellStyle name="Примечание 2 7" xfId="31191"/>
    <cellStyle name="Примечание 2 8" xfId="31192"/>
    <cellStyle name="Примечание 2 9" xfId="31193"/>
    <cellStyle name="Примечание 20" xfId="31194"/>
    <cellStyle name="Примечание 20 2" xfId="31195"/>
    <cellStyle name="Примечание 20 3" xfId="31196"/>
    <cellStyle name="Примечание 20 4" xfId="31197"/>
    <cellStyle name="Примечание 21" xfId="31198"/>
    <cellStyle name="Примечание 21 2" xfId="31199"/>
    <cellStyle name="Примечание 21 3" xfId="31200"/>
    <cellStyle name="Примечание 21 4" xfId="31201"/>
    <cellStyle name="Примечание 22" xfId="31202"/>
    <cellStyle name="Примечание 22 2" xfId="31203"/>
    <cellStyle name="Примечание 22 3" xfId="31204"/>
    <cellStyle name="Примечание 22 4" xfId="31205"/>
    <cellStyle name="Примечание 23" xfId="31206"/>
    <cellStyle name="Примечание 24" xfId="31207"/>
    <cellStyle name="Примечание 25" xfId="31208"/>
    <cellStyle name="Примечание 26" xfId="31209"/>
    <cellStyle name="Примечание 27" xfId="31210"/>
    <cellStyle name="Примечание 28" xfId="31211"/>
    <cellStyle name="Примечание 29" xfId="31212"/>
    <cellStyle name="Примечание 3" xfId="31213"/>
    <cellStyle name="Примечание 4" xfId="31214"/>
    <cellStyle name="Примечание 5" xfId="31215"/>
    <cellStyle name="Примечание 6" xfId="31216"/>
    <cellStyle name="Примечание 7" xfId="31217"/>
    <cellStyle name="Примечание 8" xfId="31218"/>
    <cellStyle name="Примечание 9" xfId="31219"/>
    <cellStyle name="Процентный" xfId="32660" builtinId="5"/>
    <cellStyle name="Процентный 2" xfId="3"/>
    <cellStyle name="Процентный 2 10" xfId="31220"/>
    <cellStyle name="Процентный 2 11" xfId="31221"/>
    <cellStyle name="Процентный 2 12" xfId="31222"/>
    <cellStyle name="Процентный 2 13" xfId="31223"/>
    <cellStyle name="Процентный 2 14" xfId="31224"/>
    <cellStyle name="Процентный 2 15" xfId="31225"/>
    <cellStyle name="Процентный 2 16" xfId="31226"/>
    <cellStyle name="Процентный 2 17" xfId="31227"/>
    <cellStyle name="Процентный 2 18" xfId="31228"/>
    <cellStyle name="Процентный 2 19" xfId="31229"/>
    <cellStyle name="Процентный 2 2" xfId="123"/>
    <cellStyle name="Процентный 2 20" xfId="31230"/>
    <cellStyle name="Процентный 2 21" xfId="31231"/>
    <cellStyle name="Процентный 2 22" xfId="31232"/>
    <cellStyle name="Процентный 2 23" xfId="31233"/>
    <cellStyle name="Процентный 2 24" xfId="31234"/>
    <cellStyle name="Процентный 2 25" xfId="31235"/>
    <cellStyle name="Процентный 2 26" xfId="31236"/>
    <cellStyle name="Процентный 2 27" xfId="31237"/>
    <cellStyle name="Процентный 2 28" xfId="31238"/>
    <cellStyle name="Процентный 2 29" xfId="31239"/>
    <cellStyle name="Процентный 2 3" xfId="124"/>
    <cellStyle name="Процентный 2 4" xfId="125"/>
    <cellStyle name="Процентный 2 5" xfId="126"/>
    <cellStyle name="Процентный 2 6" xfId="31240"/>
    <cellStyle name="Процентный 2 7" xfId="31241"/>
    <cellStyle name="Процентный 2 8" xfId="31242"/>
    <cellStyle name="Процентный 2 9" xfId="31243"/>
    <cellStyle name="Процентный 3" xfId="165"/>
    <cellStyle name="Процентный 4" xfId="32655"/>
    <cellStyle name="Процентный 5" xfId="32662"/>
    <cellStyle name="Связанная ячейка 10" xfId="31244"/>
    <cellStyle name="Связанная ячейка 11" xfId="31245"/>
    <cellStyle name="Связанная ячейка 12" xfId="31246"/>
    <cellStyle name="Связанная ячейка 13" xfId="31247"/>
    <cellStyle name="Связанная ячейка 14" xfId="31248"/>
    <cellStyle name="Связанная ячейка 15" xfId="31249"/>
    <cellStyle name="Связанная ячейка 15 2" xfId="31250"/>
    <cellStyle name="Связанная ячейка 16" xfId="31251"/>
    <cellStyle name="Связанная ячейка 16 2" xfId="31252"/>
    <cellStyle name="Связанная ячейка 17" xfId="31253"/>
    <cellStyle name="Связанная ячейка 17 2" xfId="31254"/>
    <cellStyle name="Связанная ячейка 18" xfId="31255"/>
    <cellStyle name="Связанная ячейка 18 2" xfId="31256"/>
    <cellStyle name="Связанная ячейка 19" xfId="31257"/>
    <cellStyle name="Связанная ячейка 2" xfId="31258"/>
    <cellStyle name="Связанная ячейка 2 10" xfId="31259"/>
    <cellStyle name="Связанная ячейка 2 11" xfId="31260"/>
    <cellStyle name="Связанная ячейка 2 12" xfId="31261"/>
    <cellStyle name="Связанная ячейка 2 13" xfId="31262"/>
    <cellStyle name="Связанная ячейка 2 14" xfId="31263"/>
    <cellStyle name="Связанная ячейка 2 15" xfId="31264"/>
    <cellStyle name="Связанная ячейка 2 16" xfId="31265"/>
    <cellStyle name="Связанная ячейка 2 17" xfId="31266"/>
    <cellStyle name="Связанная ячейка 2 18" xfId="31267"/>
    <cellStyle name="Связанная ячейка 2 19" xfId="31268"/>
    <cellStyle name="Связанная ячейка 2 2" xfId="31269"/>
    <cellStyle name="Связанная ячейка 2 20" xfId="31270"/>
    <cellStyle name="Связанная ячейка 2 21" xfId="31271"/>
    <cellStyle name="Связанная ячейка 2 22" xfId="31272"/>
    <cellStyle name="Связанная ячейка 2 23" xfId="31273"/>
    <cellStyle name="Связанная ячейка 2 24" xfId="31274"/>
    <cellStyle name="Связанная ячейка 2 25" xfId="31275"/>
    <cellStyle name="Связанная ячейка 2 26" xfId="31276"/>
    <cellStyle name="Связанная ячейка 2 27" xfId="31277"/>
    <cellStyle name="Связанная ячейка 2 28" xfId="31278"/>
    <cellStyle name="Связанная ячейка 2 29" xfId="31279"/>
    <cellStyle name="Связанная ячейка 2 3" xfId="31280"/>
    <cellStyle name="Связанная ячейка 2 30" xfId="31281"/>
    <cellStyle name="Связанная ячейка 2 31" xfId="31282"/>
    <cellStyle name="Связанная ячейка 2 32" xfId="31283"/>
    <cellStyle name="Связанная ячейка 2 33" xfId="31284"/>
    <cellStyle name="Связанная ячейка 2 34" xfId="31285"/>
    <cellStyle name="Связанная ячейка 2 35" xfId="31286"/>
    <cellStyle name="Связанная ячейка 2 36" xfId="31287"/>
    <cellStyle name="Связанная ячейка 2 4" xfId="31288"/>
    <cellStyle name="Связанная ячейка 2 5" xfId="31289"/>
    <cellStyle name="Связанная ячейка 2 6" xfId="31290"/>
    <cellStyle name="Связанная ячейка 2 7" xfId="31291"/>
    <cellStyle name="Связанная ячейка 2 8" xfId="31292"/>
    <cellStyle name="Связанная ячейка 2 9" xfId="31293"/>
    <cellStyle name="Связанная ячейка 20" xfId="31294"/>
    <cellStyle name="Связанная ячейка 20 2" xfId="31295"/>
    <cellStyle name="Связанная ячейка 20 3" xfId="31296"/>
    <cellStyle name="Связанная ячейка 20 4" xfId="31297"/>
    <cellStyle name="Связанная ячейка 21" xfId="31298"/>
    <cellStyle name="Связанная ячейка 21 2" xfId="31299"/>
    <cellStyle name="Связанная ячейка 21 3" xfId="31300"/>
    <cellStyle name="Связанная ячейка 21 4" xfId="31301"/>
    <cellStyle name="Связанная ячейка 22" xfId="31302"/>
    <cellStyle name="Связанная ячейка 22 2" xfId="31303"/>
    <cellStyle name="Связанная ячейка 22 3" xfId="31304"/>
    <cellStyle name="Связанная ячейка 22 4" xfId="31305"/>
    <cellStyle name="Связанная ячейка 23" xfId="31306"/>
    <cellStyle name="Связанная ячейка 24" xfId="31307"/>
    <cellStyle name="Связанная ячейка 25" xfId="31308"/>
    <cellStyle name="Связанная ячейка 26" xfId="31309"/>
    <cellStyle name="Связанная ячейка 27" xfId="31310"/>
    <cellStyle name="Связанная ячейка 28" xfId="31311"/>
    <cellStyle name="Связанная ячейка 29" xfId="31312"/>
    <cellStyle name="Связанная ячейка 3" xfId="31313"/>
    <cellStyle name="Связанная ячейка 4" xfId="31314"/>
    <cellStyle name="Связанная ячейка 5" xfId="31315"/>
    <cellStyle name="Связанная ячейка 6" xfId="31316"/>
    <cellStyle name="Связанная ячейка 7" xfId="31317"/>
    <cellStyle name="Связанная ячейка 8" xfId="31318"/>
    <cellStyle name="Связанная ячейка 9" xfId="31319"/>
    <cellStyle name="Стиль 1" xfId="127"/>
    <cellStyle name="Стиль 1 2" xfId="128"/>
    <cellStyle name="Текст предупреждения 10" xfId="31320"/>
    <cellStyle name="Текст предупреждения 11" xfId="31321"/>
    <cellStyle name="Текст предупреждения 12" xfId="31322"/>
    <cellStyle name="Текст предупреждения 13" xfId="31323"/>
    <cellStyle name="Текст предупреждения 14" xfId="31324"/>
    <cellStyle name="Текст предупреждения 15" xfId="31325"/>
    <cellStyle name="Текст предупреждения 15 2" xfId="31326"/>
    <cellStyle name="Текст предупреждения 16" xfId="31327"/>
    <cellStyle name="Текст предупреждения 16 2" xfId="31328"/>
    <cellStyle name="Текст предупреждения 17" xfId="31329"/>
    <cellStyle name="Текст предупреждения 17 2" xfId="31330"/>
    <cellStyle name="Текст предупреждения 18" xfId="31331"/>
    <cellStyle name="Текст предупреждения 18 2" xfId="31332"/>
    <cellStyle name="Текст предупреждения 19" xfId="31333"/>
    <cellStyle name="Текст предупреждения 2" xfId="31334"/>
    <cellStyle name="Текст предупреждения 2 10" xfId="31335"/>
    <cellStyle name="Текст предупреждения 2 11" xfId="31336"/>
    <cellStyle name="Текст предупреждения 2 12" xfId="31337"/>
    <cellStyle name="Текст предупреждения 2 13" xfId="31338"/>
    <cellStyle name="Текст предупреждения 2 14" xfId="31339"/>
    <cellStyle name="Текст предупреждения 2 15" xfId="31340"/>
    <cellStyle name="Текст предупреждения 2 16" xfId="31341"/>
    <cellStyle name="Текст предупреждения 2 17" xfId="31342"/>
    <cellStyle name="Текст предупреждения 2 18" xfId="31343"/>
    <cellStyle name="Текст предупреждения 2 19" xfId="31344"/>
    <cellStyle name="Текст предупреждения 2 2" xfId="31345"/>
    <cellStyle name="Текст предупреждения 2 20" xfId="31346"/>
    <cellStyle name="Текст предупреждения 2 21" xfId="31347"/>
    <cellStyle name="Текст предупреждения 2 22" xfId="31348"/>
    <cellStyle name="Текст предупреждения 2 23" xfId="31349"/>
    <cellStyle name="Текст предупреждения 2 24" xfId="31350"/>
    <cellStyle name="Текст предупреждения 2 25" xfId="31351"/>
    <cellStyle name="Текст предупреждения 2 26" xfId="31352"/>
    <cellStyle name="Текст предупреждения 2 27" xfId="31353"/>
    <cellStyle name="Текст предупреждения 2 28" xfId="31354"/>
    <cellStyle name="Текст предупреждения 2 29" xfId="31355"/>
    <cellStyle name="Текст предупреждения 2 3" xfId="31356"/>
    <cellStyle name="Текст предупреждения 2 30" xfId="31357"/>
    <cellStyle name="Текст предупреждения 2 31" xfId="31358"/>
    <cellStyle name="Текст предупреждения 2 32" xfId="31359"/>
    <cellStyle name="Текст предупреждения 2 33" xfId="31360"/>
    <cellStyle name="Текст предупреждения 2 34" xfId="31361"/>
    <cellStyle name="Текст предупреждения 2 35" xfId="31362"/>
    <cellStyle name="Текст предупреждения 2 36" xfId="31363"/>
    <cellStyle name="Текст предупреждения 2 4" xfId="31364"/>
    <cellStyle name="Текст предупреждения 2 5" xfId="31365"/>
    <cellStyle name="Текст предупреждения 2 6" xfId="31366"/>
    <cellStyle name="Текст предупреждения 2 7" xfId="31367"/>
    <cellStyle name="Текст предупреждения 2 8" xfId="31368"/>
    <cellStyle name="Текст предупреждения 2 9" xfId="31369"/>
    <cellStyle name="Текст предупреждения 20" xfId="31370"/>
    <cellStyle name="Текст предупреждения 20 2" xfId="31371"/>
    <cellStyle name="Текст предупреждения 20 3" xfId="31372"/>
    <cellStyle name="Текст предупреждения 20 4" xfId="31373"/>
    <cellStyle name="Текст предупреждения 21" xfId="31374"/>
    <cellStyle name="Текст предупреждения 21 2" xfId="31375"/>
    <cellStyle name="Текст предупреждения 21 3" xfId="31376"/>
    <cellStyle name="Текст предупреждения 21 4" xfId="31377"/>
    <cellStyle name="Текст предупреждения 22" xfId="31378"/>
    <cellStyle name="Текст предупреждения 22 2" xfId="31379"/>
    <cellStyle name="Текст предупреждения 22 3" xfId="31380"/>
    <cellStyle name="Текст предупреждения 22 4" xfId="31381"/>
    <cellStyle name="Текст предупреждения 23" xfId="31382"/>
    <cellStyle name="Текст предупреждения 24" xfId="31383"/>
    <cellStyle name="Текст предупреждения 25" xfId="31384"/>
    <cellStyle name="Текст предупреждения 26" xfId="31385"/>
    <cellStyle name="Текст предупреждения 27" xfId="31386"/>
    <cellStyle name="Текст предупреждения 28" xfId="31387"/>
    <cellStyle name="Текст предупреждения 29" xfId="31388"/>
    <cellStyle name="Текст предупреждения 3" xfId="31389"/>
    <cellStyle name="Текст предупреждения 4" xfId="31390"/>
    <cellStyle name="Текст предупреждения 5" xfId="31391"/>
    <cellStyle name="Текст предупреждения 6" xfId="31392"/>
    <cellStyle name="Текст предупреждения 7" xfId="31393"/>
    <cellStyle name="Текст предупреждения 8" xfId="31394"/>
    <cellStyle name="Текст предупреждения 9" xfId="31395"/>
    <cellStyle name="Тысячи [0]_1" xfId="31396"/>
    <cellStyle name="Тысячи_1" xfId="31397"/>
    <cellStyle name="Финансовый 10" xfId="31398"/>
    <cellStyle name="Финансовый 11" xfId="31399"/>
    <cellStyle name="Финансовый 12" xfId="31400"/>
    <cellStyle name="Финансовый 13" xfId="31401"/>
    <cellStyle name="Финансовый 14" xfId="31402"/>
    <cellStyle name="Финансовый 15" xfId="31403"/>
    <cellStyle name="Финансовый 16" xfId="31404"/>
    <cellStyle name="Финансовый 17" xfId="31405"/>
    <cellStyle name="Финансовый 17 2" xfId="31406"/>
    <cellStyle name="Финансовый 17 2 2" xfId="31407"/>
    <cellStyle name="Финансовый 17 2 3" xfId="31408"/>
    <cellStyle name="Финансовый 17 3" xfId="31409"/>
    <cellStyle name="Финансовый 17 3 2" xfId="31410"/>
    <cellStyle name="Финансовый 17 3 3" xfId="31411"/>
    <cellStyle name="Финансовый 17 4" xfId="31412"/>
    <cellStyle name="Финансовый 17 4 2" xfId="31413"/>
    <cellStyle name="Финансовый 17 4 3" xfId="31414"/>
    <cellStyle name="Финансовый 17 5" xfId="31415"/>
    <cellStyle name="Финансовый 17 6" xfId="31416"/>
    <cellStyle name="Финансовый 18" xfId="31417"/>
    <cellStyle name="Финансовый 18 2" xfId="31418"/>
    <cellStyle name="Финансовый 19" xfId="31419"/>
    <cellStyle name="Финансовый 2" xfId="2"/>
    <cellStyle name="Финансовый 2 10" xfId="31420"/>
    <cellStyle name="Финансовый 2 11" xfId="31421"/>
    <cellStyle name="Финансовый 2 12" xfId="31422"/>
    <cellStyle name="Финансовый 2 13" xfId="31423"/>
    <cellStyle name="Финансовый 2 14" xfId="31424"/>
    <cellStyle name="Финансовый 2 15" xfId="31425"/>
    <cellStyle name="Финансовый 2 16" xfId="31426"/>
    <cellStyle name="Финансовый 2 17" xfId="31427"/>
    <cellStyle name="Финансовый 2 18" xfId="31428"/>
    <cellStyle name="Финансовый 2 19" xfId="31429"/>
    <cellStyle name="Финансовый 2 2" xfId="129"/>
    <cellStyle name="Финансовый 2 2 2" xfId="130"/>
    <cellStyle name="Финансовый 2 2 2 2" xfId="131"/>
    <cellStyle name="Финансовый 2 2 2 2 2" xfId="132"/>
    <cellStyle name="Финансовый 2 2 2 2 2 2" xfId="133"/>
    <cellStyle name="Финансовый 2 2 2 2 2 2 2" xfId="134"/>
    <cellStyle name="Финансовый 2 2 2 2 2 2 2 2" xfId="135"/>
    <cellStyle name="Финансовый 2 2 2 2 2 2 3" xfId="136"/>
    <cellStyle name="Финансовый 2 2 2 2 2 2 4" xfId="137"/>
    <cellStyle name="Финансовый 2 2 2 2 2 3" xfId="138"/>
    <cellStyle name="Финансовый 2 2 2 2 2 3 2" xfId="139"/>
    <cellStyle name="Финансовый 2 2 2 2 2 4" xfId="140"/>
    <cellStyle name="Финансовый 2 2 2 2 3" xfId="141"/>
    <cellStyle name="Финансовый 2 2 2 2 3 2" xfId="142"/>
    <cellStyle name="Финансовый 2 2 2 2 4" xfId="143"/>
    <cellStyle name="Финансовый 2 2 2 2 5" xfId="32659"/>
    <cellStyle name="Финансовый 2 2 2 3" xfId="144"/>
    <cellStyle name="Финансовый 2 2 2 4" xfId="145"/>
    <cellStyle name="Финансовый 2 2 2 4 2" xfId="146"/>
    <cellStyle name="Финансовый 2 2 2 5" xfId="147"/>
    <cellStyle name="Финансовый 2 2 2 6" xfId="32658"/>
    <cellStyle name="Финансовый 2 2 3" xfId="148"/>
    <cellStyle name="Финансовый 2 2 4" xfId="149"/>
    <cellStyle name="Финансовый 2 2 5" xfId="150"/>
    <cellStyle name="Финансовый 2 2 5 2" xfId="151"/>
    <cellStyle name="Финансовый 2 2 6" xfId="152"/>
    <cellStyle name="Финансовый 2 2 7" xfId="32657"/>
    <cellStyle name="Финансовый 2 20" xfId="31430"/>
    <cellStyle name="Финансовый 2 20 10" xfId="31431"/>
    <cellStyle name="Финансовый 2 20 11" xfId="31432"/>
    <cellStyle name="Финансовый 2 20 12" xfId="31433"/>
    <cellStyle name="Финансовый 2 20 13" xfId="31434"/>
    <cellStyle name="Финансовый 2 20 14" xfId="31435"/>
    <cellStyle name="Финансовый 2 20 15" xfId="31436"/>
    <cellStyle name="Финансовый 2 20 16" xfId="31437"/>
    <cellStyle name="Финансовый 2 20 17" xfId="31438"/>
    <cellStyle name="Финансовый 2 20 18" xfId="31439"/>
    <cellStyle name="Финансовый 2 20 19" xfId="31440"/>
    <cellStyle name="Финансовый 2 20 2" xfId="31441"/>
    <cellStyle name="Финансовый 2 20 2 10" xfId="31442"/>
    <cellStyle name="Финансовый 2 20 2 11" xfId="31443"/>
    <cellStyle name="Финансовый 2 20 2 12" xfId="31444"/>
    <cellStyle name="Финансовый 2 20 2 13" xfId="31445"/>
    <cellStyle name="Финансовый 2 20 2 14" xfId="31446"/>
    <cellStyle name="Финансовый 2 20 2 15" xfId="31447"/>
    <cellStyle name="Финансовый 2 20 2 16" xfId="31448"/>
    <cellStyle name="Финансовый 2 20 2 17" xfId="31449"/>
    <cellStyle name="Финансовый 2 20 2 18" xfId="31450"/>
    <cellStyle name="Финансовый 2 20 2 19" xfId="31451"/>
    <cellStyle name="Финансовый 2 20 2 2" xfId="31452"/>
    <cellStyle name="Финансовый 2 20 2 2 10" xfId="31453"/>
    <cellStyle name="Финансовый 2 20 2 2 11" xfId="31454"/>
    <cellStyle name="Финансовый 2 20 2 2 12" xfId="31455"/>
    <cellStyle name="Финансовый 2 20 2 2 13" xfId="31456"/>
    <cellStyle name="Финансовый 2 20 2 2 14" xfId="31457"/>
    <cellStyle name="Финансовый 2 20 2 2 15" xfId="31458"/>
    <cellStyle name="Финансовый 2 20 2 2 16" xfId="31459"/>
    <cellStyle name="Финансовый 2 20 2 2 17" xfId="31460"/>
    <cellStyle name="Финансовый 2 20 2 2 18" xfId="31461"/>
    <cellStyle name="Финансовый 2 20 2 2 19" xfId="31462"/>
    <cellStyle name="Финансовый 2 20 2 2 2" xfId="31463"/>
    <cellStyle name="Финансовый 2 20 2 2 20" xfId="31464"/>
    <cellStyle name="Финансовый 2 20 2 2 21" xfId="31465"/>
    <cellStyle name="Финансовый 2 20 2 2 22" xfId="31466"/>
    <cellStyle name="Финансовый 2 20 2 2 23" xfId="31467"/>
    <cellStyle name="Финансовый 2 20 2 2 24" xfId="31468"/>
    <cellStyle name="Финансовый 2 20 2 2 25" xfId="31469"/>
    <cellStyle name="Финансовый 2 20 2 2 26" xfId="31470"/>
    <cellStyle name="Финансовый 2 20 2 2 27" xfId="31471"/>
    <cellStyle name="Финансовый 2 20 2 2 28" xfId="31472"/>
    <cellStyle name="Финансовый 2 20 2 2 29" xfId="31473"/>
    <cellStyle name="Финансовый 2 20 2 2 3" xfId="31474"/>
    <cellStyle name="Финансовый 2 20 2 2 30" xfId="31475"/>
    <cellStyle name="Финансовый 2 20 2 2 31" xfId="31476"/>
    <cellStyle name="Финансовый 2 20 2 2 32" xfId="31477"/>
    <cellStyle name="Финансовый 2 20 2 2 33" xfId="31478"/>
    <cellStyle name="Финансовый 2 20 2 2 34" xfId="31479"/>
    <cellStyle name="Финансовый 2 20 2 2 35" xfId="31480"/>
    <cellStyle name="Финансовый 2 20 2 2 36" xfId="31481"/>
    <cellStyle name="Финансовый 2 20 2 2 37" xfId="31482"/>
    <cellStyle name="Финансовый 2 20 2 2 38" xfId="31483"/>
    <cellStyle name="Финансовый 2 20 2 2 39" xfId="31484"/>
    <cellStyle name="Финансовый 2 20 2 2 4" xfId="31485"/>
    <cellStyle name="Финансовый 2 20 2 2 40" xfId="31486"/>
    <cellStyle name="Финансовый 2 20 2 2 41" xfId="31487"/>
    <cellStyle name="Финансовый 2 20 2 2 42" xfId="31488"/>
    <cellStyle name="Финансовый 2 20 2 2 43" xfId="31489"/>
    <cellStyle name="Финансовый 2 20 2 2 44" xfId="31490"/>
    <cellStyle name="Финансовый 2 20 2 2 45" xfId="31491"/>
    <cellStyle name="Финансовый 2 20 2 2 46" xfId="31492"/>
    <cellStyle name="Финансовый 2 20 2 2 47" xfId="31493"/>
    <cellStyle name="Финансовый 2 20 2 2 48" xfId="31494"/>
    <cellStyle name="Финансовый 2 20 2 2 49" xfId="31495"/>
    <cellStyle name="Финансовый 2 20 2 2 5" xfId="31496"/>
    <cellStyle name="Финансовый 2 20 2 2 50" xfId="31497"/>
    <cellStyle name="Финансовый 2 20 2 2 51" xfId="31498"/>
    <cellStyle name="Финансовый 2 20 2 2 52" xfId="31499"/>
    <cellStyle name="Финансовый 2 20 2 2 53" xfId="31500"/>
    <cellStyle name="Финансовый 2 20 2 2 54" xfId="31501"/>
    <cellStyle name="Финансовый 2 20 2 2 55" xfId="31502"/>
    <cellStyle name="Финансовый 2 20 2 2 56" xfId="31503"/>
    <cellStyle name="Финансовый 2 20 2 2 57" xfId="31504"/>
    <cellStyle name="Финансовый 2 20 2 2 6" xfId="31505"/>
    <cellStyle name="Финансовый 2 20 2 2 7" xfId="31506"/>
    <cellStyle name="Финансовый 2 20 2 2 8" xfId="31507"/>
    <cellStyle name="Финансовый 2 20 2 2 9" xfId="31508"/>
    <cellStyle name="Финансовый 2 20 2 20" xfId="31509"/>
    <cellStyle name="Финансовый 2 20 2 21" xfId="31510"/>
    <cellStyle name="Финансовый 2 20 2 22" xfId="31511"/>
    <cellStyle name="Финансовый 2 20 2 23" xfId="31512"/>
    <cellStyle name="Финансовый 2 20 2 24" xfId="31513"/>
    <cellStyle name="Финансовый 2 20 2 25" xfId="31514"/>
    <cellStyle name="Финансовый 2 20 2 26" xfId="31515"/>
    <cellStyle name="Финансовый 2 20 2 27" xfId="31516"/>
    <cellStyle name="Финансовый 2 20 2 28" xfId="31517"/>
    <cellStyle name="Финансовый 2 20 2 29" xfId="31518"/>
    <cellStyle name="Финансовый 2 20 2 3" xfId="31519"/>
    <cellStyle name="Финансовый 2 20 2 30" xfId="31520"/>
    <cellStyle name="Финансовый 2 20 2 31" xfId="31521"/>
    <cellStyle name="Финансовый 2 20 2 32" xfId="31522"/>
    <cellStyle name="Финансовый 2 20 2 33" xfId="31523"/>
    <cellStyle name="Финансовый 2 20 2 34" xfId="31524"/>
    <cellStyle name="Финансовый 2 20 2 35" xfId="31525"/>
    <cellStyle name="Финансовый 2 20 2 36" xfId="31526"/>
    <cellStyle name="Финансовый 2 20 2 37" xfId="31527"/>
    <cellStyle name="Финансовый 2 20 2 38" xfId="31528"/>
    <cellStyle name="Финансовый 2 20 2 39" xfId="31529"/>
    <cellStyle name="Финансовый 2 20 2 4" xfId="31530"/>
    <cellStyle name="Финансовый 2 20 2 40" xfId="31531"/>
    <cellStyle name="Финансовый 2 20 2 41" xfId="31532"/>
    <cellStyle name="Финансовый 2 20 2 42" xfId="31533"/>
    <cellStyle name="Финансовый 2 20 2 43" xfId="31534"/>
    <cellStyle name="Финансовый 2 20 2 44" xfId="31535"/>
    <cellStyle name="Финансовый 2 20 2 45" xfId="31536"/>
    <cellStyle name="Финансовый 2 20 2 46" xfId="31537"/>
    <cellStyle name="Финансовый 2 20 2 47" xfId="31538"/>
    <cellStyle name="Финансовый 2 20 2 48" xfId="31539"/>
    <cellStyle name="Финансовый 2 20 2 49" xfId="31540"/>
    <cellStyle name="Финансовый 2 20 2 5" xfId="31541"/>
    <cellStyle name="Финансовый 2 20 2 50" xfId="31542"/>
    <cellStyle name="Финансовый 2 20 2 51" xfId="31543"/>
    <cellStyle name="Финансовый 2 20 2 52" xfId="31544"/>
    <cellStyle name="Финансовый 2 20 2 53" xfId="31545"/>
    <cellStyle name="Финансовый 2 20 2 54" xfId="31546"/>
    <cellStyle name="Финансовый 2 20 2 55" xfId="31547"/>
    <cellStyle name="Финансовый 2 20 2 56" xfId="31548"/>
    <cellStyle name="Финансовый 2 20 2 57" xfId="31549"/>
    <cellStyle name="Финансовый 2 20 2 58" xfId="31550"/>
    <cellStyle name="Финансовый 2 20 2 59" xfId="31551"/>
    <cellStyle name="Финансовый 2 20 2 6" xfId="31552"/>
    <cellStyle name="Финансовый 2 20 2 7" xfId="31553"/>
    <cellStyle name="Финансовый 2 20 2 8" xfId="31554"/>
    <cellStyle name="Финансовый 2 20 2 9" xfId="31555"/>
    <cellStyle name="Финансовый 2 20 20" xfId="31556"/>
    <cellStyle name="Финансовый 2 20 21" xfId="31557"/>
    <cellStyle name="Финансовый 2 20 22" xfId="31558"/>
    <cellStyle name="Финансовый 2 20 23" xfId="31559"/>
    <cellStyle name="Финансовый 2 20 24" xfId="31560"/>
    <cellStyle name="Финансовый 2 20 25" xfId="31561"/>
    <cellStyle name="Финансовый 2 20 26" xfId="31562"/>
    <cellStyle name="Финансовый 2 20 27" xfId="31563"/>
    <cellStyle name="Финансовый 2 20 28" xfId="31564"/>
    <cellStyle name="Финансовый 2 20 29" xfId="31565"/>
    <cellStyle name="Финансовый 2 20 3" xfId="31566"/>
    <cellStyle name="Финансовый 2 20 30" xfId="31567"/>
    <cellStyle name="Финансовый 2 20 31" xfId="31568"/>
    <cellStyle name="Финансовый 2 20 32" xfId="31569"/>
    <cellStyle name="Финансовый 2 20 33" xfId="31570"/>
    <cellStyle name="Финансовый 2 20 34" xfId="31571"/>
    <cellStyle name="Финансовый 2 20 35" xfId="31572"/>
    <cellStyle name="Финансовый 2 20 36" xfId="31573"/>
    <cellStyle name="Финансовый 2 20 37" xfId="31574"/>
    <cellStyle name="Финансовый 2 20 38" xfId="31575"/>
    <cellStyle name="Финансовый 2 20 39" xfId="31576"/>
    <cellStyle name="Финансовый 2 20 4" xfId="31577"/>
    <cellStyle name="Финансовый 2 20 40" xfId="31578"/>
    <cellStyle name="Финансовый 2 20 41" xfId="31579"/>
    <cellStyle name="Финансовый 2 20 42" xfId="31580"/>
    <cellStyle name="Финансовый 2 20 43" xfId="31581"/>
    <cellStyle name="Финансовый 2 20 44" xfId="31582"/>
    <cellStyle name="Финансовый 2 20 45" xfId="31583"/>
    <cellStyle name="Финансовый 2 20 46" xfId="31584"/>
    <cellStyle name="Финансовый 2 20 47" xfId="31585"/>
    <cellStyle name="Финансовый 2 20 48" xfId="31586"/>
    <cellStyle name="Финансовый 2 20 49" xfId="31587"/>
    <cellStyle name="Финансовый 2 20 5" xfId="31588"/>
    <cellStyle name="Финансовый 2 20 50" xfId="31589"/>
    <cellStyle name="Финансовый 2 20 51" xfId="31590"/>
    <cellStyle name="Финансовый 2 20 52" xfId="31591"/>
    <cellStyle name="Финансовый 2 20 53" xfId="31592"/>
    <cellStyle name="Финансовый 2 20 54" xfId="31593"/>
    <cellStyle name="Финансовый 2 20 55" xfId="31594"/>
    <cellStyle name="Финансовый 2 20 56" xfId="31595"/>
    <cellStyle name="Финансовый 2 20 57" xfId="31596"/>
    <cellStyle name="Финансовый 2 20 58" xfId="31597"/>
    <cellStyle name="Финансовый 2 20 59" xfId="31598"/>
    <cellStyle name="Финансовый 2 20 6" xfId="31599"/>
    <cellStyle name="Финансовый 2 20 60" xfId="31600"/>
    <cellStyle name="Финансовый 2 20 61" xfId="31601"/>
    <cellStyle name="Финансовый 2 20 62" xfId="31602"/>
    <cellStyle name="Финансовый 2 20 63" xfId="31603"/>
    <cellStyle name="Финансовый 2 20 64" xfId="31604"/>
    <cellStyle name="Финансовый 2 20 7" xfId="31605"/>
    <cellStyle name="Финансовый 2 20 8" xfId="31606"/>
    <cellStyle name="Финансовый 2 20 8 10" xfId="31607"/>
    <cellStyle name="Финансовый 2 20 8 11" xfId="31608"/>
    <cellStyle name="Финансовый 2 20 8 12" xfId="31609"/>
    <cellStyle name="Финансовый 2 20 8 13" xfId="31610"/>
    <cellStyle name="Финансовый 2 20 8 14" xfId="31611"/>
    <cellStyle name="Финансовый 2 20 8 15" xfId="31612"/>
    <cellStyle name="Финансовый 2 20 8 16" xfId="31613"/>
    <cellStyle name="Финансовый 2 20 8 17" xfId="31614"/>
    <cellStyle name="Финансовый 2 20 8 18" xfId="31615"/>
    <cellStyle name="Финансовый 2 20 8 19" xfId="31616"/>
    <cellStyle name="Финансовый 2 20 8 2" xfId="31617"/>
    <cellStyle name="Финансовый 2 20 8 20" xfId="31618"/>
    <cellStyle name="Финансовый 2 20 8 21" xfId="31619"/>
    <cellStyle name="Финансовый 2 20 8 22" xfId="31620"/>
    <cellStyle name="Финансовый 2 20 8 23" xfId="31621"/>
    <cellStyle name="Финансовый 2 20 8 24" xfId="31622"/>
    <cellStyle name="Финансовый 2 20 8 25" xfId="31623"/>
    <cellStyle name="Финансовый 2 20 8 26" xfId="31624"/>
    <cellStyle name="Финансовый 2 20 8 27" xfId="31625"/>
    <cellStyle name="Финансовый 2 20 8 28" xfId="31626"/>
    <cellStyle name="Финансовый 2 20 8 29" xfId="31627"/>
    <cellStyle name="Финансовый 2 20 8 3" xfId="31628"/>
    <cellStyle name="Финансовый 2 20 8 30" xfId="31629"/>
    <cellStyle name="Финансовый 2 20 8 31" xfId="31630"/>
    <cellStyle name="Финансовый 2 20 8 32" xfId="31631"/>
    <cellStyle name="Финансовый 2 20 8 33" xfId="31632"/>
    <cellStyle name="Финансовый 2 20 8 34" xfId="31633"/>
    <cellStyle name="Финансовый 2 20 8 35" xfId="31634"/>
    <cellStyle name="Финансовый 2 20 8 36" xfId="31635"/>
    <cellStyle name="Финансовый 2 20 8 37" xfId="31636"/>
    <cellStyle name="Финансовый 2 20 8 38" xfId="31637"/>
    <cellStyle name="Финансовый 2 20 8 39" xfId="31638"/>
    <cellStyle name="Финансовый 2 20 8 4" xfId="31639"/>
    <cellStyle name="Финансовый 2 20 8 40" xfId="31640"/>
    <cellStyle name="Финансовый 2 20 8 41" xfId="31641"/>
    <cellStyle name="Финансовый 2 20 8 42" xfId="31642"/>
    <cellStyle name="Финансовый 2 20 8 43" xfId="31643"/>
    <cellStyle name="Финансовый 2 20 8 44" xfId="31644"/>
    <cellStyle name="Финансовый 2 20 8 45" xfId="31645"/>
    <cellStyle name="Финансовый 2 20 8 46" xfId="31646"/>
    <cellStyle name="Финансовый 2 20 8 47" xfId="31647"/>
    <cellStyle name="Финансовый 2 20 8 48" xfId="31648"/>
    <cellStyle name="Финансовый 2 20 8 49" xfId="31649"/>
    <cellStyle name="Финансовый 2 20 8 5" xfId="31650"/>
    <cellStyle name="Финансовый 2 20 8 50" xfId="31651"/>
    <cellStyle name="Финансовый 2 20 8 51" xfId="31652"/>
    <cellStyle name="Финансовый 2 20 8 52" xfId="31653"/>
    <cellStyle name="Финансовый 2 20 8 53" xfId="31654"/>
    <cellStyle name="Финансовый 2 20 8 54" xfId="31655"/>
    <cellStyle name="Финансовый 2 20 8 55" xfId="31656"/>
    <cellStyle name="Финансовый 2 20 8 56" xfId="31657"/>
    <cellStyle name="Финансовый 2 20 8 57" xfId="31658"/>
    <cellStyle name="Финансовый 2 20 8 6" xfId="31659"/>
    <cellStyle name="Финансовый 2 20 8 7" xfId="31660"/>
    <cellStyle name="Финансовый 2 20 8 8" xfId="31661"/>
    <cellStyle name="Финансовый 2 20 8 9" xfId="31662"/>
    <cellStyle name="Финансовый 2 20 9" xfId="31663"/>
    <cellStyle name="Финансовый 2 21" xfId="31664"/>
    <cellStyle name="Финансовый 2 22" xfId="31665"/>
    <cellStyle name="Финансовый 2 23" xfId="31666"/>
    <cellStyle name="Финансовый 2 23 10" xfId="31667"/>
    <cellStyle name="Финансовый 2 23 11" xfId="31668"/>
    <cellStyle name="Финансовый 2 23 12" xfId="31669"/>
    <cellStyle name="Финансовый 2 23 13" xfId="31670"/>
    <cellStyle name="Финансовый 2 23 14" xfId="31671"/>
    <cellStyle name="Финансовый 2 23 15" xfId="31672"/>
    <cellStyle name="Финансовый 2 23 16" xfId="31673"/>
    <cellStyle name="Финансовый 2 23 17" xfId="31674"/>
    <cellStyle name="Финансовый 2 23 18" xfId="31675"/>
    <cellStyle name="Финансовый 2 23 19" xfId="31676"/>
    <cellStyle name="Финансовый 2 23 2" xfId="31677"/>
    <cellStyle name="Финансовый 2 23 2 10" xfId="31678"/>
    <cellStyle name="Финансовый 2 23 2 11" xfId="31679"/>
    <cellStyle name="Финансовый 2 23 2 12" xfId="31680"/>
    <cellStyle name="Финансовый 2 23 2 13" xfId="31681"/>
    <cellStyle name="Финансовый 2 23 2 14" xfId="31682"/>
    <cellStyle name="Финансовый 2 23 2 15" xfId="31683"/>
    <cellStyle name="Финансовый 2 23 2 16" xfId="31684"/>
    <cellStyle name="Финансовый 2 23 2 17" xfId="31685"/>
    <cellStyle name="Финансовый 2 23 2 18" xfId="31686"/>
    <cellStyle name="Финансовый 2 23 2 19" xfId="31687"/>
    <cellStyle name="Финансовый 2 23 2 2" xfId="31688"/>
    <cellStyle name="Финансовый 2 23 2 20" xfId="31689"/>
    <cellStyle name="Финансовый 2 23 2 21" xfId="31690"/>
    <cellStyle name="Финансовый 2 23 2 22" xfId="31691"/>
    <cellStyle name="Финансовый 2 23 2 23" xfId="31692"/>
    <cellStyle name="Финансовый 2 23 2 24" xfId="31693"/>
    <cellStyle name="Финансовый 2 23 2 25" xfId="31694"/>
    <cellStyle name="Финансовый 2 23 2 26" xfId="31695"/>
    <cellStyle name="Финансовый 2 23 2 27" xfId="31696"/>
    <cellStyle name="Финансовый 2 23 2 28" xfId="31697"/>
    <cellStyle name="Финансовый 2 23 2 29" xfId="31698"/>
    <cellStyle name="Финансовый 2 23 2 3" xfId="31699"/>
    <cellStyle name="Финансовый 2 23 2 30" xfId="31700"/>
    <cellStyle name="Финансовый 2 23 2 31" xfId="31701"/>
    <cellStyle name="Финансовый 2 23 2 32" xfId="31702"/>
    <cellStyle name="Финансовый 2 23 2 33" xfId="31703"/>
    <cellStyle name="Финансовый 2 23 2 34" xfId="31704"/>
    <cellStyle name="Финансовый 2 23 2 35" xfId="31705"/>
    <cellStyle name="Финансовый 2 23 2 36" xfId="31706"/>
    <cellStyle name="Финансовый 2 23 2 37" xfId="31707"/>
    <cellStyle name="Финансовый 2 23 2 38" xfId="31708"/>
    <cellStyle name="Финансовый 2 23 2 39" xfId="31709"/>
    <cellStyle name="Финансовый 2 23 2 4" xfId="31710"/>
    <cellStyle name="Финансовый 2 23 2 40" xfId="31711"/>
    <cellStyle name="Финансовый 2 23 2 41" xfId="31712"/>
    <cellStyle name="Финансовый 2 23 2 42" xfId="31713"/>
    <cellStyle name="Финансовый 2 23 2 43" xfId="31714"/>
    <cellStyle name="Финансовый 2 23 2 44" xfId="31715"/>
    <cellStyle name="Финансовый 2 23 2 45" xfId="31716"/>
    <cellStyle name="Финансовый 2 23 2 46" xfId="31717"/>
    <cellStyle name="Финансовый 2 23 2 47" xfId="31718"/>
    <cellStyle name="Финансовый 2 23 2 48" xfId="31719"/>
    <cellStyle name="Финансовый 2 23 2 49" xfId="31720"/>
    <cellStyle name="Финансовый 2 23 2 5" xfId="31721"/>
    <cellStyle name="Финансовый 2 23 2 50" xfId="31722"/>
    <cellStyle name="Финансовый 2 23 2 51" xfId="31723"/>
    <cellStyle name="Финансовый 2 23 2 52" xfId="31724"/>
    <cellStyle name="Финансовый 2 23 2 53" xfId="31725"/>
    <cellStyle name="Финансовый 2 23 2 54" xfId="31726"/>
    <cellStyle name="Финансовый 2 23 2 55" xfId="31727"/>
    <cellStyle name="Финансовый 2 23 2 56" xfId="31728"/>
    <cellStyle name="Финансовый 2 23 2 57" xfId="31729"/>
    <cellStyle name="Финансовый 2 23 2 6" xfId="31730"/>
    <cellStyle name="Финансовый 2 23 2 7" xfId="31731"/>
    <cellStyle name="Финансовый 2 23 2 8" xfId="31732"/>
    <cellStyle name="Финансовый 2 23 2 9" xfId="31733"/>
    <cellStyle name="Финансовый 2 23 20" xfId="31734"/>
    <cellStyle name="Финансовый 2 23 21" xfId="31735"/>
    <cellStyle name="Финансовый 2 23 22" xfId="31736"/>
    <cellStyle name="Финансовый 2 23 23" xfId="31737"/>
    <cellStyle name="Финансовый 2 23 24" xfId="31738"/>
    <cellStyle name="Финансовый 2 23 25" xfId="31739"/>
    <cellStyle name="Финансовый 2 23 26" xfId="31740"/>
    <cellStyle name="Финансовый 2 23 27" xfId="31741"/>
    <cellStyle name="Финансовый 2 23 28" xfId="31742"/>
    <cellStyle name="Финансовый 2 23 29" xfId="31743"/>
    <cellStyle name="Финансовый 2 23 3" xfId="31744"/>
    <cellStyle name="Финансовый 2 23 30" xfId="31745"/>
    <cellStyle name="Финансовый 2 23 31" xfId="31746"/>
    <cellStyle name="Финансовый 2 23 32" xfId="31747"/>
    <cellStyle name="Финансовый 2 23 33" xfId="31748"/>
    <cellStyle name="Финансовый 2 23 34" xfId="31749"/>
    <cellStyle name="Финансовый 2 23 35" xfId="31750"/>
    <cellStyle name="Финансовый 2 23 36" xfId="31751"/>
    <cellStyle name="Финансовый 2 23 37" xfId="31752"/>
    <cellStyle name="Финансовый 2 23 38" xfId="31753"/>
    <cellStyle name="Финансовый 2 23 39" xfId="31754"/>
    <cellStyle name="Финансовый 2 23 4" xfId="31755"/>
    <cellStyle name="Финансовый 2 23 40" xfId="31756"/>
    <cellStyle name="Финансовый 2 23 41" xfId="31757"/>
    <cellStyle name="Финансовый 2 23 42" xfId="31758"/>
    <cellStyle name="Финансовый 2 23 43" xfId="31759"/>
    <cellStyle name="Финансовый 2 23 44" xfId="31760"/>
    <cellStyle name="Финансовый 2 23 45" xfId="31761"/>
    <cellStyle name="Финансовый 2 23 46" xfId="31762"/>
    <cellStyle name="Финансовый 2 23 47" xfId="31763"/>
    <cellStyle name="Финансовый 2 23 48" xfId="31764"/>
    <cellStyle name="Финансовый 2 23 49" xfId="31765"/>
    <cellStyle name="Финансовый 2 23 5" xfId="31766"/>
    <cellStyle name="Финансовый 2 23 50" xfId="31767"/>
    <cellStyle name="Финансовый 2 23 51" xfId="31768"/>
    <cellStyle name="Финансовый 2 23 52" xfId="31769"/>
    <cellStyle name="Финансовый 2 23 53" xfId="31770"/>
    <cellStyle name="Финансовый 2 23 54" xfId="31771"/>
    <cellStyle name="Финансовый 2 23 55" xfId="31772"/>
    <cellStyle name="Финансовый 2 23 56" xfId="31773"/>
    <cellStyle name="Финансовый 2 23 57" xfId="31774"/>
    <cellStyle name="Финансовый 2 23 58" xfId="31775"/>
    <cellStyle name="Финансовый 2 23 59" xfId="31776"/>
    <cellStyle name="Финансовый 2 23 6" xfId="31777"/>
    <cellStyle name="Финансовый 2 23 7" xfId="31778"/>
    <cellStyle name="Финансовый 2 23 8" xfId="31779"/>
    <cellStyle name="Финансовый 2 23 9" xfId="31780"/>
    <cellStyle name="Финансовый 2 24" xfId="31781"/>
    <cellStyle name="Финансовый 2 25" xfId="31782"/>
    <cellStyle name="Финансовый 2 26" xfId="31783"/>
    <cellStyle name="Финансовый 2 27" xfId="31784"/>
    <cellStyle name="Финансовый 2 28" xfId="31785"/>
    <cellStyle name="Финансовый 2 29" xfId="31786"/>
    <cellStyle name="Финансовый 2 3" xfId="153"/>
    <cellStyle name="Финансовый 2 3 10" xfId="31787"/>
    <cellStyle name="Финансовый 2 3 11" xfId="31788"/>
    <cellStyle name="Финансовый 2 3 12" xfId="31789"/>
    <cellStyle name="Финансовый 2 3 13" xfId="31790"/>
    <cellStyle name="Финансовый 2 3 14" xfId="31791"/>
    <cellStyle name="Финансовый 2 3 15" xfId="31792"/>
    <cellStyle name="Финансовый 2 3 16" xfId="31793"/>
    <cellStyle name="Финансовый 2 3 2" xfId="31794"/>
    <cellStyle name="Финансовый 2 3 2 2" xfId="31795"/>
    <cellStyle name="Финансовый 2 3 2 2 2" xfId="31796"/>
    <cellStyle name="Финансовый 2 3 2 2 3" xfId="31797"/>
    <cellStyle name="Финансовый 2 3 2 3" xfId="31798"/>
    <cellStyle name="Финансовый 2 3 2 4" xfId="31799"/>
    <cellStyle name="Финансовый 2 3 2 5" xfId="31800"/>
    <cellStyle name="Финансовый 2 3 2 6" xfId="31801"/>
    <cellStyle name="Финансовый 2 3 2 7" xfId="31802"/>
    <cellStyle name="Финансовый 2 3 2 8" xfId="31803"/>
    <cellStyle name="Финансовый 2 3 3" xfId="31804"/>
    <cellStyle name="Финансовый 2 3 4" xfId="31805"/>
    <cellStyle name="Финансовый 2 3 4 2" xfId="31806"/>
    <cellStyle name="Финансовый 2 3 4 3" xfId="31807"/>
    <cellStyle name="Финансовый 2 3 5" xfId="31808"/>
    <cellStyle name="Финансовый 2 3 6" xfId="31809"/>
    <cellStyle name="Финансовый 2 3 7" xfId="31810"/>
    <cellStyle name="Финансовый 2 3 8" xfId="31811"/>
    <cellStyle name="Финансовый 2 3 9" xfId="31812"/>
    <cellStyle name="Финансовый 2 30" xfId="31813"/>
    <cellStyle name="Финансовый 2 31" xfId="31814"/>
    <cellStyle name="Финансовый 2 32" xfId="31815"/>
    <cellStyle name="Финансовый 2 33" xfId="31816"/>
    <cellStyle name="Финансовый 2 34" xfId="31817"/>
    <cellStyle name="Финансовый 2 35" xfId="32664"/>
    <cellStyle name="Финансовый 2 4" xfId="154"/>
    <cellStyle name="Финансовый 2 5" xfId="155"/>
    <cellStyle name="Финансовый 2 6" xfId="31818"/>
    <cellStyle name="Финансовый 2 7" xfId="31819"/>
    <cellStyle name="Финансовый 2 8" xfId="31820"/>
    <cellStyle name="Финансовый 2 9" xfId="31821"/>
    <cellStyle name="Финансовый 2 9 2" xfId="31822"/>
    <cellStyle name="Финансовый 2 9 2 2" xfId="31823"/>
    <cellStyle name="Финансовый 2 9 2 3" xfId="31824"/>
    <cellStyle name="Финансовый 2 9 3" xfId="31825"/>
    <cellStyle name="Финансовый 2 9 4" xfId="31826"/>
    <cellStyle name="Финансовый 2 9 5" xfId="31827"/>
    <cellStyle name="Финансовый 2 9 6" xfId="31828"/>
    <cellStyle name="Финансовый 2 9 7" xfId="31829"/>
    <cellStyle name="Финансовый 2 9 8" xfId="31830"/>
    <cellStyle name="Финансовый 20" xfId="31831"/>
    <cellStyle name="Финансовый 20 2" xfId="31832"/>
    <cellStyle name="Финансовый 20 3" xfId="31833"/>
    <cellStyle name="Финансовый 20 4" xfId="31834"/>
    <cellStyle name="Финансовый 21 10" xfId="31835"/>
    <cellStyle name="Финансовый 21 11" xfId="31836"/>
    <cellStyle name="Финансовый 21 12" xfId="31837"/>
    <cellStyle name="Финансовый 21 13" xfId="31838"/>
    <cellStyle name="Финансовый 21 14" xfId="31839"/>
    <cellStyle name="Финансовый 21 15" xfId="31840"/>
    <cellStyle name="Финансовый 21 16" xfId="31841"/>
    <cellStyle name="Финансовый 21 17" xfId="31842"/>
    <cellStyle name="Финансовый 21 18" xfId="31843"/>
    <cellStyle name="Финансовый 21 19" xfId="31844"/>
    <cellStyle name="Финансовый 21 2" xfId="31845"/>
    <cellStyle name="Финансовый 21 20" xfId="31846"/>
    <cellStyle name="Финансовый 21 21" xfId="31847"/>
    <cellStyle name="Финансовый 21 22" xfId="31848"/>
    <cellStyle name="Финансовый 21 23" xfId="31849"/>
    <cellStyle name="Финансовый 21 24" xfId="31850"/>
    <cellStyle name="Финансовый 21 25" xfId="31851"/>
    <cellStyle name="Финансовый 21 26" xfId="31852"/>
    <cellStyle name="Финансовый 21 27" xfId="31853"/>
    <cellStyle name="Финансовый 21 28" xfId="31854"/>
    <cellStyle name="Финансовый 21 29" xfId="31855"/>
    <cellStyle name="Финансовый 21 3" xfId="31856"/>
    <cellStyle name="Финансовый 21 30" xfId="31857"/>
    <cellStyle name="Финансовый 21 31" xfId="31858"/>
    <cellStyle name="Финансовый 21 32" xfId="31859"/>
    <cellStyle name="Финансовый 21 33" xfId="31860"/>
    <cellStyle name="Финансовый 21 34" xfId="31861"/>
    <cellStyle name="Финансовый 21 35" xfId="31862"/>
    <cellStyle name="Финансовый 21 36" xfId="31863"/>
    <cellStyle name="Финансовый 21 37" xfId="31864"/>
    <cellStyle name="Финансовый 21 38" xfId="31865"/>
    <cellStyle name="Финансовый 21 39" xfId="31866"/>
    <cellStyle name="Финансовый 21 4" xfId="31867"/>
    <cellStyle name="Финансовый 21 40" xfId="31868"/>
    <cellStyle name="Финансовый 21 41" xfId="31869"/>
    <cellStyle name="Финансовый 21 42" xfId="31870"/>
    <cellStyle name="Финансовый 21 43" xfId="31871"/>
    <cellStyle name="Финансовый 21 44" xfId="31872"/>
    <cellStyle name="Финансовый 21 45" xfId="31873"/>
    <cellStyle name="Финансовый 21 46" xfId="31874"/>
    <cellStyle name="Финансовый 21 47" xfId="31875"/>
    <cellStyle name="Финансовый 21 48" xfId="31876"/>
    <cellStyle name="Финансовый 21 49" xfId="31877"/>
    <cellStyle name="Финансовый 21 5" xfId="31878"/>
    <cellStyle name="Финансовый 21 50" xfId="31879"/>
    <cellStyle name="Финансовый 21 51" xfId="31880"/>
    <cellStyle name="Финансовый 21 52" xfId="31881"/>
    <cellStyle name="Финансовый 21 53" xfId="31882"/>
    <cellStyle name="Финансовый 21 54" xfId="31883"/>
    <cellStyle name="Финансовый 21 55" xfId="31884"/>
    <cellStyle name="Финансовый 21 56" xfId="31885"/>
    <cellStyle name="Финансовый 21 57" xfId="31886"/>
    <cellStyle name="Финансовый 21 6" xfId="31887"/>
    <cellStyle name="Финансовый 21 7" xfId="31888"/>
    <cellStyle name="Финансовый 21 8" xfId="31889"/>
    <cellStyle name="Финансовый 21 9" xfId="31890"/>
    <cellStyle name="Финансовый 22" xfId="31891"/>
    <cellStyle name="Финансовый 22 10" xfId="31892"/>
    <cellStyle name="Финансовый 22 10 2" xfId="31893"/>
    <cellStyle name="Финансовый 22 10 3" xfId="31894"/>
    <cellStyle name="Финансовый 22 11" xfId="31895"/>
    <cellStyle name="Финансовый 22 11 2" xfId="31896"/>
    <cellStyle name="Финансовый 22 11 3" xfId="31897"/>
    <cellStyle name="Финансовый 22 12" xfId="31898"/>
    <cellStyle name="Финансовый 22 12 2" xfId="31899"/>
    <cellStyle name="Финансовый 22 12 3" xfId="31900"/>
    <cellStyle name="Финансовый 22 13" xfId="31901"/>
    <cellStyle name="Финансовый 22 13 2" xfId="31902"/>
    <cellStyle name="Финансовый 22 13 3" xfId="31903"/>
    <cellStyle name="Финансовый 22 14" xfId="31904"/>
    <cellStyle name="Финансовый 22 14 2" xfId="31905"/>
    <cellStyle name="Финансовый 22 14 3" xfId="31906"/>
    <cellStyle name="Финансовый 22 15" xfId="31907"/>
    <cellStyle name="Финансовый 22 15 2" xfId="31908"/>
    <cellStyle name="Финансовый 22 15 3" xfId="31909"/>
    <cellStyle name="Финансовый 22 16" xfId="31910"/>
    <cellStyle name="Финансовый 22 16 2" xfId="31911"/>
    <cellStyle name="Финансовый 22 16 3" xfId="31912"/>
    <cellStyle name="Финансовый 22 17" xfId="31913"/>
    <cellStyle name="Финансовый 22 17 2" xfId="31914"/>
    <cellStyle name="Финансовый 22 17 3" xfId="31915"/>
    <cellStyle name="Финансовый 22 18" xfId="31916"/>
    <cellStyle name="Финансовый 22 18 2" xfId="31917"/>
    <cellStyle name="Финансовый 22 18 3" xfId="31918"/>
    <cellStyle name="Финансовый 22 19" xfId="31919"/>
    <cellStyle name="Финансовый 22 19 2" xfId="31920"/>
    <cellStyle name="Финансовый 22 19 3" xfId="31921"/>
    <cellStyle name="Финансовый 22 2" xfId="31922"/>
    <cellStyle name="Финансовый 22 2 2" xfId="31923"/>
    <cellStyle name="Финансовый 22 2 3" xfId="31924"/>
    <cellStyle name="Финансовый 22 20" xfId="31925"/>
    <cellStyle name="Финансовый 22 20 2" xfId="31926"/>
    <cellStyle name="Финансовый 22 20 3" xfId="31927"/>
    <cellStyle name="Финансовый 22 21" xfId="31928"/>
    <cellStyle name="Финансовый 22 21 2" xfId="31929"/>
    <cellStyle name="Финансовый 22 21 3" xfId="31930"/>
    <cellStyle name="Финансовый 22 22" xfId="31931"/>
    <cellStyle name="Финансовый 22 22 2" xfId="31932"/>
    <cellStyle name="Финансовый 22 22 3" xfId="31933"/>
    <cellStyle name="Финансовый 22 23" xfId="31934"/>
    <cellStyle name="Финансовый 22 23 2" xfId="31935"/>
    <cellStyle name="Финансовый 22 23 3" xfId="31936"/>
    <cellStyle name="Финансовый 22 24" xfId="31937"/>
    <cellStyle name="Финансовый 22 24 2" xfId="31938"/>
    <cellStyle name="Финансовый 22 24 3" xfId="31939"/>
    <cellStyle name="Финансовый 22 25" xfId="31940"/>
    <cellStyle name="Финансовый 22 25 2" xfId="31941"/>
    <cellStyle name="Финансовый 22 25 3" xfId="31942"/>
    <cellStyle name="Финансовый 22 26" xfId="31943"/>
    <cellStyle name="Финансовый 22 26 2" xfId="31944"/>
    <cellStyle name="Финансовый 22 26 3" xfId="31945"/>
    <cellStyle name="Финансовый 22 27" xfId="31946"/>
    <cellStyle name="Финансовый 22 27 2" xfId="31947"/>
    <cellStyle name="Финансовый 22 27 3" xfId="31948"/>
    <cellStyle name="Финансовый 22 28" xfId="31949"/>
    <cellStyle name="Финансовый 22 28 2" xfId="31950"/>
    <cellStyle name="Финансовый 22 28 3" xfId="31951"/>
    <cellStyle name="Финансовый 22 29" xfId="31952"/>
    <cellStyle name="Финансовый 22 29 2" xfId="31953"/>
    <cellStyle name="Финансовый 22 29 3" xfId="31954"/>
    <cellStyle name="Финансовый 22 3" xfId="31955"/>
    <cellStyle name="Финансовый 22 3 2" xfId="31956"/>
    <cellStyle name="Финансовый 22 3 3" xfId="31957"/>
    <cellStyle name="Финансовый 22 30" xfId="31958"/>
    <cellStyle name="Финансовый 22 30 2" xfId="31959"/>
    <cellStyle name="Финансовый 22 30 3" xfId="31960"/>
    <cellStyle name="Финансовый 22 31" xfId="31961"/>
    <cellStyle name="Финансовый 22 31 2" xfId="31962"/>
    <cellStyle name="Финансовый 22 31 3" xfId="31963"/>
    <cellStyle name="Финансовый 22 32" xfId="31964"/>
    <cellStyle name="Финансовый 22 32 2" xfId="31965"/>
    <cellStyle name="Финансовый 22 32 3" xfId="31966"/>
    <cellStyle name="Финансовый 22 33" xfId="31967"/>
    <cellStyle name="Финансовый 22 33 2" xfId="31968"/>
    <cellStyle name="Финансовый 22 33 3" xfId="31969"/>
    <cellStyle name="Финансовый 22 34" xfId="31970"/>
    <cellStyle name="Финансовый 22 34 2" xfId="31971"/>
    <cellStyle name="Финансовый 22 34 3" xfId="31972"/>
    <cellStyle name="Финансовый 22 35" xfId="31973"/>
    <cellStyle name="Финансовый 22 35 2" xfId="31974"/>
    <cellStyle name="Финансовый 22 35 3" xfId="31975"/>
    <cellStyle name="Финансовый 22 36" xfId="31976"/>
    <cellStyle name="Финансовый 22 36 2" xfId="31977"/>
    <cellStyle name="Финансовый 22 36 3" xfId="31978"/>
    <cellStyle name="Финансовый 22 37" xfId="31979"/>
    <cellStyle name="Финансовый 22 37 2" xfId="31980"/>
    <cellStyle name="Финансовый 22 37 3" xfId="31981"/>
    <cellStyle name="Финансовый 22 38" xfId="31982"/>
    <cellStyle name="Финансовый 22 38 2" xfId="31983"/>
    <cellStyle name="Финансовый 22 38 3" xfId="31984"/>
    <cellStyle name="Финансовый 22 39" xfId="31985"/>
    <cellStyle name="Финансовый 22 39 2" xfId="31986"/>
    <cellStyle name="Финансовый 22 39 3" xfId="31987"/>
    <cellStyle name="Финансовый 22 4" xfId="31988"/>
    <cellStyle name="Финансовый 22 4 2" xfId="31989"/>
    <cellStyle name="Финансовый 22 4 3" xfId="31990"/>
    <cellStyle name="Финансовый 22 40" xfId="31991"/>
    <cellStyle name="Финансовый 22 40 2" xfId="31992"/>
    <cellStyle name="Финансовый 22 40 3" xfId="31993"/>
    <cellStyle name="Финансовый 22 41" xfId="31994"/>
    <cellStyle name="Финансовый 22 41 2" xfId="31995"/>
    <cellStyle name="Финансовый 22 41 3" xfId="31996"/>
    <cellStyle name="Финансовый 22 42" xfId="31997"/>
    <cellStyle name="Финансовый 22 42 2" xfId="31998"/>
    <cellStyle name="Финансовый 22 42 3" xfId="31999"/>
    <cellStyle name="Финансовый 22 43" xfId="32000"/>
    <cellStyle name="Финансовый 22 43 2" xfId="32001"/>
    <cellStyle name="Финансовый 22 43 3" xfId="32002"/>
    <cellStyle name="Финансовый 22 44" xfId="32003"/>
    <cellStyle name="Финансовый 22 44 2" xfId="32004"/>
    <cellStyle name="Финансовый 22 44 3" xfId="32005"/>
    <cellStyle name="Финансовый 22 45" xfId="32006"/>
    <cellStyle name="Финансовый 22 45 2" xfId="32007"/>
    <cellStyle name="Финансовый 22 45 3" xfId="32008"/>
    <cellStyle name="Финансовый 22 46" xfId="32009"/>
    <cellStyle name="Финансовый 22 46 2" xfId="32010"/>
    <cellStyle name="Финансовый 22 46 3" xfId="32011"/>
    <cellStyle name="Финансовый 22 47" xfId="32012"/>
    <cellStyle name="Финансовый 22 47 2" xfId="32013"/>
    <cellStyle name="Финансовый 22 47 3" xfId="32014"/>
    <cellStyle name="Финансовый 22 48" xfId="32015"/>
    <cellStyle name="Финансовый 22 48 2" xfId="32016"/>
    <cellStyle name="Финансовый 22 48 3" xfId="32017"/>
    <cellStyle name="Финансовый 22 49" xfId="32018"/>
    <cellStyle name="Финансовый 22 49 2" xfId="32019"/>
    <cellStyle name="Финансовый 22 49 3" xfId="32020"/>
    <cellStyle name="Финансовый 22 5" xfId="32021"/>
    <cellStyle name="Финансовый 22 5 2" xfId="32022"/>
    <cellStyle name="Финансовый 22 5 3" xfId="32023"/>
    <cellStyle name="Финансовый 22 50" xfId="32024"/>
    <cellStyle name="Финансовый 22 50 2" xfId="32025"/>
    <cellStyle name="Финансовый 22 50 3" xfId="32026"/>
    <cellStyle name="Финансовый 22 51" xfId="32027"/>
    <cellStyle name="Финансовый 22 51 2" xfId="32028"/>
    <cellStyle name="Финансовый 22 51 3" xfId="32029"/>
    <cellStyle name="Финансовый 22 52" xfId="32030"/>
    <cellStyle name="Финансовый 22 52 2" xfId="32031"/>
    <cellStyle name="Финансовый 22 52 3" xfId="32032"/>
    <cellStyle name="Финансовый 22 53" xfId="32033"/>
    <cellStyle name="Финансовый 22 53 2" xfId="32034"/>
    <cellStyle name="Финансовый 22 53 3" xfId="32035"/>
    <cellStyle name="Финансовый 22 54" xfId="32036"/>
    <cellStyle name="Финансовый 22 54 2" xfId="32037"/>
    <cellStyle name="Финансовый 22 54 3" xfId="32038"/>
    <cellStyle name="Финансовый 22 55" xfId="32039"/>
    <cellStyle name="Финансовый 22 55 2" xfId="32040"/>
    <cellStyle name="Финансовый 22 55 3" xfId="32041"/>
    <cellStyle name="Финансовый 22 56" xfId="32042"/>
    <cellStyle name="Финансовый 22 56 2" xfId="32043"/>
    <cellStyle name="Финансовый 22 56 3" xfId="32044"/>
    <cellStyle name="Финансовый 22 57" xfId="32045"/>
    <cellStyle name="Финансовый 22 57 2" xfId="32046"/>
    <cellStyle name="Финансовый 22 57 3" xfId="32047"/>
    <cellStyle name="Финансовый 22 58" xfId="32048"/>
    <cellStyle name="Финансовый 22 59" xfId="32049"/>
    <cellStyle name="Финансовый 22 6" xfId="32050"/>
    <cellStyle name="Финансовый 22 6 2" xfId="32051"/>
    <cellStyle name="Финансовый 22 6 3" xfId="32052"/>
    <cellStyle name="Финансовый 22 7" xfId="32053"/>
    <cellStyle name="Финансовый 22 7 2" xfId="32054"/>
    <cellStyle name="Финансовый 22 7 3" xfId="32055"/>
    <cellStyle name="Финансовый 22 8" xfId="32056"/>
    <cellStyle name="Финансовый 22 8 2" xfId="32057"/>
    <cellStyle name="Финансовый 22 8 3" xfId="32058"/>
    <cellStyle name="Финансовый 22 9" xfId="32059"/>
    <cellStyle name="Финансовый 22 9 2" xfId="32060"/>
    <cellStyle name="Финансовый 22 9 3" xfId="32061"/>
    <cellStyle name="Финансовый 23" xfId="32062"/>
    <cellStyle name="Финансовый 23 10" xfId="32063"/>
    <cellStyle name="Финансовый 23 10 2" xfId="32064"/>
    <cellStyle name="Финансовый 23 10 3" xfId="32065"/>
    <cellStyle name="Финансовый 23 11" xfId="32066"/>
    <cellStyle name="Финансовый 23 11 2" xfId="32067"/>
    <cellStyle name="Финансовый 23 11 3" xfId="32068"/>
    <cellStyle name="Финансовый 23 12" xfId="32069"/>
    <cellStyle name="Финансовый 23 12 2" xfId="32070"/>
    <cellStyle name="Финансовый 23 12 3" xfId="32071"/>
    <cellStyle name="Финансовый 23 13" xfId="32072"/>
    <cellStyle name="Финансовый 23 13 2" xfId="32073"/>
    <cellStyle name="Финансовый 23 13 3" xfId="32074"/>
    <cellStyle name="Финансовый 23 14" xfId="32075"/>
    <cellStyle name="Финансовый 23 14 2" xfId="32076"/>
    <cellStyle name="Финансовый 23 14 3" xfId="32077"/>
    <cellStyle name="Финансовый 23 15" xfId="32078"/>
    <cellStyle name="Финансовый 23 15 2" xfId="32079"/>
    <cellStyle name="Финансовый 23 15 3" xfId="32080"/>
    <cellStyle name="Финансовый 23 16" xfId="32081"/>
    <cellStyle name="Финансовый 23 16 2" xfId="32082"/>
    <cellStyle name="Финансовый 23 16 3" xfId="32083"/>
    <cellStyle name="Финансовый 23 17" xfId="32084"/>
    <cellStyle name="Финансовый 23 17 2" xfId="32085"/>
    <cellStyle name="Финансовый 23 17 3" xfId="32086"/>
    <cellStyle name="Финансовый 23 18" xfId="32087"/>
    <cellStyle name="Финансовый 23 18 2" xfId="32088"/>
    <cellStyle name="Финансовый 23 18 3" xfId="32089"/>
    <cellStyle name="Финансовый 23 19" xfId="32090"/>
    <cellStyle name="Финансовый 23 19 2" xfId="32091"/>
    <cellStyle name="Финансовый 23 19 3" xfId="32092"/>
    <cellStyle name="Финансовый 23 2" xfId="32093"/>
    <cellStyle name="Финансовый 23 2 2" xfId="32094"/>
    <cellStyle name="Финансовый 23 2 3" xfId="32095"/>
    <cellStyle name="Финансовый 23 20" xfId="32096"/>
    <cellStyle name="Финансовый 23 20 2" xfId="32097"/>
    <cellStyle name="Финансовый 23 20 3" xfId="32098"/>
    <cellStyle name="Финансовый 23 21" xfId="32099"/>
    <cellStyle name="Финансовый 23 21 2" xfId="32100"/>
    <cellStyle name="Финансовый 23 21 3" xfId="32101"/>
    <cellStyle name="Финансовый 23 22" xfId="32102"/>
    <cellStyle name="Финансовый 23 22 2" xfId="32103"/>
    <cellStyle name="Финансовый 23 22 3" xfId="32104"/>
    <cellStyle name="Финансовый 23 23" xfId="32105"/>
    <cellStyle name="Финансовый 23 23 2" xfId="32106"/>
    <cellStyle name="Финансовый 23 23 3" xfId="32107"/>
    <cellStyle name="Финансовый 23 24" xfId="32108"/>
    <cellStyle name="Финансовый 23 24 2" xfId="32109"/>
    <cellStyle name="Финансовый 23 24 3" xfId="32110"/>
    <cellStyle name="Финансовый 23 25" xfId="32111"/>
    <cellStyle name="Финансовый 23 25 2" xfId="32112"/>
    <cellStyle name="Финансовый 23 25 3" xfId="32113"/>
    <cellStyle name="Финансовый 23 26" xfId="32114"/>
    <cellStyle name="Финансовый 23 26 2" xfId="32115"/>
    <cellStyle name="Финансовый 23 26 3" xfId="32116"/>
    <cellStyle name="Финансовый 23 27" xfId="32117"/>
    <cellStyle name="Финансовый 23 27 2" xfId="32118"/>
    <cellStyle name="Финансовый 23 27 3" xfId="32119"/>
    <cellStyle name="Финансовый 23 28" xfId="32120"/>
    <cellStyle name="Финансовый 23 28 2" xfId="32121"/>
    <cellStyle name="Финансовый 23 28 3" xfId="32122"/>
    <cellStyle name="Финансовый 23 29" xfId="32123"/>
    <cellStyle name="Финансовый 23 29 2" xfId="32124"/>
    <cellStyle name="Финансовый 23 29 3" xfId="32125"/>
    <cellStyle name="Финансовый 23 3" xfId="32126"/>
    <cellStyle name="Финансовый 23 3 2" xfId="32127"/>
    <cellStyle name="Финансовый 23 3 3" xfId="32128"/>
    <cellStyle name="Финансовый 23 30" xfId="32129"/>
    <cellStyle name="Финансовый 23 30 2" xfId="32130"/>
    <cellStyle name="Финансовый 23 30 3" xfId="32131"/>
    <cellStyle name="Финансовый 23 31" xfId="32132"/>
    <cellStyle name="Финансовый 23 31 2" xfId="32133"/>
    <cellStyle name="Финансовый 23 31 3" xfId="32134"/>
    <cellStyle name="Финансовый 23 32" xfId="32135"/>
    <cellStyle name="Финансовый 23 32 2" xfId="32136"/>
    <cellStyle name="Финансовый 23 32 3" xfId="32137"/>
    <cellStyle name="Финансовый 23 33" xfId="32138"/>
    <cellStyle name="Финансовый 23 33 2" xfId="32139"/>
    <cellStyle name="Финансовый 23 33 3" xfId="32140"/>
    <cellStyle name="Финансовый 23 34" xfId="32141"/>
    <cellStyle name="Финансовый 23 34 2" xfId="32142"/>
    <cellStyle name="Финансовый 23 34 3" xfId="32143"/>
    <cellStyle name="Финансовый 23 35" xfId="32144"/>
    <cellStyle name="Финансовый 23 35 2" xfId="32145"/>
    <cellStyle name="Финансовый 23 35 3" xfId="32146"/>
    <cellStyle name="Финансовый 23 36" xfId="32147"/>
    <cellStyle name="Финансовый 23 36 2" xfId="32148"/>
    <cellStyle name="Финансовый 23 36 3" xfId="32149"/>
    <cellStyle name="Финансовый 23 37" xfId="32150"/>
    <cellStyle name="Финансовый 23 37 2" xfId="32151"/>
    <cellStyle name="Финансовый 23 37 3" xfId="32152"/>
    <cellStyle name="Финансовый 23 38" xfId="32153"/>
    <cellStyle name="Финансовый 23 38 2" xfId="32154"/>
    <cellStyle name="Финансовый 23 38 3" xfId="32155"/>
    <cellStyle name="Финансовый 23 39" xfId="32156"/>
    <cellStyle name="Финансовый 23 39 2" xfId="32157"/>
    <cellStyle name="Финансовый 23 39 3" xfId="32158"/>
    <cellStyle name="Финансовый 23 4" xfId="32159"/>
    <cellStyle name="Финансовый 23 4 2" xfId="32160"/>
    <cellStyle name="Финансовый 23 4 3" xfId="32161"/>
    <cellStyle name="Финансовый 23 40" xfId="32162"/>
    <cellStyle name="Финансовый 23 40 2" xfId="32163"/>
    <cellStyle name="Финансовый 23 40 3" xfId="32164"/>
    <cellStyle name="Финансовый 23 41" xfId="32165"/>
    <cellStyle name="Финансовый 23 41 2" xfId="32166"/>
    <cellStyle name="Финансовый 23 41 3" xfId="32167"/>
    <cellStyle name="Финансовый 23 42" xfId="32168"/>
    <cellStyle name="Финансовый 23 42 2" xfId="32169"/>
    <cellStyle name="Финансовый 23 42 3" xfId="32170"/>
    <cellStyle name="Финансовый 23 43" xfId="32171"/>
    <cellStyle name="Финансовый 23 43 2" xfId="32172"/>
    <cellStyle name="Финансовый 23 43 3" xfId="32173"/>
    <cellStyle name="Финансовый 23 44" xfId="32174"/>
    <cellStyle name="Финансовый 23 44 2" xfId="32175"/>
    <cellStyle name="Финансовый 23 44 3" xfId="32176"/>
    <cellStyle name="Финансовый 23 45" xfId="32177"/>
    <cellStyle name="Финансовый 23 45 2" xfId="32178"/>
    <cellStyle name="Финансовый 23 45 3" xfId="32179"/>
    <cellStyle name="Финансовый 23 46" xfId="32180"/>
    <cellStyle name="Финансовый 23 46 2" xfId="32181"/>
    <cellStyle name="Финансовый 23 46 3" xfId="32182"/>
    <cellStyle name="Финансовый 23 47" xfId="32183"/>
    <cellStyle name="Финансовый 23 47 2" xfId="32184"/>
    <cellStyle name="Финансовый 23 47 3" xfId="32185"/>
    <cellStyle name="Финансовый 23 48" xfId="32186"/>
    <cellStyle name="Финансовый 23 48 2" xfId="32187"/>
    <cellStyle name="Финансовый 23 48 3" xfId="32188"/>
    <cellStyle name="Финансовый 23 49" xfId="32189"/>
    <cellStyle name="Финансовый 23 49 2" xfId="32190"/>
    <cellStyle name="Финансовый 23 49 3" xfId="32191"/>
    <cellStyle name="Финансовый 23 5" xfId="32192"/>
    <cellStyle name="Финансовый 23 5 2" xfId="32193"/>
    <cellStyle name="Финансовый 23 5 3" xfId="32194"/>
    <cellStyle name="Финансовый 23 50" xfId="32195"/>
    <cellStyle name="Финансовый 23 50 2" xfId="32196"/>
    <cellStyle name="Финансовый 23 50 3" xfId="32197"/>
    <cellStyle name="Финансовый 23 51" xfId="32198"/>
    <cellStyle name="Финансовый 23 51 2" xfId="32199"/>
    <cellStyle name="Финансовый 23 51 3" xfId="32200"/>
    <cellStyle name="Финансовый 23 52" xfId="32201"/>
    <cellStyle name="Финансовый 23 52 2" xfId="32202"/>
    <cellStyle name="Финансовый 23 52 3" xfId="32203"/>
    <cellStyle name="Финансовый 23 53" xfId="32204"/>
    <cellStyle name="Финансовый 23 53 2" xfId="32205"/>
    <cellStyle name="Финансовый 23 53 3" xfId="32206"/>
    <cellStyle name="Финансовый 23 54" xfId="32207"/>
    <cellStyle name="Финансовый 23 54 2" xfId="32208"/>
    <cellStyle name="Финансовый 23 54 3" xfId="32209"/>
    <cellStyle name="Финансовый 23 55" xfId="32210"/>
    <cellStyle name="Финансовый 23 55 2" xfId="32211"/>
    <cellStyle name="Финансовый 23 55 3" xfId="32212"/>
    <cellStyle name="Финансовый 23 56" xfId="32213"/>
    <cellStyle name="Финансовый 23 56 2" xfId="32214"/>
    <cellStyle name="Финансовый 23 56 3" xfId="32215"/>
    <cellStyle name="Финансовый 23 57" xfId="32216"/>
    <cellStyle name="Финансовый 23 57 2" xfId="32217"/>
    <cellStyle name="Финансовый 23 57 3" xfId="32218"/>
    <cellStyle name="Финансовый 23 58" xfId="32219"/>
    <cellStyle name="Финансовый 23 59" xfId="32220"/>
    <cellStyle name="Финансовый 23 6" xfId="32221"/>
    <cellStyle name="Финансовый 23 6 2" xfId="32222"/>
    <cellStyle name="Финансовый 23 6 3" xfId="32223"/>
    <cellStyle name="Финансовый 23 7" xfId="32224"/>
    <cellStyle name="Финансовый 23 7 2" xfId="32225"/>
    <cellStyle name="Финансовый 23 7 3" xfId="32226"/>
    <cellStyle name="Финансовый 23 8" xfId="32227"/>
    <cellStyle name="Финансовый 23 8 2" xfId="32228"/>
    <cellStyle name="Финансовый 23 8 3" xfId="32229"/>
    <cellStyle name="Финансовый 23 9" xfId="32230"/>
    <cellStyle name="Финансовый 23 9 2" xfId="32231"/>
    <cellStyle name="Финансовый 23 9 3" xfId="32232"/>
    <cellStyle name="Финансовый 24" xfId="32233"/>
    <cellStyle name="Финансовый 25" xfId="32234"/>
    <cellStyle name="Финансовый 3" xfId="156"/>
    <cellStyle name="Финансовый 3 10" xfId="32235"/>
    <cellStyle name="Финансовый 3 11" xfId="32236"/>
    <cellStyle name="Финансовый 3 12" xfId="32237"/>
    <cellStyle name="Финансовый 3 13" xfId="32238"/>
    <cellStyle name="Финансовый 3 14" xfId="32239"/>
    <cellStyle name="Финансовый 3 15" xfId="32240"/>
    <cellStyle name="Финансовый 3 16" xfId="32241"/>
    <cellStyle name="Финансовый 3 17" xfId="32242"/>
    <cellStyle name="Финансовый 3 18" xfId="32243"/>
    <cellStyle name="Финансовый 3 19" xfId="32244"/>
    <cellStyle name="Финансовый 3 2" xfId="32245"/>
    <cellStyle name="Финансовый 3 20" xfId="32246"/>
    <cellStyle name="Финансовый 3 21" xfId="32247"/>
    <cellStyle name="Финансовый 3 22" xfId="32248"/>
    <cellStyle name="Финансовый 3 23" xfId="32249"/>
    <cellStyle name="Финансовый 3 24" xfId="32250"/>
    <cellStyle name="Финансовый 3 25" xfId="32251"/>
    <cellStyle name="Финансовый 3 26" xfId="32252"/>
    <cellStyle name="Финансовый 3 27" xfId="32253"/>
    <cellStyle name="Финансовый 3 28" xfId="32254"/>
    <cellStyle name="Финансовый 3 29" xfId="32255"/>
    <cellStyle name="Финансовый 3 3" xfId="32256"/>
    <cellStyle name="Финансовый 3 30" xfId="32257"/>
    <cellStyle name="Финансовый 3 31" xfId="32258"/>
    <cellStyle name="Финансовый 3 32" xfId="32259"/>
    <cellStyle name="Финансовый 3 33" xfId="32260"/>
    <cellStyle name="Финансовый 3 34" xfId="32261"/>
    <cellStyle name="Финансовый 3 35" xfId="32262"/>
    <cellStyle name="Финансовый 3 36" xfId="32263"/>
    <cellStyle name="Финансовый 3 37" xfId="32264"/>
    <cellStyle name="Финансовый 3 38" xfId="32265"/>
    <cellStyle name="Финансовый 3 39" xfId="32266"/>
    <cellStyle name="Финансовый 3 4" xfId="32267"/>
    <cellStyle name="Финансовый 3 40" xfId="32268"/>
    <cellStyle name="Финансовый 3 41" xfId="32269"/>
    <cellStyle name="Финансовый 3 42" xfId="32270"/>
    <cellStyle name="Финансовый 3 43" xfId="32271"/>
    <cellStyle name="Финансовый 3 44" xfId="32272"/>
    <cellStyle name="Финансовый 3 45" xfId="32273"/>
    <cellStyle name="Финансовый 3 46" xfId="32274"/>
    <cellStyle name="Финансовый 3 47" xfId="32275"/>
    <cellStyle name="Финансовый 3 48" xfId="32276"/>
    <cellStyle name="Финансовый 3 49" xfId="32277"/>
    <cellStyle name="Финансовый 3 5" xfId="32278"/>
    <cellStyle name="Финансовый 3 50" xfId="32279"/>
    <cellStyle name="Финансовый 3 51" xfId="32280"/>
    <cellStyle name="Финансовый 3 52" xfId="32281"/>
    <cellStyle name="Финансовый 3 53" xfId="32282"/>
    <cellStyle name="Финансовый 3 54" xfId="32283"/>
    <cellStyle name="Финансовый 3 55" xfId="32284"/>
    <cellStyle name="Финансовый 3 56" xfId="32285"/>
    <cellStyle name="Финансовый 3 57" xfId="32286"/>
    <cellStyle name="Финансовый 3 58" xfId="32287"/>
    <cellStyle name="Финансовый 3 59" xfId="32288"/>
    <cellStyle name="Финансовый 3 6" xfId="32289"/>
    <cellStyle name="Финансовый 3 60" xfId="32290"/>
    <cellStyle name="Финансовый 3 61" xfId="32291"/>
    <cellStyle name="Финансовый 3 62" xfId="32292"/>
    <cellStyle name="Финансовый 3 63" xfId="32293"/>
    <cellStyle name="Финансовый 3 64" xfId="32294"/>
    <cellStyle name="Финансовый 3 65" xfId="32295"/>
    <cellStyle name="Финансовый 3 66" xfId="32296"/>
    <cellStyle name="Финансовый 3 67" xfId="32297"/>
    <cellStyle name="Финансовый 3 68" xfId="32298"/>
    <cellStyle name="Финансовый 3 69" xfId="32299"/>
    <cellStyle name="Финансовый 3 7" xfId="32300"/>
    <cellStyle name="Финансовый 3 70" xfId="32301"/>
    <cellStyle name="Финансовый 3 71" xfId="32302"/>
    <cellStyle name="Финансовый 3 72" xfId="32303"/>
    <cellStyle name="Финансовый 3 73" xfId="32304"/>
    <cellStyle name="Финансовый 3 74" xfId="32305"/>
    <cellStyle name="Финансовый 3 75" xfId="32306"/>
    <cellStyle name="Финансовый 3 76" xfId="32307"/>
    <cellStyle name="Финансовый 3 77" xfId="32308"/>
    <cellStyle name="Финансовый 3 78" xfId="32309"/>
    <cellStyle name="Финансовый 3 79" xfId="32310"/>
    <cellStyle name="Финансовый 3 8" xfId="32311"/>
    <cellStyle name="Финансовый 3 80" xfId="32312"/>
    <cellStyle name="Финансовый 3 81" xfId="32313"/>
    <cellStyle name="Финансовый 3 82" xfId="32314"/>
    <cellStyle name="Финансовый 3 83" xfId="32315"/>
    <cellStyle name="Финансовый 3 84" xfId="32316"/>
    <cellStyle name="Финансовый 3 85" xfId="32317"/>
    <cellStyle name="Финансовый 3 86" xfId="32318"/>
    <cellStyle name="Финансовый 3 9" xfId="32319"/>
    <cellStyle name="Финансовый 4" xfId="157"/>
    <cellStyle name="Финансовый 4 10" xfId="32320"/>
    <cellStyle name="Финансовый 4 11" xfId="32321"/>
    <cellStyle name="Финансовый 4 12" xfId="32322"/>
    <cellStyle name="Финансовый 4 13" xfId="32323"/>
    <cellStyle name="Финансовый 4 14" xfId="32324"/>
    <cellStyle name="Финансовый 4 15" xfId="32325"/>
    <cellStyle name="Финансовый 4 16" xfId="32326"/>
    <cellStyle name="Финансовый 4 17" xfId="32327"/>
    <cellStyle name="Финансовый 4 18" xfId="32328"/>
    <cellStyle name="Финансовый 4 19" xfId="32329"/>
    <cellStyle name="Финансовый 4 2" xfId="32330"/>
    <cellStyle name="Финансовый 4 20" xfId="32331"/>
    <cellStyle name="Финансовый 4 21" xfId="32332"/>
    <cellStyle name="Финансовый 4 22" xfId="32333"/>
    <cellStyle name="Финансовый 4 23" xfId="32334"/>
    <cellStyle name="Финансовый 4 24" xfId="32335"/>
    <cellStyle name="Финансовый 4 25" xfId="32336"/>
    <cellStyle name="Финансовый 4 26" xfId="32337"/>
    <cellStyle name="Финансовый 4 27" xfId="32338"/>
    <cellStyle name="Финансовый 4 28" xfId="32339"/>
    <cellStyle name="Финансовый 4 29" xfId="32340"/>
    <cellStyle name="Финансовый 4 3" xfId="32341"/>
    <cellStyle name="Финансовый 4 30" xfId="32342"/>
    <cellStyle name="Финансовый 4 31" xfId="32343"/>
    <cellStyle name="Финансовый 4 32" xfId="32344"/>
    <cellStyle name="Финансовый 4 33" xfId="32345"/>
    <cellStyle name="Финансовый 4 34" xfId="32346"/>
    <cellStyle name="Финансовый 4 35" xfId="32347"/>
    <cellStyle name="Финансовый 4 36" xfId="32348"/>
    <cellStyle name="Финансовый 4 37" xfId="32349"/>
    <cellStyle name="Финансовый 4 38" xfId="32350"/>
    <cellStyle name="Финансовый 4 39" xfId="32351"/>
    <cellStyle name="Финансовый 4 4" xfId="32352"/>
    <cellStyle name="Финансовый 4 40" xfId="32353"/>
    <cellStyle name="Финансовый 4 41" xfId="32354"/>
    <cellStyle name="Финансовый 4 42" xfId="32355"/>
    <cellStyle name="Финансовый 4 43" xfId="32356"/>
    <cellStyle name="Финансовый 4 44" xfId="32357"/>
    <cellStyle name="Финансовый 4 45" xfId="32358"/>
    <cellStyle name="Финансовый 4 46" xfId="32359"/>
    <cellStyle name="Финансовый 4 47" xfId="32360"/>
    <cellStyle name="Финансовый 4 48" xfId="32361"/>
    <cellStyle name="Финансовый 4 49" xfId="32362"/>
    <cellStyle name="Финансовый 4 5" xfId="32363"/>
    <cellStyle name="Финансовый 4 50" xfId="32364"/>
    <cellStyle name="Финансовый 4 51" xfId="32365"/>
    <cellStyle name="Финансовый 4 52" xfId="32366"/>
    <cellStyle name="Финансовый 4 53" xfId="32367"/>
    <cellStyle name="Финансовый 4 54" xfId="32368"/>
    <cellStyle name="Финансовый 4 55" xfId="32369"/>
    <cellStyle name="Финансовый 4 56" xfId="32370"/>
    <cellStyle name="Финансовый 4 57" xfId="32371"/>
    <cellStyle name="Финансовый 4 58" xfId="32372"/>
    <cellStyle name="Финансовый 4 59" xfId="32373"/>
    <cellStyle name="Финансовый 4 6" xfId="32374"/>
    <cellStyle name="Финансовый 4 60" xfId="32375"/>
    <cellStyle name="Финансовый 4 61" xfId="32376"/>
    <cellStyle name="Финансовый 4 62" xfId="32377"/>
    <cellStyle name="Финансовый 4 63" xfId="32378"/>
    <cellStyle name="Финансовый 4 64" xfId="32379"/>
    <cellStyle name="Финансовый 4 65" xfId="32380"/>
    <cellStyle name="Финансовый 4 66" xfId="32381"/>
    <cellStyle name="Финансовый 4 67" xfId="32382"/>
    <cellStyle name="Финансовый 4 68" xfId="32383"/>
    <cellStyle name="Финансовый 4 69" xfId="32384"/>
    <cellStyle name="Финансовый 4 7" xfId="32385"/>
    <cellStyle name="Финансовый 4 70" xfId="32386"/>
    <cellStyle name="Финансовый 4 71" xfId="32387"/>
    <cellStyle name="Финансовый 4 72" xfId="32388"/>
    <cellStyle name="Финансовый 4 73" xfId="32389"/>
    <cellStyle name="Финансовый 4 74" xfId="32390"/>
    <cellStyle name="Финансовый 4 75" xfId="32391"/>
    <cellStyle name="Финансовый 4 76" xfId="32392"/>
    <cellStyle name="Финансовый 4 77" xfId="32393"/>
    <cellStyle name="Финансовый 4 78" xfId="32394"/>
    <cellStyle name="Финансовый 4 79" xfId="32395"/>
    <cellStyle name="Финансовый 4 8" xfId="32396"/>
    <cellStyle name="Финансовый 4 80" xfId="32397"/>
    <cellStyle name="Финансовый 4 81" xfId="32398"/>
    <cellStyle name="Финансовый 4 82" xfId="32399"/>
    <cellStyle name="Финансовый 4 83" xfId="32400"/>
    <cellStyle name="Финансовый 4 84" xfId="32401"/>
    <cellStyle name="Финансовый 4 85" xfId="32402"/>
    <cellStyle name="Финансовый 4 86" xfId="32403"/>
    <cellStyle name="Финансовый 4 9" xfId="32404"/>
    <cellStyle name="Финансовый 5" xfId="158"/>
    <cellStyle name="Финансовый 5 10" xfId="32405"/>
    <cellStyle name="Финансовый 5 11" xfId="32406"/>
    <cellStyle name="Финансовый 5 12" xfId="32407"/>
    <cellStyle name="Финансовый 5 13" xfId="32408"/>
    <cellStyle name="Финансовый 5 14" xfId="32409"/>
    <cellStyle name="Финансовый 5 15" xfId="32410"/>
    <cellStyle name="Финансовый 5 16" xfId="32411"/>
    <cellStyle name="Финансовый 5 17" xfId="32412"/>
    <cellStyle name="Финансовый 5 18" xfId="32413"/>
    <cellStyle name="Финансовый 5 19" xfId="32414"/>
    <cellStyle name="Финансовый 5 2" xfId="159"/>
    <cellStyle name="Финансовый 5 2 2" xfId="160"/>
    <cellStyle name="Финансовый 5 20" xfId="32415"/>
    <cellStyle name="Финансовый 5 21" xfId="32416"/>
    <cellStyle name="Финансовый 5 22" xfId="32417"/>
    <cellStyle name="Финансовый 5 23" xfId="32418"/>
    <cellStyle name="Финансовый 5 24" xfId="32419"/>
    <cellStyle name="Финансовый 5 25" xfId="32420"/>
    <cellStyle name="Финансовый 5 26" xfId="32421"/>
    <cellStyle name="Финансовый 5 27" xfId="32422"/>
    <cellStyle name="Финансовый 5 28" xfId="32423"/>
    <cellStyle name="Финансовый 5 29" xfId="32424"/>
    <cellStyle name="Финансовый 5 3" xfId="161"/>
    <cellStyle name="Финансовый 5 30" xfId="32425"/>
    <cellStyle name="Финансовый 5 31" xfId="32426"/>
    <cellStyle name="Финансовый 5 32" xfId="32427"/>
    <cellStyle name="Финансовый 5 33" xfId="32428"/>
    <cellStyle name="Финансовый 5 34" xfId="32429"/>
    <cellStyle name="Финансовый 5 35" xfId="32430"/>
    <cellStyle name="Финансовый 5 36" xfId="32431"/>
    <cellStyle name="Финансовый 5 37" xfId="32432"/>
    <cellStyle name="Финансовый 5 38" xfId="32433"/>
    <cellStyle name="Финансовый 5 39" xfId="32434"/>
    <cellStyle name="Финансовый 5 4" xfId="162"/>
    <cellStyle name="Финансовый 5 40" xfId="32435"/>
    <cellStyle name="Финансовый 5 41" xfId="32436"/>
    <cellStyle name="Финансовый 5 42" xfId="32437"/>
    <cellStyle name="Финансовый 5 43" xfId="32438"/>
    <cellStyle name="Финансовый 5 44" xfId="32439"/>
    <cellStyle name="Финансовый 5 45" xfId="32440"/>
    <cellStyle name="Финансовый 5 46" xfId="32441"/>
    <cellStyle name="Финансовый 5 47" xfId="32442"/>
    <cellStyle name="Финансовый 5 48" xfId="32443"/>
    <cellStyle name="Финансовый 5 49" xfId="32444"/>
    <cellStyle name="Финансовый 5 5" xfId="32445"/>
    <cellStyle name="Финансовый 5 50" xfId="32446"/>
    <cellStyle name="Финансовый 5 51" xfId="32447"/>
    <cellStyle name="Финансовый 5 52" xfId="32448"/>
    <cellStyle name="Финансовый 5 53" xfId="32449"/>
    <cellStyle name="Финансовый 5 54" xfId="32450"/>
    <cellStyle name="Финансовый 5 55" xfId="32451"/>
    <cellStyle name="Финансовый 5 56" xfId="32452"/>
    <cellStyle name="Финансовый 5 57" xfId="32453"/>
    <cellStyle name="Финансовый 5 58" xfId="32454"/>
    <cellStyle name="Финансовый 5 59" xfId="32455"/>
    <cellStyle name="Финансовый 5 6" xfId="32456"/>
    <cellStyle name="Финансовый 5 60" xfId="32457"/>
    <cellStyle name="Финансовый 5 61" xfId="32458"/>
    <cellStyle name="Финансовый 5 62" xfId="32459"/>
    <cellStyle name="Финансовый 5 63" xfId="32460"/>
    <cellStyle name="Финансовый 5 64" xfId="32461"/>
    <cellStyle name="Финансовый 5 65" xfId="32462"/>
    <cellStyle name="Финансовый 5 66" xfId="32463"/>
    <cellStyle name="Финансовый 5 67" xfId="32464"/>
    <cellStyle name="Финансовый 5 68" xfId="32465"/>
    <cellStyle name="Финансовый 5 69" xfId="32466"/>
    <cellStyle name="Финансовый 5 7" xfId="32467"/>
    <cellStyle name="Финансовый 5 70" xfId="32468"/>
    <cellStyle name="Финансовый 5 71" xfId="32469"/>
    <cellStyle name="Финансовый 5 72" xfId="32470"/>
    <cellStyle name="Финансовый 5 73" xfId="32471"/>
    <cellStyle name="Финансовый 5 74" xfId="32472"/>
    <cellStyle name="Финансовый 5 75" xfId="32473"/>
    <cellStyle name="Финансовый 5 76" xfId="32474"/>
    <cellStyle name="Финансовый 5 77" xfId="32475"/>
    <cellStyle name="Финансовый 5 78" xfId="32476"/>
    <cellStyle name="Финансовый 5 79" xfId="32477"/>
    <cellStyle name="Финансовый 5 8" xfId="32478"/>
    <cellStyle name="Финансовый 5 80" xfId="32479"/>
    <cellStyle name="Финансовый 5 81" xfId="32480"/>
    <cellStyle name="Финансовый 5 82" xfId="32481"/>
    <cellStyle name="Финансовый 5 83" xfId="32482"/>
    <cellStyle name="Финансовый 5 84" xfId="32483"/>
    <cellStyle name="Финансовый 5 85" xfId="32484"/>
    <cellStyle name="Финансовый 5 86" xfId="32485"/>
    <cellStyle name="Финансовый 5 9" xfId="32486"/>
    <cellStyle name="Финансовый 6" xfId="163"/>
    <cellStyle name="Финансовый 6 10" xfId="32487"/>
    <cellStyle name="Финансовый 6 11" xfId="32488"/>
    <cellStyle name="Финансовый 6 12" xfId="32489"/>
    <cellStyle name="Финансовый 6 13" xfId="32490"/>
    <cellStyle name="Финансовый 6 14" xfId="32491"/>
    <cellStyle name="Финансовый 6 15" xfId="32492"/>
    <cellStyle name="Финансовый 6 16" xfId="32493"/>
    <cellStyle name="Финансовый 6 17" xfId="32494"/>
    <cellStyle name="Финансовый 6 18" xfId="32495"/>
    <cellStyle name="Финансовый 6 19" xfId="32496"/>
    <cellStyle name="Финансовый 6 2" xfId="32497"/>
    <cellStyle name="Финансовый 6 20" xfId="32498"/>
    <cellStyle name="Финансовый 6 21" xfId="32499"/>
    <cellStyle name="Финансовый 6 22" xfId="32500"/>
    <cellStyle name="Финансовый 6 23" xfId="32501"/>
    <cellStyle name="Финансовый 6 24" xfId="32502"/>
    <cellStyle name="Финансовый 6 25" xfId="32503"/>
    <cellStyle name="Финансовый 6 26" xfId="32504"/>
    <cellStyle name="Финансовый 6 27" xfId="32505"/>
    <cellStyle name="Финансовый 6 28" xfId="32506"/>
    <cellStyle name="Финансовый 6 29" xfId="32507"/>
    <cellStyle name="Финансовый 6 3" xfId="32508"/>
    <cellStyle name="Финансовый 6 30" xfId="32509"/>
    <cellStyle name="Финансовый 6 31" xfId="32510"/>
    <cellStyle name="Финансовый 6 32" xfId="32511"/>
    <cellStyle name="Финансовый 6 33" xfId="32512"/>
    <cellStyle name="Финансовый 6 34" xfId="32513"/>
    <cellStyle name="Финансовый 6 35" xfId="32514"/>
    <cellStyle name="Финансовый 6 36" xfId="32515"/>
    <cellStyle name="Финансовый 6 37" xfId="32516"/>
    <cellStyle name="Финансовый 6 38" xfId="32517"/>
    <cellStyle name="Финансовый 6 39" xfId="32518"/>
    <cellStyle name="Финансовый 6 4" xfId="32519"/>
    <cellStyle name="Финансовый 6 40" xfId="32520"/>
    <cellStyle name="Финансовый 6 41" xfId="32521"/>
    <cellStyle name="Финансовый 6 42" xfId="32522"/>
    <cellStyle name="Финансовый 6 43" xfId="32523"/>
    <cellStyle name="Финансовый 6 44" xfId="32524"/>
    <cellStyle name="Финансовый 6 45" xfId="32525"/>
    <cellStyle name="Финансовый 6 46" xfId="32526"/>
    <cellStyle name="Финансовый 6 47" xfId="32527"/>
    <cellStyle name="Финансовый 6 48" xfId="32528"/>
    <cellStyle name="Финансовый 6 49" xfId="32529"/>
    <cellStyle name="Финансовый 6 5" xfId="32530"/>
    <cellStyle name="Финансовый 6 50" xfId="32531"/>
    <cellStyle name="Финансовый 6 51" xfId="32532"/>
    <cellStyle name="Финансовый 6 52" xfId="32533"/>
    <cellStyle name="Финансовый 6 53" xfId="32534"/>
    <cellStyle name="Финансовый 6 54" xfId="32535"/>
    <cellStyle name="Финансовый 6 55" xfId="32536"/>
    <cellStyle name="Финансовый 6 56" xfId="32537"/>
    <cellStyle name="Финансовый 6 57" xfId="32538"/>
    <cellStyle name="Финансовый 6 58" xfId="32539"/>
    <cellStyle name="Финансовый 6 59" xfId="32540"/>
    <cellStyle name="Финансовый 6 6" xfId="32541"/>
    <cellStyle name="Финансовый 6 60" xfId="32542"/>
    <cellStyle name="Финансовый 6 61" xfId="32543"/>
    <cellStyle name="Финансовый 6 62" xfId="32544"/>
    <cellStyle name="Финансовый 6 63" xfId="32545"/>
    <cellStyle name="Финансовый 6 64" xfId="32546"/>
    <cellStyle name="Финансовый 6 65" xfId="32547"/>
    <cellStyle name="Финансовый 6 66" xfId="32548"/>
    <cellStyle name="Финансовый 6 67" xfId="32549"/>
    <cellStyle name="Финансовый 6 68" xfId="32550"/>
    <cellStyle name="Финансовый 6 69" xfId="32551"/>
    <cellStyle name="Финансовый 6 7" xfId="32552"/>
    <cellStyle name="Финансовый 6 70" xfId="32553"/>
    <cellStyle name="Финансовый 6 71" xfId="32554"/>
    <cellStyle name="Финансовый 6 72" xfId="32555"/>
    <cellStyle name="Финансовый 6 73" xfId="32556"/>
    <cellStyle name="Финансовый 6 74" xfId="32557"/>
    <cellStyle name="Финансовый 6 75" xfId="32558"/>
    <cellStyle name="Финансовый 6 76" xfId="32559"/>
    <cellStyle name="Финансовый 6 77" xfId="32560"/>
    <cellStyle name="Финансовый 6 78" xfId="32561"/>
    <cellStyle name="Финансовый 6 79" xfId="32562"/>
    <cellStyle name="Финансовый 6 8" xfId="32563"/>
    <cellStyle name="Финансовый 6 80" xfId="32564"/>
    <cellStyle name="Финансовый 6 81" xfId="32565"/>
    <cellStyle name="Финансовый 6 82" xfId="32566"/>
    <cellStyle name="Финансовый 6 83" xfId="32567"/>
    <cellStyle name="Финансовый 6 84" xfId="32568"/>
    <cellStyle name="Финансовый 6 85" xfId="32569"/>
    <cellStyle name="Финансовый 6 86" xfId="32570"/>
    <cellStyle name="Финансовый 6 9" xfId="32571"/>
    <cellStyle name="Финансовый 7" xfId="164"/>
    <cellStyle name="Финансовый 8" xfId="32572"/>
    <cellStyle name="Финансовый 8 2" xfId="32573"/>
    <cellStyle name="Финансовый 8 3" xfId="32574"/>
    <cellStyle name="Финансовый 8 4" xfId="32575"/>
    <cellStyle name="Хороший 10" xfId="32576"/>
    <cellStyle name="Хороший 11" xfId="32577"/>
    <cellStyle name="Хороший 12" xfId="32578"/>
    <cellStyle name="Хороший 13" xfId="32579"/>
    <cellStyle name="Хороший 14" xfId="32580"/>
    <cellStyle name="Хороший 15" xfId="32581"/>
    <cellStyle name="Хороший 15 2" xfId="32582"/>
    <cellStyle name="Хороший 16" xfId="32583"/>
    <cellStyle name="Хороший 16 2" xfId="32584"/>
    <cellStyle name="Хороший 17" xfId="32585"/>
    <cellStyle name="Хороший 17 2" xfId="32586"/>
    <cellStyle name="Хороший 18" xfId="32587"/>
    <cellStyle name="Хороший 18 2" xfId="32588"/>
    <cellStyle name="Хороший 19" xfId="32589"/>
    <cellStyle name="Хороший 2" xfId="32590"/>
    <cellStyle name="Хороший 2 10" xfId="32591"/>
    <cellStyle name="Хороший 2 11" xfId="32592"/>
    <cellStyle name="Хороший 2 12" xfId="32593"/>
    <cellStyle name="Хороший 2 13" xfId="32594"/>
    <cellStyle name="Хороший 2 14" xfId="32595"/>
    <cellStyle name="Хороший 2 15" xfId="32596"/>
    <cellStyle name="Хороший 2 16" xfId="32597"/>
    <cellStyle name="Хороший 2 17" xfId="32598"/>
    <cellStyle name="Хороший 2 18" xfId="32599"/>
    <cellStyle name="Хороший 2 19" xfId="32600"/>
    <cellStyle name="Хороший 2 2" xfId="32601"/>
    <cellStyle name="Хороший 2 20" xfId="32602"/>
    <cellStyle name="Хороший 2 21" xfId="32603"/>
    <cellStyle name="Хороший 2 22" xfId="32604"/>
    <cellStyle name="Хороший 2 23" xfId="32605"/>
    <cellStyle name="Хороший 2 24" xfId="32606"/>
    <cellStyle name="Хороший 2 25" xfId="32607"/>
    <cellStyle name="Хороший 2 26" xfId="32608"/>
    <cellStyle name="Хороший 2 27" xfId="32609"/>
    <cellStyle name="Хороший 2 28" xfId="32610"/>
    <cellStyle name="Хороший 2 29" xfId="32611"/>
    <cellStyle name="Хороший 2 3" xfId="32612"/>
    <cellStyle name="Хороший 2 30" xfId="32613"/>
    <cellStyle name="Хороший 2 31" xfId="32614"/>
    <cellStyle name="Хороший 2 32" xfId="32615"/>
    <cellStyle name="Хороший 2 33" xfId="32616"/>
    <cellStyle name="Хороший 2 34" xfId="32617"/>
    <cellStyle name="Хороший 2 35" xfId="32618"/>
    <cellStyle name="Хороший 2 36" xfId="32619"/>
    <cellStyle name="Хороший 2 4" xfId="32620"/>
    <cellStyle name="Хороший 2 5" xfId="32621"/>
    <cellStyle name="Хороший 2 6" xfId="32622"/>
    <cellStyle name="Хороший 2 7" xfId="32623"/>
    <cellStyle name="Хороший 2 8" xfId="32624"/>
    <cellStyle name="Хороший 2 9" xfId="32625"/>
    <cellStyle name="Хороший 20" xfId="32626"/>
    <cellStyle name="Хороший 20 2" xfId="32627"/>
    <cellStyle name="Хороший 20 3" xfId="32628"/>
    <cellStyle name="Хороший 20 4" xfId="32629"/>
    <cellStyle name="Хороший 21" xfId="32630"/>
    <cellStyle name="Хороший 21 2" xfId="32631"/>
    <cellStyle name="Хороший 21 3" xfId="32632"/>
    <cellStyle name="Хороший 21 4" xfId="32633"/>
    <cellStyle name="Хороший 22" xfId="32634"/>
    <cellStyle name="Хороший 22 2" xfId="32635"/>
    <cellStyle name="Хороший 22 3" xfId="32636"/>
    <cellStyle name="Хороший 22 4" xfId="32637"/>
    <cellStyle name="Хороший 23" xfId="32638"/>
    <cellStyle name="Хороший 24" xfId="32639"/>
    <cellStyle name="Хороший 25" xfId="32640"/>
    <cellStyle name="Хороший 26" xfId="32641"/>
    <cellStyle name="Хороший 27" xfId="32642"/>
    <cellStyle name="Хороший 28" xfId="32643"/>
    <cellStyle name="Хороший 29" xfId="32644"/>
    <cellStyle name="Хороший 3" xfId="32645"/>
    <cellStyle name="Хороший 4" xfId="32646"/>
    <cellStyle name="Хороший 5" xfId="32647"/>
    <cellStyle name="Хороший 6" xfId="32648"/>
    <cellStyle name="Хороший 7" xfId="32649"/>
    <cellStyle name="Хороший 8" xfId="32650"/>
    <cellStyle name="Хороший 9" xfId="32651"/>
    <cellStyle name="標準_Sheet1" xfId="326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52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7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53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amanbekov\Desktop\Documents\Projects\RAO%20UES\Sample%20Reports\CEZ\CEZ_Model_16_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0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2;&#1086;&#1080;%20&#1076;&#1086;&#1082;&#1091;&#1084;&#1077;&#1085;&#1090;&#1099;\&#1055;&#1088;&#1086;&#1077;&#1082;&#1090;&#1099;\Atyrau%20Hotel\BPAtyrau%20Hotel_13\WINDOWS\TEMP\Istan10years%20forrev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TEMP\FramatomeERP160799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s_thomas\c\My%20Documents\AURUL\Forcast-June99\AURUL\Forcast-April99\Aurul%20Budget%2019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H-SAM~1/LOCALS~1/Temp/C.Lotus.Notes.Data/57_1NKs%20&#1087;&#1083;&#1102;&#1089;%20&#1040;&#1040;_&#105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.Shaikenov/&#1052;&#1086;&#1080;%20&#1076;&#1086;&#1082;&#1091;&#1084;&#1077;&#1085;&#1090;&#1099;/&#1041;&#1080;&#1079;&#1085;&#1077;&#1089;-&#1087;&#1083;&#1072;&#1085;/&#1041;&#1080;&#1079;&#1085;&#1077;&#1089;-&#1087;&#1083;&#1072;&#1085;%20610%20&#1050;&#1055;&#1057;&#1047;%20&#1050;&#1052;&#1043;/&#1041;&#1055;%20&#1076;&#1083;&#1103;%20&#1057;&#1044;%2028.12/RD_6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-AITZ~1/LOCALS~1/Temp/C.Lotus.Notes.Data/Documents%20and%20Settings/K-Samarova/&#1052;&#1086;&#1080;%20&#1076;&#1086;&#1082;&#1091;&#1084;&#1077;&#1085;&#1090;&#1099;/&#1055;&#1088;&#1080;&#1082;&#1072;&#1079;_182/for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ukhamadiyarovIF/Local%20Settings/Temporary%20Internet%20Files/OLK70A/reporting%20package%2031.12.04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Long-Term%20Debt%20testing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set.chindaliyev/AppData/Local/Microsoft/Windows/Temporary%20Internet%20Files/Content.Outlook/FKAC34EF/CF_&#1056;&#1058;&#1048;-&#1040;&#1053;&#1055;&#1047;-%20EY-%20&#1082;&#1086;&#1085;&#1089;&#1077;&#1088;&#1074;&#1072;&#1090;&#1080;&#1074;&#1085;&#1099;&#108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ersonal\users\asset.chindaliyev\Desktop\&#1052;&#1086;&#1076;&#1077;&#1083;&#1100;%20&#1086;&#1090;%20&#1040;&#1073;&#1076;&#1091;&#1089;&#1072;&#1083;&#1072;&#1084;&#1072;%2004%20&#1103;&#1085;&#1074;&#1072;&#1088;&#1103;%202016%20&#1075;&#1086;&#1076;&#1072;\&#1054;&#1089;&#1085;&#1086;&#1074;&#1085;&#1086;&#1081;%20&#1088;&#1072;&#1089;&#1095;&#1077;&#1090;\CF_&#1056;&#1058;&#1048;-&#1040;&#1053;&#1055;&#1047;-%20EY-%20&#1082;&#1086;&#1085;&#1089;&#1077;&#1088;&#1074;&#1072;&#1090;&#1080;&#1074;&#1085;&#1099;&#1081;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4.160\invest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ell\Documents\&#1043;&#1072;&#1083;&#1080;&#1103;\&#1044;&#1058;&#1046;\&#1044;&#1058;&#1046;_&#1052;&#1086;&#1076;&#1077;&#1083;&#1100;%20&#1073;&#1102;&#1076;&#1078;&#1077;&#1090;&#1072;%20&#1085;&#1072;%202009%20&#1075;&#1074;&#1072;&#1088;&#1080;&#1072;&#1085;&#1090;2(&#1073;&#1077;&#1079;%20&#1091;&#1095;&#1077;&#1090;&#1072;%20&#1087;&#1088;&#1077;&#1084;&#1080;&#1080;%20&#1089;&#1086;&#1090;&#1088;&#1091;&#1076;&#1085;&#1080;&#1082;&#1072;&#1084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int/LevShm/LevSh/&#1057;&#1090;&#1088;&#1072;&#1090;&#1077;&#1075;&#1080;&#1080;/&#1057;&#1090;&#1088;&#1072;&#1090;&#1077;&#1075;&#1080;&#1095;&#1077;&#1089;&#1082;&#1080;&#1081;%20&#1084;&#1077;&#1085;&#1077;&#1076;&#1078;&#1084;&#1077;&#1085;&#1090;/Documents%20and%20Settings/Pebec3/&#1052;&#1086;&#1080;%20&#1076;&#1086;&#1082;&#1091;&#1084;&#1077;&#1085;&#1090;&#1099;/&#1051;&#1080;&#1095;&#1085;&#1072;&#1103;/2003%20&#1075;&#1086;&#1076;/&#1050;&#1072;&#1079;&#1072;&#1090;&#1086;&#1084;&#1087;&#1088;&#1086;&#1084;/&#1084;&#1086;&#1076;&#1077;&#1083;&#1100;%202003%20&#1075;&#1086;&#1076;/U-2008%20&#1086;&#1090;%2013.01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int/Documents%20and%20Settings/Ldzuba/&#1052;&#1086;&#1080;%20&#1076;&#1086;&#1082;&#1091;&#1084;&#1077;&#1085;&#1090;&#1099;/&#1054;&#1090;&#1095;&#1077;&#1090;&#1099;/&#1054;&#1078;&#1080;&#1076;&#1072;&#1077;&#1084;&#1086;&#1077;%20&#1080;&#1089;&#1087;&#1086;&#1083;&#1085;&#1077;&#1085;&#1080;&#1077;%20&#1060;&#1061;&#1044;%20&#1079;&#1072;%20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isebayeva_rzh\&#1054;&#1073;&#1097;&#1080;&#1081;%20&#1076;&#1086;&#1089;&#1090;&#1091;&#1087;\Documents%20and%20Settings\a.torehodjaeva\&#1052;&#1086;&#1080;%20&#1076;&#1086;&#1082;&#1091;&#1084;&#1077;&#1085;&#1090;&#1099;\Mine%20kampf\&#1054;&#1069;&#1050;\&#1055;&#1088;&#1086;&#1075;&#1085;&#1086;&#1079;&#1099;%20&#1080;%20&#1072;&#1085;&#1072;&#1083;&#1080;&#1079;\&#1054;&#1090;&#1095;&#1077;&#1090;%20&#1074;%20&#1084;&#1080;&#1085;&#1092;&#1080;&#1085;%20201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Turehanova/&#1056;&#1072;&#1073;&#1086;&#1095;&#1080;&#1081;%20&#1089;&#1090;&#1086;&#1083;/&#1050;&#1052;&#1043;%20&#1056;&#1044;/Documents%20and%20Settings/K-Samarova/&#1052;&#1086;&#1080;%20&#1076;&#1086;&#1082;&#1091;&#1084;&#1077;&#1085;&#1090;&#1099;/&#1055;&#1088;&#1080;&#1082;&#1072;&#1079;_182/for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hanna.ZHANNAXP\Desktop\Documents%20and%20Settings\Altyn\Local%20Settings\Temporary%20Internet%20Files\Content.IE5\SCW8N1CN\Alel%20Forecast%20November-%20January-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Turehanova/&#1056;&#1072;&#1073;&#1086;&#1095;&#1080;&#1081;%20&#1089;&#1090;&#1086;&#1083;/&#1050;&#1052;&#1043;%20&#1056;&#1044;/Documents%20and%20Settings/&#1041;&#1072;&#1075;&#1080;&#1090;&#1078;&#1072;&#1085;%20&#1050;&#1072;&#1080;&#1088;&#1073;&#1072;&#1077;&#1074;/Local%20Settings/Temporary%20Internet%20Files/Content.IE5/3AGFRT81/&#1092;&#1077;&#1074;%202002/&#1044;&#1041;&#1057;&#1055;_02_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2;&#1086;&#1080;%20&#1076;&#1086;&#1082;&#1091;&#1084;&#1077;&#1085;&#1090;&#1099;\&#1073;&#1102;&#1076;&#1078;&#1077;&#1090;&#1099;%202006\Procur\Ab%202006-2010-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-Abilov/Local%20Settings/Temporary%20Internet%20Files/OLK12E/&#1060;&#1086;&#1088;&#1084;&#1072;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hanna.ZHANNAXP\Desktop\Documents%20and%20Settings\&#1052;&#1091;&#1093;&#1090;&#1072;&#1088;\Local%20Settings\Temporary%20Internet%20Files\Content.IE5\1CSJT18L\Sept%2005%20Prod%20Forecas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dministrator\Local%20Settings\Temporary%20Internet%20Files\OLK2\Documents%20and%20Settings\dima\Local%20Settings\Temporary%20Internet%20Files\Content.IE5\4TIJKLAZ\BPAtyrau%20Hotel_13\WINDOWS\TEMP\Istan10years%20forrev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Desktop\&#1058;&#1072;&#1088;&#1080;&#1092;%20&#1088;&#1077;&#1072;&#1083;&#1100;&#1085;&#1099;&#1081;%204%20&#1091;&#1089;&#1083;.&#1085;&#1086;&#1074;.&#1050;&#1072;&#1084;&#1086;&#1088;&#1090;%2018.07\&#1055;&#1088;&#1086;&#1080;&#1079;&#1074;&#1086;&#1076;.&#1088;&#1072;&#1089;&#1093;&#1086;&#1076;&#1099;-&#1088;&#1077;&#1072;&#1083;&#1100;&#1085;&#1099;&#1081;%20&#8212;4%20&#1091;&#1089;&#1083;&#1091;&#1075;&#1080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Desktop\&#1058;&#1072;&#1088;&#1080;&#1092;%20&#1088;&#1077;&#1072;&#1083;&#1100;&#1085;&#1099;&#1081;%204%20&#1091;&#1089;&#1083;.&#1085;&#1086;&#1074;.&#1050;&#1072;&#1084;&#1086;&#1088;&#1090;%2018.07\&#1040;&#1076;&#1084;&#1080;&#1085;.&#1088;&#1072;&#1089;&#1093;&#1086;&#1076;&#1099;-&#1088;&#1077;&#1072;&#1083;&#1100;&#1085;&#1099;&#1081;%20&#8212;4%20&#1091;&#1089;&#1083;&#1091;&#1075;&#1080;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Desktop\&#1046;&#1072;&#1085;&#1072;&#1090;%20&#1056;&#1058;&#1048;-&#1040;&#1053;&#1055;&#1047;\&#1058;&#1072;&#1088;&#1080;&#1092;%20&#1091;&#1090;&#1074;&#1077;&#1088;&#1078;&#1076;&#1077;&#1085;&#1085;&#1099;&#1081;%20-20.07.17&#1075;\&#1055;&#1088;&#1086;&#1080;&#1079;&#1074;&#1086;&#1076;.&#1088;&#1072;&#1089;&#1093;&#1086;&#1076;&#1099;-&#1088;&#1077;&#1072;&#1083;&#1100;&#1085;&#1099;&#1081;%20&#8212;4%20&#1091;&#1089;&#1083;&#1091;&#1075;&#1080;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Desktop\&#1046;&#1072;&#1085;&#1072;&#1090;%20&#1056;&#1058;&#1048;-&#1040;&#1053;&#1055;&#1047;\&#1058;&#1072;&#1088;&#1080;&#1092;%20&#1091;&#1090;&#1074;&#1077;&#1088;&#1078;&#1076;&#1077;&#1085;&#1085;&#1099;&#1081;%20-20.07.17&#1075;\&#1040;&#1076;&#1084;&#1080;&#1085;.&#1088;&#1072;&#1089;&#1093;&#1086;&#1076;&#1099;-&#1088;&#1077;&#1072;&#1083;&#1100;&#1085;&#1099;&#1081;%20&#8212;4%20&#1091;&#1089;&#1083;&#1091;&#1075;&#1080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58;&#1048;%20&#1091;&#1087;&#1088;%20&#1086;&#1090;&#1095;&#1077;&#1090;%20&#1086;&#1087;&#1077;&#1088;%20&#1076;&#1077;&#1082;&#1072;&#1073;&#1088;&#1100;%202017%20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~1\1\LOCALS~1\Temp\notes61B3DA\1.%20M_01_Reporting%20Pack%20v%201.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Local%20Settings\Temporary%20Internet%20Files\Content.IE5\OTK6MW8D\4.%20Y_01_Reporting%20Pack%20v.1.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dministrator\Local%20Settings\Temporary%20Internet%20Files\OLK2\WINDOWS\TEMP\WINDOWS\TEMP\Istan10years%20forrev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Группа"/>
      <sheetName val="КТЖ"/>
      <sheetName val="Свод АО"/>
      <sheetName val="L-1"/>
      <sheetName val="AP new"/>
      <sheetName val="анализ"/>
      <sheetName val="Сервисный"/>
      <sheetName val="расш. прочих, опл. услуг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L-1"/>
      <sheetName val="2.2 ОтклОТМ"/>
      <sheetName val="1.3.2 ОТМ"/>
      <sheetName val="Plrap"/>
      <sheetName val="Plsum"/>
      <sheetName val="Pladj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Inputs - general"/>
      <sheetName val="US Dollar 2003"/>
      <sheetName val="SDR 2003"/>
      <sheetName val="Disclosure"/>
      <sheetName val="I KEY INFORMATION"/>
      <sheetName val="VI REVENUE OOD"/>
      <sheetName val="IIb P&amp;L short"/>
      <sheetName val="IV REVENUE ROOMS"/>
      <sheetName val="IV REVENUE  F&amp;B"/>
      <sheetName val="Пр2"/>
      <sheetName val="Assp"/>
      <sheetName val="ToggleBox"/>
      <sheetName val="ATI"/>
      <sheetName val="Cash CCI Detail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Scenarios"/>
      <sheetName val="Workings"/>
      <sheetName val="Macroeconomic Assumptions"/>
      <sheetName val="IIb P_L short"/>
      <sheetName val="IV REVENUE  F_B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Sheet2"/>
      <sheetName val="БРК 1"/>
      <sheetName val="БРК 2"/>
      <sheetName val="БРК 3"/>
      <sheetName val="ГБРК"/>
      <sheetName val="Произв. затраты"/>
      <sheetName val="Treatment Summary"/>
      <sheetName val="cash product. plan"/>
      <sheetName val="Threshold Table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63">
          <cell r="E63" t="str">
            <v>Total Revenue</v>
          </cell>
        </row>
        <row r="299">
          <cell r="I299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 Inputs"/>
      <sheetName val="Summary"/>
      <sheetName val="Nuclear Realisation post 2004"/>
      <sheetName val="EPR Initial&gt;&gt;&gt;"/>
      <sheetName val="Free Cash Flow EPR Init"/>
      <sheetName val="Income Statement EPR Init"/>
      <sheetName val="PV Matrix - Exit X EPR Init"/>
      <sheetName val="PV Matrix - Perpetuity EPR Init"/>
      <sheetName val="EPR Initial Euro"/>
      <sheetName val="EPR Initial FF"/>
      <sheetName val="EPR Serie&gt;&gt;&gt;"/>
      <sheetName val="Free Cash Flow EPR Serie"/>
      <sheetName val="Income Statement EPR Serie"/>
      <sheetName val="PV Matrix - Exit X EPR Serie"/>
      <sheetName val="PV Matrix - Perpetuity Serie"/>
      <sheetName val="EPR Serie Euros"/>
      <sheetName val="I KEY INFORMATION"/>
      <sheetName val="Пр мат"/>
      <sheetName val="I-Index"/>
      <sheetName val="ЕдИзм"/>
      <sheetName val="Форма2"/>
      <sheetName val="ЯНВАРЬ"/>
      <sheetName val="Sheet1"/>
      <sheetName val="Project_Detail_Inputs"/>
      <sheetName val="Nuclear_Realisation_post_2004"/>
      <sheetName val="EPR_Initial&gt;&gt;&gt;"/>
      <sheetName val="Free_Cash_Flow_EPR_Init"/>
      <sheetName val="Income_Statement_EPR_Init"/>
      <sheetName val="PV_Matrix_-_Exit_X_EPR_Init"/>
      <sheetName val="PV_Matrix_-_Perpetuity_EPR_Init"/>
      <sheetName val="EPR_Initial_Euro"/>
      <sheetName val="EPR_Initial_FF"/>
      <sheetName val="EPR_Serie&gt;&gt;&gt;"/>
      <sheetName val="Free_Cash_Flow_EPR_Serie"/>
      <sheetName val="Income_Statement_EPR_Serie"/>
      <sheetName val="PV_Matrix_-_Exit_X_EPR_Serie"/>
      <sheetName val="PV_Matrix_-_Perpetuity_Serie"/>
      <sheetName val="EPR_Serie_Euros"/>
      <sheetName val="Пр_мат"/>
      <sheetName val="Project_Detail_Inputs1"/>
      <sheetName val="Nuclear_Realisation_post_20041"/>
      <sheetName val="EPR_Initial&gt;&gt;&gt;1"/>
      <sheetName val="Free_Cash_Flow_EPR_Init1"/>
      <sheetName val="Income_Statement_EPR_Init1"/>
      <sheetName val="PV_Matrix_-_Exit_X_EPR_Init1"/>
      <sheetName val="PV_Matrix_-_Perpetuity_EPR_Ini1"/>
      <sheetName val="EPR_Initial_Euro1"/>
      <sheetName val="EPR_Initial_FF1"/>
      <sheetName val="EPR_Serie&gt;&gt;&gt;1"/>
      <sheetName val="Free_Cash_Flow_EPR_Serie1"/>
      <sheetName val="Income_Statement_EPR_Serie1"/>
      <sheetName val="PV_Matrix_-_Exit_X_EPR_Serie1"/>
      <sheetName val="PV_Matrix_-_Perpetuity_Serie1"/>
      <sheetName val="EPR_Serie_Euros1"/>
      <sheetName val="Пр_мат1"/>
      <sheetName val="R2BU-Retrieve"/>
      <sheetName val="INSTRUCTIONS"/>
      <sheetName val="Sum L3"/>
      <sheetName val="PREVI08a"/>
    </sheetNames>
    <sheetDataSet>
      <sheetData sheetId="0" refreshError="1">
        <row r="33">
          <cell r="I33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3">
          <cell r="I33">
            <v>6.5595699999999999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ТБ"/>
      <sheetName val="НАК"/>
      <sheetName val="Пит"/>
      <sheetName val="Пр мат"/>
      <sheetName val="Пр усл"/>
      <sheetName val="ЯНВАРЬ"/>
      <sheetName val="Форма2"/>
      <sheetName val="Control_Settings"/>
      <sheetName val="Пр_мат"/>
      <sheetName val="Пр_усл"/>
      <sheetName val="Control_Settings1"/>
      <sheetName val="Пр_мат1"/>
      <sheetName val="Пр_усл1"/>
      <sheetName val="DONNEES"/>
      <sheetName val="Dictionaries"/>
      <sheetName val="Read me 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Пр 41"/>
      <sheetName val="Russia Print Version"/>
      <sheetName val="U2 775 - COGS comparison per su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Securities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Capex"/>
      <sheetName val="Kolommen_balans"/>
      <sheetName val="SA Procedures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misc"/>
      <sheetName val="16.12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res"/>
      <sheetName val="Production"/>
      <sheetName val="Maint"/>
      <sheetName val="Admin"/>
      <sheetName val="CC &amp; Accounts"/>
      <sheetName val="Accounts"/>
      <sheetName val="поставка сравн13"/>
      <sheetName val="Treatment Summary"/>
      <sheetName val="I KEY INFORMATION"/>
    </sheetNames>
    <sheetDataSet>
      <sheetData sheetId="0" refreshError="1"/>
      <sheetData sheetId="1" refreshError="1">
        <row r="9">
          <cell r="A9">
            <v>2</v>
          </cell>
          <cell r="B9" t="str">
            <v>0001</v>
          </cell>
          <cell r="C9" t="str">
            <v>000</v>
          </cell>
          <cell r="D9" t="str">
            <v>Reclamation and Monitor Stations</v>
          </cell>
        </row>
        <row r="10">
          <cell r="A10">
            <v>2</v>
          </cell>
          <cell r="B10" t="str">
            <v>0001</v>
          </cell>
          <cell r="C10" t="str">
            <v>106</v>
          </cell>
          <cell r="D10" t="str">
            <v xml:space="preserve"> wages ord time</v>
          </cell>
          <cell r="E10">
            <v>8700</v>
          </cell>
          <cell r="F10">
            <v>8700</v>
          </cell>
          <cell r="G10">
            <v>8700</v>
          </cell>
          <cell r="H10">
            <v>8700</v>
          </cell>
          <cell r="I10">
            <v>8700</v>
          </cell>
          <cell r="J10">
            <v>8700</v>
          </cell>
          <cell r="K10">
            <v>8700</v>
          </cell>
          <cell r="L10">
            <v>8700</v>
          </cell>
          <cell r="M10">
            <v>8700</v>
          </cell>
          <cell r="N10">
            <v>8700</v>
          </cell>
          <cell r="O10">
            <v>8700</v>
          </cell>
          <cell r="P10">
            <v>8700</v>
          </cell>
          <cell r="Q10">
            <v>104400</v>
          </cell>
          <cell r="R10">
            <v>4350</v>
          </cell>
          <cell r="AD10">
            <v>4350</v>
          </cell>
          <cell r="AQ10">
            <v>0</v>
          </cell>
          <cell r="BD10">
            <v>0</v>
          </cell>
          <cell r="BQ10">
            <v>0</v>
          </cell>
          <cell r="BR10">
            <v>108750</v>
          </cell>
        </row>
        <row r="11">
          <cell r="A11">
            <v>2</v>
          </cell>
          <cell r="B11" t="str">
            <v>0001</v>
          </cell>
          <cell r="C11" t="str">
            <v>107</v>
          </cell>
          <cell r="D11" t="str">
            <v xml:space="preserve"> wages overtime</v>
          </cell>
          <cell r="E11">
            <v>12900</v>
          </cell>
          <cell r="F11">
            <v>12900</v>
          </cell>
          <cell r="G11">
            <v>12900</v>
          </cell>
          <cell r="H11">
            <v>12900</v>
          </cell>
          <cell r="I11">
            <v>12900</v>
          </cell>
          <cell r="J11">
            <v>12900</v>
          </cell>
          <cell r="K11">
            <v>12900</v>
          </cell>
          <cell r="L11">
            <v>12900</v>
          </cell>
          <cell r="M11">
            <v>12900</v>
          </cell>
          <cell r="N11">
            <v>12900</v>
          </cell>
          <cell r="O11">
            <v>12900</v>
          </cell>
          <cell r="P11">
            <v>12900</v>
          </cell>
          <cell r="Q11">
            <v>154800</v>
          </cell>
          <cell r="R11">
            <v>6450</v>
          </cell>
          <cell r="AD11">
            <v>6450</v>
          </cell>
          <cell r="AQ11">
            <v>0</v>
          </cell>
          <cell r="BD11">
            <v>0</v>
          </cell>
          <cell r="BQ11">
            <v>0</v>
          </cell>
          <cell r="BR11">
            <v>161250</v>
          </cell>
        </row>
        <row r="12">
          <cell r="A12">
            <v>2</v>
          </cell>
          <cell r="B12" t="str">
            <v>0001</v>
          </cell>
          <cell r="C12" t="str">
            <v>112</v>
          </cell>
          <cell r="D12" t="str">
            <v xml:space="preserve"> contract labour - production</v>
          </cell>
          <cell r="E12">
            <v>1750</v>
          </cell>
          <cell r="F12">
            <v>1750</v>
          </cell>
          <cell r="G12">
            <v>1750</v>
          </cell>
          <cell r="H12">
            <v>1750</v>
          </cell>
          <cell r="I12">
            <v>1750</v>
          </cell>
          <cell r="J12">
            <v>1750</v>
          </cell>
          <cell r="K12">
            <v>1750</v>
          </cell>
          <cell r="L12">
            <v>1750</v>
          </cell>
          <cell r="M12">
            <v>1750</v>
          </cell>
          <cell r="N12">
            <v>1750</v>
          </cell>
          <cell r="O12">
            <v>1750</v>
          </cell>
          <cell r="P12">
            <v>1750</v>
          </cell>
          <cell r="Q12">
            <v>21000</v>
          </cell>
          <cell r="R12">
            <v>875</v>
          </cell>
          <cell r="AD12">
            <v>875</v>
          </cell>
          <cell r="AQ12">
            <v>0</v>
          </cell>
          <cell r="BD12">
            <v>0</v>
          </cell>
          <cell r="BQ12">
            <v>0</v>
          </cell>
          <cell r="BR12">
            <v>21875</v>
          </cell>
        </row>
        <row r="13">
          <cell r="A13">
            <v>2</v>
          </cell>
          <cell r="B13" t="str">
            <v>0001</v>
          </cell>
          <cell r="C13" t="str">
            <v>212</v>
          </cell>
          <cell r="D13" t="str">
            <v xml:space="preserve"> consultants - mine planning</v>
          </cell>
          <cell r="E13">
            <v>3000</v>
          </cell>
          <cell r="F13">
            <v>3000</v>
          </cell>
          <cell r="G13">
            <v>3000</v>
          </cell>
          <cell r="H13">
            <v>3000</v>
          </cell>
          <cell r="I13">
            <v>3000</v>
          </cell>
          <cell r="J13">
            <v>3000</v>
          </cell>
          <cell r="K13">
            <v>3000</v>
          </cell>
          <cell r="L13">
            <v>3000</v>
          </cell>
          <cell r="M13">
            <v>3000</v>
          </cell>
          <cell r="N13">
            <v>3000</v>
          </cell>
          <cell r="O13">
            <v>3000</v>
          </cell>
          <cell r="P13">
            <v>3000</v>
          </cell>
          <cell r="Q13">
            <v>36000</v>
          </cell>
          <cell r="R13">
            <v>1500</v>
          </cell>
          <cell r="AD13">
            <v>1500</v>
          </cell>
          <cell r="AQ13">
            <v>0</v>
          </cell>
          <cell r="BD13">
            <v>0</v>
          </cell>
          <cell r="BQ13">
            <v>0</v>
          </cell>
          <cell r="BR13">
            <v>37500</v>
          </cell>
        </row>
        <row r="14">
          <cell r="A14">
            <v>2</v>
          </cell>
          <cell r="B14" t="str">
            <v>0001</v>
          </cell>
          <cell r="C14" t="str">
            <v>214</v>
          </cell>
          <cell r="D14" t="str">
            <v xml:space="preserve"> drill and blast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AD14">
            <v>0</v>
          </cell>
          <cell r="AQ14">
            <v>0</v>
          </cell>
          <cell r="BD14">
            <v>0</v>
          </cell>
          <cell r="BQ14">
            <v>0</v>
          </cell>
          <cell r="BR14">
            <v>0</v>
          </cell>
        </row>
        <row r="15">
          <cell r="A15">
            <v>2</v>
          </cell>
          <cell r="B15" t="str">
            <v>0001</v>
          </cell>
          <cell r="C15" t="str">
            <v>217</v>
          </cell>
          <cell r="D15" t="str">
            <v xml:space="preserve"> grade control drilling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AD15">
            <v>0</v>
          </cell>
          <cell r="AQ15">
            <v>0</v>
          </cell>
          <cell r="BD15">
            <v>0</v>
          </cell>
          <cell r="BQ15">
            <v>0</v>
          </cell>
          <cell r="BR15">
            <v>0</v>
          </cell>
        </row>
        <row r="16">
          <cell r="A16">
            <v>2</v>
          </cell>
          <cell r="B16" t="str">
            <v>0001</v>
          </cell>
          <cell r="C16" t="str">
            <v>219</v>
          </cell>
          <cell r="D16" t="str">
            <v xml:space="preserve"> equipment hire - general</v>
          </cell>
          <cell r="E16">
            <v>3000</v>
          </cell>
          <cell r="F16">
            <v>3000</v>
          </cell>
          <cell r="G16">
            <v>3000</v>
          </cell>
          <cell r="H16">
            <v>3000</v>
          </cell>
          <cell r="I16">
            <v>3000</v>
          </cell>
          <cell r="J16">
            <v>3000</v>
          </cell>
          <cell r="K16">
            <v>3000</v>
          </cell>
          <cell r="L16">
            <v>3000</v>
          </cell>
          <cell r="M16">
            <v>3000</v>
          </cell>
          <cell r="N16">
            <v>3000</v>
          </cell>
          <cell r="O16">
            <v>3000</v>
          </cell>
          <cell r="P16">
            <v>3000</v>
          </cell>
          <cell r="Q16">
            <v>36000</v>
          </cell>
          <cell r="R16">
            <v>1500</v>
          </cell>
          <cell r="AD16">
            <v>1500</v>
          </cell>
          <cell r="AQ16">
            <v>0</v>
          </cell>
          <cell r="BD16">
            <v>0</v>
          </cell>
          <cell r="BQ16">
            <v>0</v>
          </cell>
          <cell r="BR16">
            <v>37500</v>
          </cell>
        </row>
        <row r="17">
          <cell r="A17">
            <v>2</v>
          </cell>
          <cell r="B17" t="str">
            <v>0001</v>
          </cell>
          <cell r="C17" t="str">
            <v>232</v>
          </cell>
          <cell r="D17" t="str">
            <v xml:space="preserve"> equipment hire - excavator</v>
          </cell>
          <cell r="E17">
            <v>1400</v>
          </cell>
          <cell r="F17">
            <v>1400</v>
          </cell>
          <cell r="G17">
            <v>1400</v>
          </cell>
          <cell r="H17">
            <v>1400</v>
          </cell>
          <cell r="I17">
            <v>1400</v>
          </cell>
          <cell r="J17">
            <v>1400</v>
          </cell>
          <cell r="K17">
            <v>1400</v>
          </cell>
          <cell r="L17">
            <v>1400</v>
          </cell>
          <cell r="M17">
            <v>1400</v>
          </cell>
          <cell r="N17">
            <v>1400</v>
          </cell>
          <cell r="O17">
            <v>1400</v>
          </cell>
          <cell r="P17">
            <v>1400</v>
          </cell>
          <cell r="Q17">
            <v>16800</v>
          </cell>
          <cell r="R17">
            <v>700</v>
          </cell>
          <cell r="AD17">
            <v>700</v>
          </cell>
          <cell r="AQ17">
            <v>0</v>
          </cell>
          <cell r="BD17">
            <v>0</v>
          </cell>
          <cell r="BQ17">
            <v>0</v>
          </cell>
          <cell r="BR17">
            <v>17500</v>
          </cell>
        </row>
        <row r="18">
          <cell r="A18">
            <v>2</v>
          </cell>
          <cell r="B18" t="str">
            <v>0001</v>
          </cell>
          <cell r="C18" t="str">
            <v>234</v>
          </cell>
          <cell r="D18" t="str">
            <v xml:space="preserve"> equipment hire - dozer </v>
          </cell>
          <cell r="E18">
            <v>17400</v>
          </cell>
          <cell r="F18">
            <v>17400</v>
          </cell>
          <cell r="G18">
            <v>17400</v>
          </cell>
          <cell r="H18">
            <v>17400</v>
          </cell>
          <cell r="I18">
            <v>17400</v>
          </cell>
          <cell r="J18">
            <v>17400</v>
          </cell>
          <cell r="K18">
            <v>17400</v>
          </cell>
          <cell r="L18">
            <v>17400</v>
          </cell>
          <cell r="M18">
            <v>17400</v>
          </cell>
          <cell r="N18">
            <v>17400</v>
          </cell>
          <cell r="O18">
            <v>17400</v>
          </cell>
          <cell r="P18">
            <v>17400</v>
          </cell>
          <cell r="Q18">
            <v>208800</v>
          </cell>
          <cell r="R18">
            <v>8700</v>
          </cell>
          <cell r="AD18">
            <v>8700</v>
          </cell>
          <cell r="AQ18">
            <v>0</v>
          </cell>
          <cell r="BD18">
            <v>0</v>
          </cell>
          <cell r="BQ18">
            <v>0</v>
          </cell>
          <cell r="BR18">
            <v>217500</v>
          </cell>
        </row>
        <row r="19">
          <cell r="A19">
            <v>2</v>
          </cell>
          <cell r="B19" t="str">
            <v>0001</v>
          </cell>
          <cell r="C19" t="str">
            <v>263</v>
          </cell>
          <cell r="D19" t="str">
            <v xml:space="preserve"> roadworks / dust suppression</v>
          </cell>
          <cell r="E19">
            <v>6900</v>
          </cell>
          <cell r="F19">
            <v>6900</v>
          </cell>
          <cell r="G19">
            <v>6900</v>
          </cell>
          <cell r="H19">
            <v>6900</v>
          </cell>
          <cell r="I19">
            <v>6900</v>
          </cell>
          <cell r="J19">
            <v>6900</v>
          </cell>
          <cell r="K19">
            <v>6900</v>
          </cell>
          <cell r="L19">
            <v>6900</v>
          </cell>
          <cell r="M19">
            <v>6900</v>
          </cell>
          <cell r="N19">
            <v>6900</v>
          </cell>
          <cell r="O19">
            <v>6900</v>
          </cell>
          <cell r="P19">
            <v>6900</v>
          </cell>
          <cell r="Q19">
            <v>82800</v>
          </cell>
          <cell r="R19">
            <v>3450</v>
          </cell>
          <cell r="AD19">
            <v>3450</v>
          </cell>
          <cell r="AQ19">
            <v>0</v>
          </cell>
          <cell r="BD19">
            <v>0</v>
          </cell>
          <cell r="BQ19">
            <v>0</v>
          </cell>
          <cell r="BR19">
            <v>86250</v>
          </cell>
        </row>
        <row r="20">
          <cell r="A20">
            <v>2</v>
          </cell>
          <cell r="B20" t="str">
            <v>0001</v>
          </cell>
          <cell r="C20" t="str">
            <v>265</v>
          </cell>
          <cell r="D20" t="str">
            <v xml:space="preserve"> rubbish removal / cleanup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24000</v>
          </cell>
          <cell r="R20">
            <v>1000</v>
          </cell>
          <cell r="AD20">
            <v>1000</v>
          </cell>
          <cell r="AQ20">
            <v>0</v>
          </cell>
          <cell r="BD20">
            <v>0</v>
          </cell>
          <cell r="BQ20">
            <v>0</v>
          </cell>
          <cell r="BR20">
            <v>25000</v>
          </cell>
        </row>
        <row r="21">
          <cell r="A21">
            <v>2</v>
          </cell>
          <cell r="B21" t="str">
            <v>0001</v>
          </cell>
          <cell r="C21" t="str">
            <v>269</v>
          </cell>
          <cell r="D21" t="str">
            <v xml:space="preserve"> slimes cleanup</v>
          </cell>
          <cell r="E21">
            <v>6000</v>
          </cell>
          <cell r="F21">
            <v>6000</v>
          </cell>
          <cell r="G21">
            <v>6000</v>
          </cell>
          <cell r="H21">
            <v>6000</v>
          </cell>
          <cell r="I21">
            <v>6000</v>
          </cell>
          <cell r="J21">
            <v>6000</v>
          </cell>
          <cell r="K21">
            <v>6000</v>
          </cell>
          <cell r="L21">
            <v>6000</v>
          </cell>
          <cell r="M21">
            <v>6000</v>
          </cell>
          <cell r="N21">
            <v>6000</v>
          </cell>
          <cell r="O21">
            <v>6000</v>
          </cell>
          <cell r="P21">
            <v>6000</v>
          </cell>
          <cell r="Q21">
            <v>72000</v>
          </cell>
          <cell r="R21">
            <v>3000</v>
          </cell>
          <cell r="AD21">
            <v>3000</v>
          </cell>
          <cell r="AQ21">
            <v>0</v>
          </cell>
          <cell r="BD21">
            <v>0</v>
          </cell>
          <cell r="BQ21">
            <v>0</v>
          </cell>
          <cell r="BR21">
            <v>75000</v>
          </cell>
        </row>
        <row r="22">
          <cell r="A22">
            <v>2</v>
          </cell>
          <cell r="B22" t="str">
            <v>0001</v>
          </cell>
          <cell r="C22" t="str">
            <v>273</v>
          </cell>
          <cell r="D22" t="str">
            <v xml:space="preserve"> survey charges</v>
          </cell>
          <cell r="E22">
            <v>2000</v>
          </cell>
          <cell r="F22">
            <v>2000</v>
          </cell>
          <cell r="G22">
            <v>2000</v>
          </cell>
          <cell r="H22">
            <v>2000</v>
          </cell>
          <cell r="I22">
            <v>2000</v>
          </cell>
          <cell r="J22">
            <v>2000</v>
          </cell>
          <cell r="K22">
            <v>2000</v>
          </cell>
          <cell r="L22">
            <v>2000</v>
          </cell>
          <cell r="M22">
            <v>2000</v>
          </cell>
          <cell r="N22">
            <v>2000</v>
          </cell>
          <cell r="O22">
            <v>2000</v>
          </cell>
          <cell r="P22">
            <v>2000</v>
          </cell>
          <cell r="Q22">
            <v>24000</v>
          </cell>
          <cell r="R22">
            <v>1000</v>
          </cell>
          <cell r="AD22">
            <v>1000</v>
          </cell>
          <cell r="AQ22">
            <v>0</v>
          </cell>
          <cell r="BD22">
            <v>0</v>
          </cell>
          <cell r="BQ22">
            <v>0</v>
          </cell>
          <cell r="BR22">
            <v>25000</v>
          </cell>
        </row>
        <row r="23">
          <cell r="A23">
            <v>2</v>
          </cell>
          <cell r="B23" t="str">
            <v>0001</v>
          </cell>
          <cell r="C23" t="str">
            <v>296</v>
          </cell>
          <cell r="D23" t="str">
            <v xml:space="preserve"> waste removal Morrison/dump 11</v>
          </cell>
          <cell r="E23">
            <v>623653.16200000001</v>
          </cell>
          <cell r="F23">
            <v>623653.16200000001</v>
          </cell>
          <cell r="G23">
            <v>603417.56200000003</v>
          </cell>
          <cell r="H23">
            <v>613535.36200000008</v>
          </cell>
          <cell r="I23">
            <v>240132.33200000002</v>
          </cell>
          <cell r="J23">
            <v>379388.592</v>
          </cell>
          <cell r="K23">
            <v>379388.592</v>
          </cell>
          <cell r="L23">
            <v>342458.62200000003</v>
          </cell>
          <cell r="M23">
            <v>379388.592</v>
          </cell>
          <cell r="N23">
            <v>367078.60200000001</v>
          </cell>
          <cell r="O23">
            <v>379388.592</v>
          </cell>
          <cell r="P23">
            <v>228596.43400000001</v>
          </cell>
          <cell r="Q23">
            <v>5160079.6060000015</v>
          </cell>
          <cell r="AD23">
            <v>0</v>
          </cell>
          <cell r="AQ23">
            <v>0</v>
          </cell>
          <cell r="BD23">
            <v>0</v>
          </cell>
          <cell r="BQ23">
            <v>0</v>
          </cell>
          <cell r="BR23">
            <v>5160079.6060000015</v>
          </cell>
        </row>
        <row r="24">
          <cell r="A24">
            <v>2</v>
          </cell>
          <cell r="B24" t="str">
            <v>0001</v>
          </cell>
          <cell r="C24" t="str">
            <v>297</v>
          </cell>
          <cell r="D24" t="str">
            <v xml:space="preserve"> nickel removal - Dump 19</v>
          </cell>
          <cell r="Q24">
            <v>0</v>
          </cell>
          <cell r="AD24">
            <v>0</v>
          </cell>
          <cell r="AQ24">
            <v>0</v>
          </cell>
          <cell r="BD24">
            <v>0</v>
          </cell>
          <cell r="BQ24">
            <v>0</v>
          </cell>
          <cell r="BR24">
            <v>0</v>
          </cell>
        </row>
        <row r="25">
          <cell r="A25">
            <v>2</v>
          </cell>
          <cell r="B25" t="str">
            <v>0001</v>
          </cell>
          <cell r="C25" t="str">
            <v>298</v>
          </cell>
          <cell r="D25" t="str">
            <v xml:space="preserve"> waste removal - Croesus</v>
          </cell>
          <cell r="I25">
            <v>154329.78</v>
          </cell>
          <cell r="J25">
            <v>159505.23000000001</v>
          </cell>
          <cell r="K25">
            <v>159505.23000000001</v>
          </cell>
          <cell r="L25">
            <v>143978.88</v>
          </cell>
          <cell r="M25">
            <v>159505.23000000001</v>
          </cell>
          <cell r="N25">
            <v>154329.78</v>
          </cell>
          <cell r="O25">
            <v>159505.23000000001</v>
          </cell>
          <cell r="P25">
            <v>234521.82</v>
          </cell>
          <cell r="Q25">
            <v>1325181.1800000002</v>
          </cell>
          <cell r="R25">
            <v>125094.3</v>
          </cell>
          <cell r="AD25">
            <v>125094.3</v>
          </cell>
          <cell r="AQ25">
            <v>0</v>
          </cell>
          <cell r="BD25">
            <v>0</v>
          </cell>
          <cell r="BQ25">
            <v>0</v>
          </cell>
          <cell r="BR25">
            <v>1450275.4800000002</v>
          </cell>
        </row>
        <row r="26">
          <cell r="A26">
            <v>2</v>
          </cell>
          <cell r="B26" t="str">
            <v>0001</v>
          </cell>
          <cell r="C26" t="str">
            <v>299</v>
          </cell>
          <cell r="D26" t="str">
            <v xml:space="preserve"> waste removal - Trafalgar</v>
          </cell>
          <cell r="I26">
            <v>193861.71660000001</v>
          </cell>
          <cell r="J26">
            <v>200362.8756</v>
          </cell>
          <cell r="K26">
            <v>200362.8756</v>
          </cell>
          <cell r="L26">
            <v>180708.08799999999</v>
          </cell>
          <cell r="M26">
            <v>200362.8756</v>
          </cell>
          <cell r="N26">
            <v>193861.71660000001</v>
          </cell>
          <cell r="O26">
            <v>200362.8756</v>
          </cell>
          <cell r="P26">
            <v>193861.71660000001</v>
          </cell>
          <cell r="Q26">
            <v>1563744.7401999999</v>
          </cell>
          <cell r="R26">
            <v>156086.38500000001</v>
          </cell>
          <cell r="AD26">
            <v>156086.38500000001</v>
          </cell>
          <cell r="AQ26">
            <v>0</v>
          </cell>
          <cell r="BD26">
            <v>0</v>
          </cell>
          <cell r="BQ26">
            <v>0</v>
          </cell>
          <cell r="BR26">
            <v>1719831.1251999999</v>
          </cell>
        </row>
        <row r="27">
          <cell r="A27">
            <v>2</v>
          </cell>
          <cell r="B27" t="str">
            <v>0001</v>
          </cell>
          <cell r="C27" t="str">
            <v>301</v>
          </cell>
          <cell r="D27" t="str">
            <v xml:space="preserve"> tailings relocation - Croesus</v>
          </cell>
          <cell r="I27">
            <v>310319.02</v>
          </cell>
          <cell r="J27">
            <v>320725.57</v>
          </cell>
          <cell r="K27">
            <v>320725.57</v>
          </cell>
          <cell r="L27">
            <v>289505.92000000004</v>
          </cell>
          <cell r="M27">
            <v>320725.57</v>
          </cell>
          <cell r="N27">
            <v>310319.02</v>
          </cell>
          <cell r="O27">
            <v>320725.57</v>
          </cell>
          <cell r="P27">
            <v>471565.38</v>
          </cell>
          <cell r="Q27">
            <v>2664611.62</v>
          </cell>
          <cell r="R27">
            <v>251533.7</v>
          </cell>
          <cell r="AD27">
            <v>251533.7</v>
          </cell>
          <cell r="AQ27">
            <v>0</v>
          </cell>
          <cell r="BD27">
            <v>0</v>
          </cell>
          <cell r="BQ27">
            <v>0</v>
          </cell>
          <cell r="BR27">
            <v>2916145.3200000003</v>
          </cell>
        </row>
        <row r="28">
          <cell r="A28">
            <v>2</v>
          </cell>
          <cell r="B28" t="str">
            <v>0001</v>
          </cell>
          <cell r="C28" t="str">
            <v>313</v>
          </cell>
          <cell r="D28" t="str">
            <v xml:space="preserve"> diesel</v>
          </cell>
          <cell r="E28">
            <v>6100</v>
          </cell>
          <cell r="F28">
            <v>6100</v>
          </cell>
          <cell r="G28">
            <v>5900</v>
          </cell>
          <cell r="H28">
            <v>6000</v>
          </cell>
          <cell r="I28">
            <v>5900</v>
          </cell>
          <cell r="J28">
            <v>6100</v>
          </cell>
          <cell r="K28">
            <v>6100</v>
          </cell>
          <cell r="L28">
            <v>5600</v>
          </cell>
          <cell r="M28">
            <v>6100</v>
          </cell>
          <cell r="N28">
            <v>5900</v>
          </cell>
          <cell r="O28">
            <v>6100</v>
          </cell>
          <cell r="P28">
            <v>5900</v>
          </cell>
          <cell r="Q28">
            <v>71800</v>
          </cell>
          <cell r="R28">
            <v>3100</v>
          </cell>
          <cell r="AD28">
            <v>3100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Q28">
            <v>0</v>
          </cell>
          <cell r="BR28">
            <v>74900</v>
          </cell>
        </row>
        <row r="29">
          <cell r="A29">
            <v>2</v>
          </cell>
          <cell r="B29" t="str">
            <v>0001</v>
          </cell>
          <cell r="C29" t="str">
            <v>319</v>
          </cell>
          <cell r="D29" t="str">
            <v xml:space="preserve"> first aid/ safety equipment</v>
          </cell>
          <cell r="E29">
            <v>400</v>
          </cell>
          <cell r="F29">
            <v>400</v>
          </cell>
          <cell r="G29">
            <v>400</v>
          </cell>
          <cell r="H29">
            <v>400</v>
          </cell>
          <cell r="I29">
            <v>400</v>
          </cell>
          <cell r="J29">
            <v>400</v>
          </cell>
          <cell r="K29">
            <v>400</v>
          </cell>
          <cell r="L29">
            <v>400</v>
          </cell>
          <cell r="M29">
            <v>400</v>
          </cell>
          <cell r="N29">
            <v>400</v>
          </cell>
          <cell r="O29">
            <v>400</v>
          </cell>
          <cell r="P29">
            <v>400</v>
          </cell>
          <cell r="Q29">
            <v>4800</v>
          </cell>
          <cell r="R29">
            <v>200</v>
          </cell>
          <cell r="AD29">
            <v>200</v>
          </cell>
          <cell r="AQ29">
            <v>0</v>
          </cell>
          <cell r="BD29">
            <v>0</v>
          </cell>
          <cell r="BQ29">
            <v>0</v>
          </cell>
          <cell r="BR29">
            <v>5000</v>
          </cell>
        </row>
        <row r="30">
          <cell r="A30">
            <v>2</v>
          </cell>
          <cell r="B30" t="str">
            <v>0001</v>
          </cell>
          <cell r="C30" t="str">
            <v>337</v>
          </cell>
          <cell r="D30" t="str">
            <v xml:space="preserve"> oils &amp; lubricants</v>
          </cell>
          <cell r="E30">
            <v>1000</v>
          </cell>
          <cell r="F30">
            <v>1000</v>
          </cell>
          <cell r="G30">
            <v>1000</v>
          </cell>
          <cell r="H30">
            <v>1000</v>
          </cell>
          <cell r="I30">
            <v>1000</v>
          </cell>
          <cell r="J30">
            <v>1000</v>
          </cell>
          <cell r="K30">
            <v>1000</v>
          </cell>
          <cell r="L30">
            <v>1000</v>
          </cell>
          <cell r="M30">
            <v>1000</v>
          </cell>
          <cell r="N30">
            <v>1000</v>
          </cell>
          <cell r="O30">
            <v>1000</v>
          </cell>
          <cell r="P30">
            <v>1000</v>
          </cell>
          <cell r="Q30">
            <v>12000</v>
          </cell>
          <cell r="R30">
            <v>500</v>
          </cell>
          <cell r="AD30">
            <v>500</v>
          </cell>
          <cell r="AQ30">
            <v>0</v>
          </cell>
          <cell r="BD30">
            <v>0</v>
          </cell>
          <cell r="BQ30">
            <v>0</v>
          </cell>
          <cell r="BR30">
            <v>12500</v>
          </cell>
        </row>
        <row r="31">
          <cell r="A31">
            <v>2</v>
          </cell>
          <cell r="B31" t="str">
            <v>0001</v>
          </cell>
          <cell r="C31" t="str">
            <v>339</v>
          </cell>
          <cell r="D31" t="str">
            <v xml:space="preserve"> mining hose</v>
          </cell>
          <cell r="E31">
            <v>4400</v>
          </cell>
          <cell r="F31">
            <v>4400</v>
          </cell>
          <cell r="G31">
            <v>4400</v>
          </cell>
          <cell r="H31">
            <v>4400</v>
          </cell>
          <cell r="I31">
            <v>4400</v>
          </cell>
          <cell r="J31">
            <v>4400</v>
          </cell>
          <cell r="K31">
            <v>4400</v>
          </cell>
          <cell r="L31">
            <v>4400</v>
          </cell>
          <cell r="M31">
            <v>4400</v>
          </cell>
          <cell r="N31">
            <v>4400</v>
          </cell>
          <cell r="O31">
            <v>4400</v>
          </cell>
          <cell r="P31">
            <v>4400</v>
          </cell>
          <cell r="Q31">
            <v>52800</v>
          </cell>
          <cell r="R31">
            <v>2200</v>
          </cell>
          <cell r="AD31">
            <v>2200</v>
          </cell>
          <cell r="AQ31">
            <v>0</v>
          </cell>
          <cell r="BD31">
            <v>0</v>
          </cell>
          <cell r="BQ31">
            <v>0</v>
          </cell>
          <cell r="BR31">
            <v>55000</v>
          </cell>
        </row>
        <row r="32">
          <cell r="A32">
            <v>2</v>
          </cell>
          <cell r="B32" t="str">
            <v>0001</v>
          </cell>
          <cell r="C32" t="str">
            <v>342</v>
          </cell>
          <cell r="D32" t="str">
            <v xml:space="preserve"> consumables - general</v>
          </cell>
          <cell r="E32">
            <v>2000</v>
          </cell>
          <cell r="F32">
            <v>2000</v>
          </cell>
          <cell r="G32">
            <v>2000</v>
          </cell>
          <cell r="H32">
            <v>2000</v>
          </cell>
          <cell r="I32">
            <v>2000</v>
          </cell>
          <cell r="J32">
            <v>2000</v>
          </cell>
          <cell r="K32">
            <v>2000</v>
          </cell>
          <cell r="L32">
            <v>2000</v>
          </cell>
          <cell r="M32">
            <v>2000</v>
          </cell>
          <cell r="N32">
            <v>2000</v>
          </cell>
          <cell r="O32">
            <v>2000</v>
          </cell>
          <cell r="P32">
            <v>2000</v>
          </cell>
          <cell r="Q32">
            <v>24000</v>
          </cell>
          <cell r="R32">
            <v>1000</v>
          </cell>
          <cell r="AD32">
            <v>1000</v>
          </cell>
          <cell r="AQ32">
            <v>0</v>
          </cell>
          <cell r="BD32">
            <v>0</v>
          </cell>
          <cell r="BQ32">
            <v>0</v>
          </cell>
          <cell r="BR32">
            <v>25000</v>
          </cell>
        </row>
        <row r="33">
          <cell r="A33">
            <v>2</v>
          </cell>
          <cell r="B33" t="str">
            <v>0001</v>
          </cell>
          <cell r="C33" t="str">
            <v>414</v>
          </cell>
          <cell r="D33" t="str">
            <v xml:space="preserve"> hydraulic hose / fittings</v>
          </cell>
          <cell r="E33">
            <v>1000</v>
          </cell>
          <cell r="F33">
            <v>1000</v>
          </cell>
          <cell r="G33">
            <v>1000</v>
          </cell>
          <cell r="H33">
            <v>1000</v>
          </cell>
          <cell r="I33">
            <v>1000</v>
          </cell>
          <cell r="J33">
            <v>1000</v>
          </cell>
          <cell r="K33">
            <v>1000</v>
          </cell>
          <cell r="L33">
            <v>1000</v>
          </cell>
          <cell r="M33">
            <v>1000</v>
          </cell>
          <cell r="N33">
            <v>1000</v>
          </cell>
          <cell r="O33">
            <v>1000</v>
          </cell>
          <cell r="P33">
            <v>1000</v>
          </cell>
          <cell r="Q33">
            <v>12000</v>
          </cell>
          <cell r="R33">
            <v>500</v>
          </cell>
          <cell r="AD33">
            <v>500</v>
          </cell>
          <cell r="AQ33">
            <v>0</v>
          </cell>
          <cell r="BD33">
            <v>0</v>
          </cell>
          <cell r="BQ33">
            <v>0</v>
          </cell>
          <cell r="BR33">
            <v>12500</v>
          </cell>
        </row>
        <row r="34">
          <cell r="A34">
            <v>2</v>
          </cell>
          <cell r="B34" t="str">
            <v>0001</v>
          </cell>
          <cell r="C34" t="str">
            <v>431</v>
          </cell>
          <cell r="D34" t="str">
            <v xml:space="preserve"> piping &amp; accessories</v>
          </cell>
          <cell r="E34">
            <v>13400</v>
          </cell>
          <cell r="F34">
            <v>4400</v>
          </cell>
          <cell r="G34">
            <v>4400</v>
          </cell>
          <cell r="H34">
            <v>13400</v>
          </cell>
          <cell r="I34">
            <v>4400</v>
          </cell>
          <cell r="J34">
            <v>4400</v>
          </cell>
          <cell r="K34">
            <v>4400</v>
          </cell>
          <cell r="L34">
            <v>4400</v>
          </cell>
          <cell r="M34">
            <v>4400</v>
          </cell>
          <cell r="N34">
            <v>4400</v>
          </cell>
          <cell r="O34">
            <v>4400</v>
          </cell>
          <cell r="P34">
            <v>4400</v>
          </cell>
          <cell r="Q34">
            <v>70800</v>
          </cell>
          <cell r="R34">
            <v>2200</v>
          </cell>
          <cell r="AD34">
            <v>2200</v>
          </cell>
          <cell r="AQ34">
            <v>0</v>
          </cell>
          <cell r="BD34">
            <v>0</v>
          </cell>
          <cell r="BQ34">
            <v>0</v>
          </cell>
          <cell r="BR34">
            <v>73000</v>
          </cell>
        </row>
        <row r="35">
          <cell r="A35">
            <v>2</v>
          </cell>
          <cell r="B35" t="str">
            <v>0001</v>
          </cell>
          <cell r="C35" t="str">
            <v>432</v>
          </cell>
          <cell r="D35" t="str">
            <v xml:space="preserve"> consumables - mechanical</v>
          </cell>
          <cell r="E35">
            <v>2000</v>
          </cell>
          <cell r="F35">
            <v>2000</v>
          </cell>
          <cell r="G35">
            <v>2000</v>
          </cell>
          <cell r="H35">
            <v>2000</v>
          </cell>
          <cell r="I35">
            <v>2000</v>
          </cell>
          <cell r="J35">
            <v>2000</v>
          </cell>
          <cell r="K35">
            <v>2000</v>
          </cell>
          <cell r="L35">
            <v>2000</v>
          </cell>
          <cell r="M35">
            <v>2000</v>
          </cell>
          <cell r="N35">
            <v>2000</v>
          </cell>
          <cell r="O35">
            <v>2000</v>
          </cell>
          <cell r="P35">
            <v>2000</v>
          </cell>
          <cell r="Q35">
            <v>24000</v>
          </cell>
          <cell r="R35">
            <v>1000</v>
          </cell>
          <cell r="AD35">
            <v>1000</v>
          </cell>
          <cell r="AQ35">
            <v>0</v>
          </cell>
          <cell r="BD35">
            <v>0</v>
          </cell>
          <cell r="BQ35">
            <v>0</v>
          </cell>
          <cell r="BR35">
            <v>25000</v>
          </cell>
        </row>
        <row r="36">
          <cell r="A36">
            <v>2</v>
          </cell>
          <cell r="B36" t="str">
            <v>0001</v>
          </cell>
          <cell r="C36" t="str">
            <v>441</v>
          </cell>
          <cell r="D36" t="str">
            <v xml:space="preserve"> valves / valve refurbishment</v>
          </cell>
          <cell r="E36">
            <v>1600</v>
          </cell>
          <cell r="F36">
            <v>1600</v>
          </cell>
          <cell r="G36">
            <v>1600</v>
          </cell>
          <cell r="H36">
            <v>1600</v>
          </cell>
          <cell r="I36">
            <v>1600</v>
          </cell>
          <cell r="J36">
            <v>1600</v>
          </cell>
          <cell r="K36">
            <v>1600</v>
          </cell>
          <cell r="L36">
            <v>1600</v>
          </cell>
          <cell r="M36">
            <v>1600</v>
          </cell>
          <cell r="N36">
            <v>1600</v>
          </cell>
          <cell r="O36">
            <v>1600</v>
          </cell>
          <cell r="P36">
            <v>1600</v>
          </cell>
          <cell r="Q36">
            <v>19200</v>
          </cell>
          <cell r="R36">
            <v>800</v>
          </cell>
          <cell r="AD36">
            <v>800</v>
          </cell>
          <cell r="AQ36">
            <v>0</v>
          </cell>
          <cell r="BD36">
            <v>0</v>
          </cell>
          <cell r="BQ36">
            <v>0</v>
          </cell>
          <cell r="BR36">
            <v>20000</v>
          </cell>
        </row>
        <row r="37">
          <cell r="A37">
            <v>2</v>
          </cell>
          <cell r="B37" t="str">
            <v>0001</v>
          </cell>
          <cell r="C37" t="str">
            <v>000</v>
          </cell>
          <cell r="D37" t="str">
            <v>Reclamation and Monitor Stn's. subtotal</v>
          </cell>
          <cell r="E37">
            <v>720603.16200000001</v>
          </cell>
          <cell r="F37">
            <v>711603.16200000001</v>
          </cell>
          <cell r="G37">
            <v>691167.56200000003</v>
          </cell>
          <cell r="H37">
            <v>710385.36200000008</v>
          </cell>
          <cell r="I37">
            <v>986392.84860000014</v>
          </cell>
          <cell r="J37">
            <v>1147932.2676000001</v>
          </cell>
          <cell r="K37">
            <v>1147932.2676000001</v>
          </cell>
          <cell r="L37">
            <v>1044101.5100000001</v>
          </cell>
          <cell r="M37">
            <v>1147932.2676000001</v>
          </cell>
          <cell r="N37">
            <v>1113339.1186000002</v>
          </cell>
          <cell r="O37">
            <v>1147932.2676000001</v>
          </cell>
          <cell r="P37">
            <v>1216295.3506</v>
          </cell>
          <cell r="Q37">
            <v>11785617.146200001</v>
          </cell>
          <cell r="R37">
            <v>576739.38500000001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576739.38500000001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12362356.531200001</v>
          </cell>
        </row>
        <row r="39">
          <cell r="A39">
            <v>2</v>
          </cell>
          <cell r="B39" t="str">
            <v>0003</v>
          </cell>
          <cell r="C39" t="str">
            <v>000</v>
          </cell>
          <cell r="D39" t="str">
            <v>Thickening and Screening</v>
          </cell>
        </row>
        <row r="40">
          <cell r="A40">
            <v>2</v>
          </cell>
          <cell r="B40" t="str">
            <v>0003</v>
          </cell>
          <cell r="C40" t="str">
            <v>112</v>
          </cell>
          <cell r="D40" t="str">
            <v xml:space="preserve"> contract labour - production</v>
          </cell>
          <cell r="E40">
            <v>2000</v>
          </cell>
          <cell r="F40">
            <v>2000</v>
          </cell>
          <cell r="G40">
            <v>2000</v>
          </cell>
          <cell r="H40">
            <v>2000</v>
          </cell>
          <cell r="I40">
            <v>2000</v>
          </cell>
          <cell r="J40">
            <v>2000</v>
          </cell>
          <cell r="K40">
            <v>2000</v>
          </cell>
          <cell r="L40">
            <v>2000</v>
          </cell>
          <cell r="M40">
            <v>2000</v>
          </cell>
          <cell r="N40">
            <v>2000</v>
          </cell>
          <cell r="O40">
            <v>2000</v>
          </cell>
          <cell r="P40">
            <v>2000</v>
          </cell>
          <cell r="Q40">
            <v>24000</v>
          </cell>
          <cell r="R40">
            <v>1000</v>
          </cell>
          <cell r="AD40">
            <v>1000</v>
          </cell>
          <cell r="AQ40">
            <v>0</v>
          </cell>
          <cell r="BD40">
            <v>0</v>
          </cell>
          <cell r="BQ40">
            <v>0</v>
          </cell>
          <cell r="BR40">
            <v>25000</v>
          </cell>
        </row>
        <row r="41">
          <cell r="A41">
            <v>2</v>
          </cell>
          <cell r="B41" t="str">
            <v>0003</v>
          </cell>
          <cell r="C41" t="str">
            <v>219</v>
          </cell>
          <cell r="D41" t="str">
            <v xml:space="preserve"> equipment hire - general</v>
          </cell>
          <cell r="E41">
            <v>200</v>
          </cell>
          <cell r="F41">
            <v>200</v>
          </cell>
          <cell r="G41">
            <v>200</v>
          </cell>
          <cell r="H41">
            <v>200</v>
          </cell>
          <cell r="I41">
            <v>200</v>
          </cell>
          <cell r="J41">
            <v>200</v>
          </cell>
          <cell r="K41">
            <v>200</v>
          </cell>
          <cell r="L41">
            <v>200</v>
          </cell>
          <cell r="M41">
            <v>200</v>
          </cell>
          <cell r="N41">
            <v>200</v>
          </cell>
          <cell r="O41">
            <v>200</v>
          </cell>
          <cell r="P41">
            <v>200</v>
          </cell>
          <cell r="Q41">
            <v>2400</v>
          </cell>
          <cell r="R41">
            <v>100</v>
          </cell>
          <cell r="AD41">
            <v>100</v>
          </cell>
          <cell r="AQ41">
            <v>0</v>
          </cell>
          <cell r="BD41">
            <v>0</v>
          </cell>
          <cell r="BQ41">
            <v>0</v>
          </cell>
          <cell r="BR41">
            <v>2500</v>
          </cell>
        </row>
        <row r="42">
          <cell r="A42">
            <v>2</v>
          </cell>
          <cell r="B42" t="str">
            <v>0003</v>
          </cell>
          <cell r="C42" t="str">
            <v>321</v>
          </cell>
          <cell r="D42" t="str">
            <v xml:space="preserve"> flocculant</v>
          </cell>
          <cell r="E42">
            <v>25000</v>
          </cell>
          <cell r="F42">
            <v>25000</v>
          </cell>
          <cell r="G42">
            <v>24200</v>
          </cell>
          <cell r="H42">
            <v>24600</v>
          </cell>
          <cell r="I42">
            <v>24200</v>
          </cell>
          <cell r="J42">
            <v>25000</v>
          </cell>
          <cell r="K42">
            <v>25000</v>
          </cell>
          <cell r="L42">
            <v>22600</v>
          </cell>
          <cell r="M42">
            <v>25000</v>
          </cell>
          <cell r="N42">
            <v>24200</v>
          </cell>
          <cell r="O42">
            <v>25000</v>
          </cell>
          <cell r="P42">
            <v>24200</v>
          </cell>
          <cell r="Q42">
            <v>294000</v>
          </cell>
          <cell r="R42">
            <v>12100</v>
          </cell>
          <cell r="AD42">
            <v>12100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Q42">
            <v>0</v>
          </cell>
          <cell r="BR42">
            <v>306100</v>
          </cell>
        </row>
        <row r="43">
          <cell r="A43">
            <v>2</v>
          </cell>
          <cell r="B43" t="str">
            <v>0003</v>
          </cell>
          <cell r="C43" t="str">
            <v>342</v>
          </cell>
          <cell r="D43" t="str">
            <v xml:space="preserve"> consumables - general</v>
          </cell>
          <cell r="E43">
            <v>250</v>
          </cell>
          <cell r="F43">
            <v>250</v>
          </cell>
          <cell r="G43">
            <v>250</v>
          </cell>
          <cell r="H43">
            <v>250</v>
          </cell>
          <cell r="I43">
            <v>250</v>
          </cell>
          <cell r="J43">
            <v>250</v>
          </cell>
          <cell r="K43">
            <v>250</v>
          </cell>
          <cell r="L43">
            <v>250</v>
          </cell>
          <cell r="M43">
            <v>250</v>
          </cell>
          <cell r="N43">
            <v>250</v>
          </cell>
          <cell r="O43">
            <v>250</v>
          </cell>
          <cell r="P43">
            <v>250</v>
          </cell>
          <cell r="Q43">
            <v>3000</v>
          </cell>
          <cell r="R43">
            <v>125</v>
          </cell>
          <cell r="AD43">
            <v>125</v>
          </cell>
          <cell r="AQ43">
            <v>0</v>
          </cell>
          <cell r="BD43">
            <v>0</v>
          </cell>
          <cell r="BQ43">
            <v>0</v>
          </cell>
          <cell r="BR43">
            <v>3125</v>
          </cell>
        </row>
        <row r="44">
          <cell r="A44">
            <v>2</v>
          </cell>
          <cell r="B44" t="str">
            <v>0003</v>
          </cell>
          <cell r="C44" t="str">
            <v>000</v>
          </cell>
          <cell r="D44" t="str">
            <v>Thickening and Screening subtotal</v>
          </cell>
          <cell r="E44">
            <v>27450</v>
          </cell>
          <cell r="F44">
            <v>27450</v>
          </cell>
          <cell r="G44">
            <v>26650</v>
          </cell>
          <cell r="H44">
            <v>27050</v>
          </cell>
          <cell r="I44">
            <v>26650</v>
          </cell>
          <cell r="J44">
            <v>27450</v>
          </cell>
          <cell r="K44">
            <v>27450</v>
          </cell>
          <cell r="L44">
            <v>25050</v>
          </cell>
          <cell r="M44">
            <v>27450</v>
          </cell>
          <cell r="N44">
            <v>26650</v>
          </cell>
          <cell r="O44">
            <v>27450</v>
          </cell>
          <cell r="P44">
            <v>26650</v>
          </cell>
          <cell r="Q44">
            <v>323400</v>
          </cell>
          <cell r="R44">
            <v>13325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13325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336725</v>
          </cell>
        </row>
        <row r="46">
          <cell r="A46">
            <v>2</v>
          </cell>
          <cell r="B46" t="str">
            <v>0004</v>
          </cell>
          <cell r="C46" t="str">
            <v>000</v>
          </cell>
          <cell r="D46" t="str">
            <v>Leaching and Absorption</v>
          </cell>
        </row>
        <row r="47">
          <cell r="A47">
            <v>2</v>
          </cell>
          <cell r="B47" t="str">
            <v>0004</v>
          </cell>
          <cell r="C47" t="str">
            <v>106</v>
          </cell>
          <cell r="D47" t="str">
            <v xml:space="preserve"> wages ord time</v>
          </cell>
          <cell r="E47">
            <v>40400</v>
          </cell>
          <cell r="F47">
            <v>34800</v>
          </cell>
          <cell r="G47">
            <v>34800</v>
          </cell>
          <cell r="H47">
            <v>34800</v>
          </cell>
          <cell r="I47">
            <v>34800</v>
          </cell>
          <cell r="J47">
            <v>40400</v>
          </cell>
          <cell r="K47">
            <v>40400</v>
          </cell>
          <cell r="L47">
            <v>40400</v>
          </cell>
          <cell r="M47">
            <v>34800</v>
          </cell>
          <cell r="N47">
            <v>34800</v>
          </cell>
          <cell r="O47">
            <v>34800</v>
          </cell>
          <cell r="P47">
            <v>34800</v>
          </cell>
          <cell r="Q47">
            <v>440000</v>
          </cell>
          <cell r="R47">
            <v>17400</v>
          </cell>
          <cell r="AD47">
            <v>17400</v>
          </cell>
          <cell r="AQ47">
            <v>0</v>
          </cell>
          <cell r="BD47">
            <v>0</v>
          </cell>
          <cell r="BQ47">
            <v>0</v>
          </cell>
          <cell r="BR47">
            <v>457400</v>
          </cell>
        </row>
        <row r="48">
          <cell r="A48">
            <v>2</v>
          </cell>
          <cell r="B48" t="str">
            <v>0004</v>
          </cell>
          <cell r="C48" t="str">
            <v>107</v>
          </cell>
          <cell r="D48" t="str">
            <v xml:space="preserve"> wages overtime</v>
          </cell>
          <cell r="E48">
            <v>63600</v>
          </cell>
          <cell r="F48">
            <v>54600</v>
          </cell>
          <cell r="G48">
            <v>54600</v>
          </cell>
          <cell r="H48">
            <v>54600</v>
          </cell>
          <cell r="I48">
            <v>54600</v>
          </cell>
          <cell r="J48">
            <v>63600</v>
          </cell>
          <cell r="K48">
            <v>63600</v>
          </cell>
          <cell r="L48">
            <v>63600</v>
          </cell>
          <cell r="M48">
            <v>54600</v>
          </cell>
          <cell r="N48">
            <v>54600</v>
          </cell>
          <cell r="O48">
            <v>54600</v>
          </cell>
          <cell r="P48">
            <v>54600</v>
          </cell>
          <cell r="Q48">
            <v>691200</v>
          </cell>
          <cell r="R48">
            <v>27300</v>
          </cell>
          <cell r="AD48">
            <v>27300</v>
          </cell>
          <cell r="AQ48">
            <v>0</v>
          </cell>
          <cell r="BD48">
            <v>0</v>
          </cell>
          <cell r="BQ48">
            <v>0</v>
          </cell>
          <cell r="BR48">
            <v>718500</v>
          </cell>
        </row>
        <row r="49">
          <cell r="A49">
            <v>2</v>
          </cell>
          <cell r="B49" t="str">
            <v>0004</v>
          </cell>
          <cell r="C49" t="str">
            <v>112</v>
          </cell>
          <cell r="D49" t="str">
            <v xml:space="preserve"> contract labour - production</v>
          </cell>
          <cell r="E49">
            <v>350</v>
          </cell>
          <cell r="F49">
            <v>350</v>
          </cell>
          <cell r="G49">
            <v>350</v>
          </cell>
          <cell r="H49">
            <v>350</v>
          </cell>
          <cell r="I49">
            <v>350</v>
          </cell>
          <cell r="J49">
            <v>350</v>
          </cell>
          <cell r="K49">
            <v>350</v>
          </cell>
          <cell r="L49">
            <v>350</v>
          </cell>
          <cell r="M49">
            <v>350</v>
          </cell>
          <cell r="N49">
            <v>350</v>
          </cell>
          <cell r="O49">
            <v>350</v>
          </cell>
          <cell r="P49">
            <v>350</v>
          </cell>
          <cell r="Q49">
            <v>4200</v>
          </cell>
          <cell r="R49">
            <v>175</v>
          </cell>
          <cell r="AD49">
            <v>175</v>
          </cell>
          <cell r="AQ49">
            <v>0</v>
          </cell>
          <cell r="BD49">
            <v>0</v>
          </cell>
          <cell r="BQ49">
            <v>0</v>
          </cell>
          <cell r="BR49">
            <v>4375</v>
          </cell>
        </row>
        <row r="50">
          <cell r="A50">
            <v>2</v>
          </cell>
          <cell r="B50" t="str">
            <v>0004</v>
          </cell>
          <cell r="C50" t="str">
            <v>219</v>
          </cell>
          <cell r="D50" t="str">
            <v xml:space="preserve"> equipment hire - general</v>
          </cell>
          <cell r="E50">
            <v>1200</v>
          </cell>
          <cell r="F50">
            <v>1200</v>
          </cell>
          <cell r="G50">
            <v>1200</v>
          </cell>
          <cell r="H50">
            <v>1200</v>
          </cell>
          <cell r="I50">
            <v>1200</v>
          </cell>
          <cell r="J50">
            <v>1200</v>
          </cell>
          <cell r="K50">
            <v>1200</v>
          </cell>
          <cell r="L50">
            <v>1200</v>
          </cell>
          <cell r="M50">
            <v>1200</v>
          </cell>
          <cell r="N50">
            <v>1200</v>
          </cell>
          <cell r="O50">
            <v>1200</v>
          </cell>
          <cell r="P50">
            <v>1200</v>
          </cell>
          <cell r="Q50">
            <v>14400</v>
          </cell>
          <cell r="R50">
            <v>600</v>
          </cell>
          <cell r="AD50">
            <v>600</v>
          </cell>
          <cell r="AQ50">
            <v>0</v>
          </cell>
          <cell r="BD50">
            <v>0</v>
          </cell>
          <cell r="BQ50">
            <v>0</v>
          </cell>
          <cell r="BR50">
            <v>15000</v>
          </cell>
        </row>
        <row r="51">
          <cell r="A51">
            <v>2</v>
          </cell>
          <cell r="B51" t="str">
            <v>0004</v>
          </cell>
          <cell r="C51" t="str">
            <v>265</v>
          </cell>
          <cell r="D51" t="str">
            <v xml:space="preserve"> rubbish removal/cleanup</v>
          </cell>
          <cell r="E51">
            <v>1850</v>
          </cell>
          <cell r="F51">
            <v>1850</v>
          </cell>
          <cell r="G51">
            <v>1850</v>
          </cell>
          <cell r="H51">
            <v>1850</v>
          </cell>
          <cell r="I51">
            <v>1850</v>
          </cell>
          <cell r="J51">
            <v>1850</v>
          </cell>
          <cell r="K51">
            <v>1850</v>
          </cell>
          <cell r="L51">
            <v>1850</v>
          </cell>
          <cell r="M51">
            <v>1850</v>
          </cell>
          <cell r="N51">
            <v>1850</v>
          </cell>
          <cell r="O51">
            <v>1850</v>
          </cell>
          <cell r="P51">
            <v>1850</v>
          </cell>
          <cell r="Q51">
            <v>22200</v>
          </cell>
          <cell r="R51">
            <v>925</v>
          </cell>
          <cell r="AD51">
            <v>925</v>
          </cell>
          <cell r="AQ51">
            <v>0</v>
          </cell>
          <cell r="BD51">
            <v>0</v>
          </cell>
          <cell r="BQ51">
            <v>0</v>
          </cell>
          <cell r="BR51">
            <v>23125</v>
          </cell>
        </row>
        <row r="52">
          <cell r="A52">
            <v>2</v>
          </cell>
          <cell r="B52" t="str">
            <v>0004</v>
          </cell>
          <cell r="C52" t="str">
            <v>303</v>
          </cell>
          <cell r="D52" t="str">
            <v xml:space="preserve"> antiscalant</v>
          </cell>
          <cell r="E52">
            <v>1200</v>
          </cell>
          <cell r="F52">
            <v>1200</v>
          </cell>
          <cell r="G52">
            <v>1200</v>
          </cell>
          <cell r="H52">
            <v>1200</v>
          </cell>
          <cell r="I52">
            <v>1200</v>
          </cell>
          <cell r="J52">
            <v>1200</v>
          </cell>
          <cell r="K52">
            <v>1200</v>
          </cell>
          <cell r="L52">
            <v>1100</v>
          </cell>
          <cell r="M52">
            <v>1200</v>
          </cell>
          <cell r="N52">
            <v>1200</v>
          </cell>
          <cell r="O52">
            <v>1200</v>
          </cell>
          <cell r="P52">
            <v>1200</v>
          </cell>
          <cell r="Q52">
            <v>14300</v>
          </cell>
          <cell r="R52">
            <v>600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600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Q52">
            <v>0</v>
          </cell>
          <cell r="BR52">
            <v>14900</v>
          </cell>
        </row>
        <row r="53">
          <cell r="A53">
            <v>2</v>
          </cell>
          <cell r="B53" t="str">
            <v>0004</v>
          </cell>
          <cell r="C53" t="str">
            <v>305</v>
          </cell>
          <cell r="D53" t="str">
            <v xml:space="preserve"> carbon</v>
          </cell>
          <cell r="E53">
            <v>24800</v>
          </cell>
          <cell r="F53">
            <v>24800</v>
          </cell>
          <cell r="G53">
            <v>24000</v>
          </cell>
          <cell r="H53">
            <v>24400</v>
          </cell>
          <cell r="I53">
            <v>24000</v>
          </cell>
          <cell r="J53">
            <v>24800</v>
          </cell>
          <cell r="K53">
            <v>24800</v>
          </cell>
          <cell r="L53">
            <v>22300</v>
          </cell>
          <cell r="M53">
            <v>24800</v>
          </cell>
          <cell r="N53">
            <v>24000</v>
          </cell>
          <cell r="O53">
            <v>24800</v>
          </cell>
          <cell r="P53">
            <v>24000</v>
          </cell>
          <cell r="Q53">
            <v>291500</v>
          </cell>
          <cell r="R53">
            <v>12300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12300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Q53">
            <v>0</v>
          </cell>
          <cell r="BR53">
            <v>303800</v>
          </cell>
        </row>
        <row r="54">
          <cell r="A54">
            <v>2</v>
          </cell>
          <cell r="B54" t="str">
            <v>0004</v>
          </cell>
          <cell r="C54" t="str">
            <v>311</v>
          </cell>
          <cell r="D54" t="str">
            <v xml:space="preserve"> cyanide</v>
          </cell>
          <cell r="E54">
            <v>238100</v>
          </cell>
          <cell r="F54">
            <v>238100</v>
          </cell>
          <cell r="G54">
            <v>230400</v>
          </cell>
          <cell r="H54">
            <v>234300</v>
          </cell>
          <cell r="I54">
            <v>230400</v>
          </cell>
          <cell r="J54">
            <v>238100</v>
          </cell>
          <cell r="K54">
            <v>238100</v>
          </cell>
          <cell r="L54">
            <v>215000</v>
          </cell>
          <cell r="M54">
            <v>238100</v>
          </cell>
          <cell r="N54">
            <v>230400</v>
          </cell>
          <cell r="O54">
            <v>238100</v>
          </cell>
          <cell r="P54">
            <v>230400</v>
          </cell>
          <cell r="Q54">
            <v>2799500</v>
          </cell>
          <cell r="R54">
            <v>118100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118100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Q54">
            <v>0</v>
          </cell>
          <cell r="BR54">
            <v>2917600</v>
          </cell>
        </row>
        <row r="55">
          <cell r="A55">
            <v>2</v>
          </cell>
          <cell r="B55" t="str">
            <v>0004</v>
          </cell>
          <cell r="C55" t="str">
            <v>319</v>
          </cell>
          <cell r="D55" t="str">
            <v xml:space="preserve"> first aid/ safety equipment</v>
          </cell>
          <cell r="E55">
            <v>500</v>
          </cell>
          <cell r="F55">
            <v>500</v>
          </cell>
          <cell r="G55">
            <v>500</v>
          </cell>
          <cell r="H55">
            <v>500</v>
          </cell>
          <cell r="I55">
            <v>500</v>
          </cell>
          <cell r="J55">
            <v>500</v>
          </cell>
          <cell r="K55">
            <v>500</v>
          </cell>
          <cell r="L55">
            <v>500</v>
          </cell>
          <cell r="M55">
            <v>500</v>
          </cell>
          <cell r="N55">
            <v>500</v>
          </cell>
          <cell r="O55">
            <v>500</v>
          </cell>
          <cell r="P55">
            <v>500</v>
          </cell>
          <cell r="Q55">
            <v>6000</v>
          </cell>
          <cell r="R55">
            <v>250</v>
          </cell>
          <cell r="AD55">
            <v>250</v>
          </cell>
          <cell r="AQ55">
            <v>0</v>
          </cell>
          <cell r="BD55">
            <v>0</v>
          </cell>
          <cell r="BQ55">
            <v>0</v>
          </cell>
          <cell r="BR55">
            <v>6250</v>
          </cell>
        </row>
        <row r="56">
          <cell r="A56">
            <v>2</v>
          </cell>
          <cell r="B56" t="str">
            <v>0004</v>
          </cell>
          <cell r="C56" t="str">
            <v>325</v>
          </cell>
          <cell r="D56" t="str">
            <v xml:space="preserve"> grinding balls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Q56">
            <v>0</v>
          </cell>
          <cell r="BR56">
            <v>1200</v>
          </cell>
        </row>
        <row r="57">
          <cell r="A57">
            <v>2</v>
          </cell>
          <cell r="B57" t="str">
            <v>0004</v>
          </cell>
          <cell r="C57" t="str">
            <v>331</v>
          </cell>
          <cell r="D57" t="str">
            <v xml:space="preserve"> laboratory supplies</v>
          </cell>
          <cell r="E57">
            <v>550</v>
          </cell>
          <cell r="F57">
            <v>550</v>
          </cell>
          <cell r="G57">
            <v>550</v>
          </cell>
          <cell r="H57">
            <v>550</v>
          </cell>
          <cell r="I57">
            <v>550</v>
          </cell>
          <cell r="J57">
            <v>550</v>
          </cell>
          <cell r="K57">
            <v>550</v>
          </cell>
          <cell r="L57">
            <v>550</v>
          </cell>
          <cell r="M57">
            <v>550</v>
          </cell>
          <cell r="N57">
            <v>550</v>
          </cell>
          <cell r="O57">
            <v>550</v>
          </cell>
          <cell r="P57">
            <v>550</v>
          </cell>
          <cell r="Q57">
            <v>6600</v>
          </cell>
          <cell r="R57">
            <v>275</v>
          </cell>
          <cell r="AD57">
            <v>275</v>
          </cell>
          <cell r="AQ57">
            <v>0</v>
          </cell>
          <cell r="BD57">
            <v>0</v>
          </cell>
          <cell r="BQ57">
            <v>0</v>
          </cell>
          <cell r="BR57">
            <v>6875</v>
          </cell>
        </row>
        <row r="58">
          <cell r="A58">
            <v>2</v>
          </cell>
          <cell r="B58" t="str">
            <v>0004</v>
          </cell>
          <cell r="C58" t="str">
            <v>332</v>
          </cell>
          <cell r="D58" t="str">
            <v xml:space="preserve"> oxygen</v>
          </cell>
          <cell r="E58">
            <v>33900</v>
          </cell>
          <cell r="F58">
            <v>33900</v>
          </cell>
          <cell r="G58">
            <v>32900</v>
          </cell>
          <cell r="H58">
            <v>33400</v>
          </cell>
          <cell r="I58">
            <v>32900</v>
          </cell>
          <cell r="J58">
            <v>33900</v>
          </cell>
          <cell r="K58">
            <v>33900</v>
          </cell>
          <cell r="L58">
            <v>30800</v>
          </cell>
          <cell r="M58">
            <v>33900</v>
          </cell>
          <cell r="N58">
            <v>32900</v>
          </cell>
          <cell r="O58">
            <v>33900</v>
          </cell>
          <cell r="P58">
            <v>32900</v>
          </cell>
          <cell r="Q58">
            <v>399200</v>
          </cell>
          <cell r="R58">
            <v>17900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17900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Q58">
            <v>0</v>
          </cell>
          <cell r="BR58">
            <v>417100</v>
          </cell>
        </row>
        <row r="59">
          <cell r="A59">
            <v>2</v>
          </cell>
          <cell r="B59" t="str">
            <v>0004</v>
          </cell>
          <cell r="C59" t="str">
            <v>333</v>
          </cell>
          <cell r="D59" t="str">
            <v xml:space="preserve"> lime</v>
          </cell>
          <cell r="E59">
            <v>100300</v>
          </cell>
          <cell r="F59">
            <v>100300</v>
          </cell>
          <cell r="G59">
            <v>97000</v>
          </cell>
          <cell r="H59">
            <v>98700</v>
          </cell>
          <cell r="I59">
            <v>97000</v>
          </cell>
          <cell r="J59">
            <v>100300</v>
          </cell>
          <cell r="K59">
            <v>100300</v>
          </cell>
          <cell r="L59">
            <v>90500</v>
          </cell>
          <cell r="M59">
            <v>100300</v>
          </cell>
          <cell r="N59">
            <v>97000</v>
          </cell>
          <cell r="O59">
            <v>100300</v>
          </cell>
          <cell r="P59">
            <v>97000</v>
          </cell>
          <cell r="Q59">
            <v>1179000</v>
          </cell>
          <cell r="R59">
            <v>49700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49700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Q59">
            <v>0</v>
          </cell>
          <cell r="BR59">
            <v>1228700</v>
          </cell>
        </row>
        <row r="60">
          <cell r="A60">
            <v>2</v>
          </cell>
          <cell r="B60" t="str">
            <v>0004</v>
          </cell>
          <cell r="C60" t="str">
            <v>342</v>
          </cell>
          <cell r="D60" t="str">
            <v xml:space="preserve"> consumables - general</v>
          </cell>
          <cell r="E60">
            <v>200</v>
          </cell>
          <cell r="F60">
            <v>200</v>
          </cell>
          <cell r="G60">
            <v>200</v>
          </cell>
          <cell r="H60">
            <v>200</v>
          </cell>
          <cell r="I60">
            <v>200</v>
          </cell>
          <cell r="J60">
            <v>200</v>
          </cell>
          <cell r="K60">
            <v>200</v>
          </cell>
          <cell r="L60">
            <v>200</v>
          </cell>
          <cell r="M60">
            <v>200</v>
          </cell>
          <cell r="N60">
            <v>200</v>
          </cell>
          <cell r="O60">
            <v>200</v>
          </cell>
          <cell r="P60">
            <v>200</v>
          </cell>
          <cell r="Q60">
            <v>2400</v>
          </cell>
          <cell r="R60">
            <v>100</v>
          </cell>
          <cell r="AD60">
            <v>100</v>
          </cell>
          <cell r="AQ60">
            <v>0</v>
          </cell>
          <cell r="BD60">
            <v>0</v>
          </cell>
          <cell r="BQ60">
            <v>0</v>
          </cell>
          <cell r="BR60">
            <v>2500</v>
          </cell>
        </row>
        <row r="61">
          <cell r="A61">
            <v>2</v>
          </cell>
          <cell r="B61" t="str">
            <v>0004</v>
          </cell>
          <cell r="C61" t="str">
            <v>432</v>
          </cell>
          <cell r="D61" t="str">
            <v xml:space="preserve"> consumables - mechanical</v>
          </cell>
          <cell r="E61">
            <v>2500</v>
          </cell>
          <cell r="F61">
            <v>2500</v>
          </cell>
          <cell r="G61">
            <v>2500</v>
          </cell>
          <cell r="H61">
            <v>2500</v>
          </cell>
          <cell r="I61">
            <v>2500</v>
          </cell>
          <cell r="J61">
            <v>2500</v>
          </cell>
          <cell r="K61">
            <v>2500</v>
          </cell>
          <cell r="L61">
            <v>2500</v>
          </cell>
          <cell r="M61">
            <v>2500</v>
          </cell>
          <cell r="N61">
            <v>2500</v>
          </cell>
          <cell r="O61">
            <v>2500</v>
          </cell>
          <cell r="P61">
            <v>2500</v>
          </cell>
          <cell r="Q61">
            <v>30000</v>
          </cell>
          <cell r="R61">
            <v>1250</v>
          </cell>
          <cell r="AD61">
            <v>1250</v>
          </cell>
          <cell r="AQ61">
            <v>0</v>
          </cell>
          <cell r="BD61">
            <v>0</v>
          </cell>
          <cell r="BQ61">
            <v>0</v>
          </cell>
          <cell r="BR61">
            <v>31250</v>
          </cell>
        </row>
        <row r="62">
          <cell r="A62">
            <v>2</v>
          </cell>
          <cell r="B62" t="str">
            <v>0004</v>
          </cell>
          <cell r="C62" t="str">
            <v>000</v>
          </cell>
          <cell r="D62" t="str">
            <v>Leaching and Absorption subtotal</v>
          </cell>
          <cell r="E62">
            <v>509450</v>
          </cell>
          <cell r="F62">
            <v>494850</v>
          </cell>
          <cell r="G62">
            <v>482050</v>
          </cell>
          <cell r="H62">
            <v>488550</v>
          </cell>
          <cell r="I62">
            <v>482050</v>
          </cell>
          <cell r="J62">
            <v>510650</v>
          </cell>
          <cell r="K62">
            <v>509450</v>
          </cell>
          <cell r="L62">
            <v>470850</v>
          </cell>
          <cell r="M62">
            <v>494850</v>
          </cell>
          <cell r="N62">
            <v>482050</v>
          </cell>
          <cell r="O62">
            <v>494850</v>
          </cell>
          <cell r="P62">
            <v>482050</v>
          </cell>
          <cell r="Q62">
            <v>5901700</v>
          </cell>
          <cell r="R62">
            <v>246875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246875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6148575</v>
          </cell>
        </row>
        <row r="64">
          <cell r="A64">
            <v>2</v>
          </cell>
          <cell r="B64" t="str">
            <v>0005</v>
          </cell>
          <cell r="C64" t="str">
            <v>000</v>
          </cell>
          <cell r="D64" t="str">
            <v>Goldroom Processes</v>
          </cell>
        </row>
        <row r="65">
          <cell r="A65">
            <v>2</v>
          </cell>
          <cell r="B65" t="str">
            <v>0005</v>
          </cell>
          <cell r="C65" t="str">
            <v>106</v>
          </cell>
          <cell r="D65" t="str">
            <v xml:space="preserve"> wages ord time</v>
          </cell>
          <cell r="E65">
            <v>7800</v>
          </cell>
          <cell r="F65">
            <v>7800</v>
          </cell>
          <cell r="G65">
            <v>7800</v>
          </cell>
          <cell r="H65">
            <v>7800</v>
          </cell>
          <cell r="I65">
            <v>7800</v>
          </cell>
          <cell r="J65">
            <v>7800</v>
          </cell>
          <cell r="K65">
            <v>7800</v>
          </cell>
          <cell r="L65">
            <v>7800</v>
          </cell>
          <cell r="M65">
            <v>7800</v>
          </cell>
          <cell r="N65">
            <v>7800</v>
          </cell>
          <cell r="O65">
            <v>7800</v>
          </cell>
          <cell r="P65">
            <v>7800</v>
          </cell>
          <cell r="Q65">
            <v>93600</v>
          </cell>
          <cell r="R65">
            <v>3900</v>
          </cell>
          <cell r="AD65">
            <v>3900</v>
          </cell>
          <cell r="AQ65">
            <v>0</v>
          </cell>
          <cell r="BD65">
            <v>0</v>
          </cell>
          <cell r="BQ65">
            <v>0</v>
          </cell>
          <cell r="BR65">
            <v>97500</v>
          </cell>
        </row>
        <row r="66">
          <cell r="A66">
            <v>2</v>
          </cell>
          <cell r="B66" t="str">
            <v>0005</v>
          </cell>
          <cell r="C66" t="str">
            <v>107</v>
          </cell>
          <cell r="D66" t="str">
            <v xml:space="preserve"> wages overtime</v>
          </cell>
          <cell r="E66">
            <v>5000</v>
          </cell>
          <cell r="F66">
            <v>5000</v>
          </cell>
          <cell r="G66">
            <v>5000</v>
          </cell>
          <cell r="H66">
            <v>5000</v>
          </cell>
          <cell r="I66">
            <v>5000</v>
          </cell>
          <cell r="J66">
            <v>5000</v>
          </cell>
          <cell r="K66">
            <v>5000</v>
          </cell>
          <cell r="L66">
            <v>5000</v>
          </cell>
          <cell r="M66">
            <v>5000</v>
          </cell>
          <cell r="N66">
            <v>5000</v>
          </cell>
          <cell r="O66">
            <v>5000</v>
          </cell>
          <cell r="P66">
            <v>5000</v>
          </cell>
          <cell r="Q66">
            <v>60000</v>
          </cell>
          <cell r="R66">
            <v>2500</v>
          </cell>
          <cell r="AD66">
            <v>2500</v>
          </cell>
          <cell r="AQ66">
            <v>0</v>
          </cell>
          <cell r="BD66">
            <v>0</v>
          </cell>
          <cell r="BQ66">
            <v>0</v>
          </cell>
          <cell r="BR66">
            <v>62500</v>
          </cell>
        </row>
        <row r="67">
          <cell r="A67">
            <v>2</v>
          </cell>
          <cell r="B67" t="str">
            <v>0005</v>
          </cell>
          <cell r="C67" t="str">
            <v>205</v>
          </cell>
          <cell r="D67" t="str">
            <v xml:space="preserve"> bullion refining</v>
          </cell>
          <cell r="E67">
            <v>7200</v>
          </cell>
          <cell r="F67">
            <v>7200</v>
          </cell>
          <cell r="G67">
            <v>7000</v>
          </cell>
          <cell r="H67">
            <v>7100</v>
          </cell>
          <cell r="I67">
            <v>6700</v>
          </cell>
          <cell r="J67">
            <v>7300</v>
          </cell>
          <cell r="K67">
            <v>7300</v>
          </cell>
          <cell r="L67">
            <v>6600</v>
          </cell>
          <cell r="M67">
            <v>7300</v>
          </cell>
          <cell r="N67">
            <v>7100</v>
          </cell>
          <cell r="O67">
            <v>7300</v>
          </cell>
          <cell r="P67">
            <v>6900</v>
          </cell>
          <cell r="Q67">
            <v>85000</v>
          </cell>
          <cell r="R67">
            <v>4900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4900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Q67">
            <v>0</v>
          </cell>
          <cell r="BR67">
            <v>89900</v>
          </cell>
        </row>
        <row r="68">
          <cell r="A68">
            <v>2</v>
          </cell>
          <cell r="B68" t="str">
            <v>0005</v>
          </cell>
          <cell r="C68" t="str">
            <v>207</v>
          </cell>
          <cell r="D68" t="str">
            <v xml:space="preserve"> bullion transport</v>
          </cell>
          <cell r="E68">
            <v>900</v>
          </cell>
          <cell r="F68">
            <v>900</v>
          </cell>
          <cell r="G68">
            <v>900</v>
          </cell>
          <cell r="H68">
            <v>900</v>
          </cell>
          <cell r="I68">
            <v>900</v>
          </cell>
          <cell r="J68">
            <v>900</v>
          </cell>
          <cell r="K68">
            <v>900</v>
          </cell>
          <cell r="L68">
            <v>800</v>
          </cell>
          <cell r="M68">
            <v>900</v>
          </cell>
          <cell r="N68">
            <v>900</v>
          </cell>
          <cell r="O68">
            <v>900</v>
          </cell>
          <cell r="P68">
            <v>900</v>
          </cell>
          <cell r="Q68">
            <v>10700</v>
          </cell>
          <cell r="R68">
            <v>600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600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Q68">
            <v>0</v>
          </cell>
          <cell r="BR68">
            <v>11300</v>
          </cell>
        </row>
        <row r="69">
          <cell r="A69">
            <v>2</v>
          </cell>
          <cell r="B69" t="str">
            <v>0005</v>
          </cell>
          <cell r="C69" t="str">
            <v>219</v>
          </cell>
          <cell r="D69" t="str">
            <v xml:space="preserve"> equipment hire - general</v>
          </cell>
          <cell r="E69">
            <v>200</v>
          </cell>
          <cell r="F69">
            <v>200</v>
          </cell>
          <cell r="G69">
            <v>200</v>
          </cell>
          <cell r="H69">
            <v>200</v>
          </cell>
          <cell r="I69">
            <v>200</v>
          </cell>
          <cell r="J69">
            <v>200</v>
          </cell>
          <cell r="K69">
            <v>200</v>
          </cell>
          <cell r="L69">
            <v>200</v>
          </cell>
          <cell r="M69">
            <v>200</v>
          </cell>
          <cell r="N69">
            <v>200</v>
          </cell>
          <cell r="O69">
            <v>200</v>
          </cell>
          <cell r="P69">
            <v>200</v>
          </cell>
          <cell r="Q69">
            <v>2400</v>
          </cell>
          <cell r="R69">
            <v>100</v>
          </cell>
          <cell r="AD69">
            <v>100</v>
          </cell>
          <cell r="AQ69">
            <v>0</v>
          </cell>
          <cell r="BD69">
            <v>0</v>
          </cell>
          <cell r="BQ69">
            <v>0</v>
          </cell>
          <cell r="BR69">
            <v>2500</v>
          </cell>
        </row>
        <row r="70">
          <cell r="A70">
            <v>2</v>
          </cell>
          <cell r="B70" t="str">
            <v>0005</v>
          </cell>
          <cell r="C70" t="str">
            <v>221</v>
          </cell>
          <cell r="D70" t="str">
            <v xml:space="preserve"> fire &amp; security services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  <cell r="M70">
            <v>300</v>
          </cell>
          <cell r="N70">
            <v>300</v>
          </cell>
          <cell r="O70">
            <v>300</v>
          </cell>
          <cell r="P70">
            <v>300</v>
          </cell>
          <cell r="Q70">
            <v>3600</v>
          </cell>
          <cell r="R70">
            <v>150</v>
          </cell>
          <cell r="AD70">
            <v>150</v>
          </cell>
          <cell r="AQ70">
            <v>0</v>
          </cell>
          <cell r="BD70">
            <v>0</v>
          </cell>
          <cell r="BQ70">
            <v>0</v>
          </cell>
          <cell r="BR70">
            <v>3750</v>
          </cell>
        </row>
        <row r="71">
          <cell r="A71">
            <v>2</v>
          </cell>
          <cell r="B71" t="str">
            <v>0005</v>
          </cell>
          <cell r="C71" t="str">
            <v>229</v>
          </cell>
          <cell r="D71" t="str">
            <v xml:space="preserve"> laboratory services</v>
          </cell>
          <cell r="E71">
            <v>1350</v>
          </cell>
          <cell r="F71">
            <v>1350</v>
          </cell>
          <cell r="G71">
            <v>1350</v>
          </cell>
          <cell r="H71">
            <v>1350</v>
          </cell>
          <cell r="I71">
            <v>1350</v>
          </cell>
          <cell r="J71">
            <v>1350</v>
          </cell>
          <cell r="K71">
            <v>1350</v>
          </cell>
          <cell r="L71">
            <v>1350</v>
          </cell>
          <cell r="M71">
            <v>1350</v>
          </cell>
          <cell r="N71">
            <v>1350</v>
          </cell>
          <cell r="O71">
            <v>1350</v>
          </cell>
          <cell r="P71">
            <v>1350</v>
          </cell>
          <cell r="Q71">
            <v>16200</v>
          </cell>
          <cell r="R71">
            <v>675</v>
          </cell>
          <cell r="AD71">
            <v>675</v>
          </cell>
          <cell r="AQ71">
            <v>0</v>
          </cell>
          <cell r="BD71">
            <v>0</v>
          </cell>
          <cell r="BQ71">
            <v>0</v>
          </cell>
          <cell r="BR71">
            <v>16875</v>
          </cell>
        </row>
        <row r="72">
          <cell r="A72">
            <v>2</v>
          </cell>
          <cell r="B72" t="str">
            <v>0005</v>
          </cell>
          <cell r="C72" t="str">
            <v>267</v>
          </cell>
          <cell r="D72" t="str">
            <v xml:space="preserve"> slag treatment</v>
          </cell>
          <cell r="E72">
            <v>900</v>
          </cell>
          <cell r="F72">
            <v>900</v>
          </cell>
          <cell r="G72">
            <v>900</v>
          </cell>
          <cell r="H72">
            <v>900</v>
          </cell>
          <cell r="I72">
            <v>900</v>
          </cell>
          <cell r="J72">
            <v>900</v>
          </cell>
          <cell r="K72">
            <v>900</v>
          </cell>
          <cell r="L72">
            <v>900</v>
          </cell>
          <cell r="M72">
            <v>900</v>
          </cell>
          <cell r="N72">
            <v>900</v>
          </cell>
          <cell r="O72">
            <v>900</v>
          </cell>
          <cell r="P72">
            <v>900</v>
          </cell>
          <cell r="Q72">
            <v>10800</v>
          </cell>
          <cell r="R72">
            <v>450</v>
          </cell>
          <cell r="AD72">
            <v>450</v>
          </cell>
          <cell r="AQ72">
            <v>0</v>
          </cell>
          <cell r="BD72">
            <v>0</v>
          </cell>
          <cell r="BQ72">
            <v>0</v>
          </cell>
          <cell r="BR72">
            <v>11250</v>
          </cell>
        </row>
        <row r="73">
          <cell r="A73">
            <v>2</v>
          </cell>
          <cell r="B73" t="str">
            <v>0005</v>
          </cell>
          <cell r="C73" t="str">
            <v>307</v>
          </cell>
          <cell r="D73" t="str">
            <v xml:space="preserve"> caustic</v>
          </cell>
          <cell r="E73">
            <v>11600</v>
          </cell>
          <cell r="F73">
            <v>11600</v>
          </cell>
          <cell r="G73">
            <v>11100</v>
          </cell>
          <cell r="H73">
            <v>11600</v>
          </cell>
          <cell r="I73">
            <v>11100</v>
          </cell>
          <cell r="J73">
            <v>12200</v>
          </cell>
          <cell r="K73">
            <v>11600</v>
          </cell>
          <cell r="L73">
            <v>10500</v>
          </cell>
          <cell r="M73">
            <v>11100</v>
          </cell>
          <cell r="N73">
            <v>5200</v>
          </cell>
          <cell r="O73">
            <v>11600</v>
          </cell>
          <cell r="P73">
            <v>11600</v>
          </cell>
          <cell r="Q73">
            <v>130800</v>
          </cell>
          <cell r="R73">
            <v>5800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5800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Q73">
            <v>0</v>
          </cell>
          <cell r="BR73">
            <v>136600</v>
          </cell>
        </row>
        <row r="74">
          <cell r="A74">
            <v>2</v>
          </cell>
          <cell r="B74" t="str">
            <v>0005</v>
          </cell>
          <cell r="C74" t="str">
            <v>311</v>
          </cell>
          <cell r="D74" t="str">
            <v xml:space="preserve"> cyanide</v>
          </cell>
          <cell r="E74">
            <v>20100</v>
          </cell>
          <cell r="F74">
            <v>20100</v>
          </cell>
          <cell r="G74">
            <v>19100</v>
          </cell>
          <cell r="H74">
            <v>20100</v>
          </cell>
          <cell r="I74">
            <v>19100</v>
          </cell>
          <cell r="J74">
            <v>21100</v>
          </cell>
          <cell r="K74">
            <v>20100</v>
          </cell>
          <cell r="L74">
            <v>18100</v>
          </cell>
          <cell r="M74">
            <v>19100</v>
          </cell>
          <cell r="N74">
            <v>9000</v>
          </cell>
          <cell r="O74">
            <v>20100</v>
          </cell>
          <cell r="P74">
            <v>20100</v>
          </cell>
          <cell r="Q74">
            <v>226100</v>
          </cell>
          <cell r="R74">
            <v>10000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10000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Q74">
            <v>0</v>
          </cell>
          <cell r="BR74">
            <v>236100</v>
          </cell>
        </row>
        <row r="75">
          <cell r="A75">
            <v>2</v>
          </cell>
          <cell r="B75" t="str">
            <v>0005</v>
          </cell>
          <cell r="C75" t="str">
            <v>319</v>
          </cell>
          <cell r="D75" t="str">
            <v xml:space="preserve"> first aid/ safety equipment</v>
          </cell>
          <cell r="E75">
            <v>300</v>
          </cell>
          <cell r="F75">
            <v>300</v>
          </cell>
          <cell r="G75">
            <v>300</v>
          </cell>
          <cell r="H75">
            <v>300</v>
          </cell>
          <cell r="I75">
            <v>300</v>
          </cell>
          <cell r="J75">
            <v>300</v>
          </cell>
          <cell r="K75">
            <v>300</v>
          </cell>
          <cell r="L75">
            <v>300</v>
          </cell>
          <cell r="M75">
            <v>300</v>
          </cell>
          <cell r="N75">
            <v>300</v>
          </cell>
          <cell r="O75">
            <v>300</v>
          </cell>
          <cell r="P75">
            <v>300</v>
          </cell>
          <cell r="Q75">
            <v>3600</v>
          </cell>
          <cell r="R75">
            <v>150</v>
          </cell>
          <cell r="AD75">
            <v>150</v>
          </cell>
          <cell r="AQ75">
            <v>0</v>
          </cell>
          <cell r="BD75">
            <v>0</v>
          </cell>
          <cell r="BQ75">
            <v>0</v>
          </cell>
          <cell r="BR75">
            <v>3750</v>
          </cell>
        </row>
        <row r="76">
          <cell r="A76">
            <v>2</v>
          </cell>
          <cell r="B76" t="str">
            <v>0005</v>
          </cell>
          <cell r="C76" t="str">
            <v>323</v>
          </cell>
          <cell r="D76" t="str">
            <v xml:space="preserve"> fluxes</v>
          </cell>
          <cell r="E76">
            <v>400</v>
          </cell>
          <cell r="F76">
            <v>400</v>
          </cell>
          <cell r="G76">
            <v>400</v>
          </cell>
          <cell r="H76">
            <v>400</v>
          </cell>
          <cell r="I76">
            <v>400</v>
          </cell>
          <cell r="J76">
            <v>400</v>
          </cell>
          <cell r="K76">
            <v>400</v>
          </cell>
          <cell r="L76">
            <v>400</v>
          </cell>
          <cell r="M76">
            <v>400</v>
          </cell>
          <cell r="N76">
            <v>400</v>
          </cell>
          <cell r="O76">
            <v>400</v>
          </cell>
          <cell r="P76">
            <v>400</v>
          </cell>
          <cell r="Q76">
            <v>4800</v>
          </cell>
          <cell r="R76">
            <v>200</v>
          </cell>
          <cell r="AD76">
            <v>200</v>
          </cell>
          <cell r="AQ76">
            <v>0</v>
          </cell>
          <cell r="BD76">
            <v>0</v>
          </cell>
          <cell r="BQ76">
            <v>0</v>
          </cell>
          <cell r="BR76">
            <v>5000</v>
          </cell>
        </row>
        <row r="77">
          <cell r="A77">
            <v>2</v>
          </cell>
          <cell r="B77" t="str">
            <v>0005</v>
          </cell>
          <cell r="C77" t="str">
            <v>329</v>
          </cell>
          <cell r="D77" t="str">
            <v xml:space="preserve"> hydrochloric acid</v>
          </cell>
          <cell r="E77">
            <v>10200</v>
          </cell>
          <cell r="F77">
            <v>10200</v>
          </cell>
          <cell r="G77">
            <v>9700</v>
          </cell>
          <cell r="H77">
            <v>10200</v>
          </cell>
          <cell r="I77">
            <v>9700</v>
          </cell>
          <cell r="J77">
            <v>10700</v>
          </cell>
          <cell r="K77">
            <v>10200</v>
          </cell>
          <cell r="L77">
            <v>9200</v>
          </cell>
          <cell r="M77">
            <v>9700</v>
          </cell>
          <cell r="N77">
            <v>4600</v>
          </cell>
          <cell r="O77">
            <v>10200</v>
          </cell>
          <cell r="P77">
            <v>10200</v>
          </cell>
          <cell r="Q77">
            <v>114800</v>
          </cell>
          <cell r="R77">
            <v>5100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5100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Q77">
            <v>0</v>
          </cell>
          <cell r="BR77">
            <v>119900</v>
          </cell>
        </row>
        <row r="78">
          <cell r="A78">
            <v>2</v>
          </cell>
          <cell r="B78" t="str">
            <v>0005</v>
          </cell>
          <cell r="C78" t="str">
            <v>335</v>
          </cell>
          <cell r="D78" t="str">
            <v xml:space="preserve"> lpg</v>
          </cell>
          <cell r="E78">
            <v>19600</v>
          </cell>
          <cell r="F78">
            <v>19600</v>
          </cell>
          <cell r="G78">
            <v>18700</v>
          </cell>
          <cell r="H78">
            <v>19600</v>
          </cell>
          <cell r="I78">
            <v>18700</v>
          </cell>
          <cell r="J78">
            <v>20600</v>
          </cell>
          <cell r="K78">
            <v>19600</v>
          </cell>
          <cell r="L78">
            <v>17700</v>
          </cell>
          <cell r="M78">
            <v>18700</v>
          </cell>
          <cell r="N78">
            <v>8800</v>
          </cell>
          <cell r="O78">
            <v>19600</v>
          </cell>
          <cell r="P78">
            <v>19600</v>
          </cell>
          <cell r="Q78">
            <v>220800</v>
          </cell>
          <cell r="R78">
            <v>9800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9800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Q78">
            <v>0</v>
          </cell>
          <cell r="BR78">
            <v>230600</v>
          </cell>
        </row>
        <row r="79">
          <cell r="A79">
            <v>2</v>
          </cell>
          <cell r="B79" t="str">
            <v>0005</v>
          </cell>
          <cell r="C79" t="str">
            <v>342</v>
          </cell>
          <cell r="D79" t="str">
            <v xml:space="preserve"> consumables - general</v>
          </cell>
          <cell r="E79">
            <v>1000</v>
          </cell>
          <cell r="F79">
            <v>1000</v>
          </cell>
          <cell r="G79">
            <v>1000</v>
          </cell>
          <cell r="H79">
            <v>1000</v>
          </cell>
          <cell r="I79">
            <v>1000</v>
          </cell>
          <cell r="J79">
            <v>1000</v>
          </cell>
          <cell r="K79">
            <v>1000</v>
          </cell>
          <cell r="L79">
            <v>1000</v>
          </cell>
          <cell r="M79">
            <v>1000</v>
          </cell>
          <cell r="N79">
            <v>1000</v>
          </cell>
          <cell r="O79">
            <v>1000</v>
          </cell>
          <cell r="P79">
            <v>1000</v>
          </cell>
          <cell r="Q79">
            <v>12000</v>
          </cell>
          <cell r="R79">
            <v>500</v>
          </cell>
          <cell r="AD79">
            <v>500</v>
          </cell>
          <cell r="AQ79">
            <v>0</v>
          </cell>
          <cell r="BD79">
            <v>0</v>
          </cell>
          <cell r="BQ79">
            <v>0</v>
          </cell>
          <cell r="BR79">
            <v>12500</v>
          </cell>
        </row>
        <row r="80">
          <cell r="A80">
            <v>2</v>
          </cell>
          <cell r="B80" t="str">
            <v>0005</v>
          </cell>
          <cell r="C80" t="str">
            <v>347</v>
          </cell>
          <cell r="D80" t="str">
            <v xml:space="preserve"> potable water</v>
          </cell>
          <cell r="E80">
            <v>5000</v>
          </cell>
          <cell r="F80">
            <v>5000</v>
          </cell>
          <cell r="G80">
            <v>4800</v>
          </cell>
          <cell r="H80">
            <v>4900</v>
          </cell>
          <cell r="I80">
            <v>4800</v>
          </cell>
          <cell r="J80">
            <v>5000</v>
          </cell>
          <cell r="K80">
            <v>5000</v>
          </cell>
          <cell r="L80">
            <v>4500</v>
          </cell>
          <cell r="M80">
            <v>5000</v>
          </cell>
          <cell r="N80">
            <v>4800</v>
          </cell>
          <cell r="O80">
            <v>5000</v>
          </cell>
          <cell r="P80">
            <v>4800</v>
          </cell>
          <cell r="Q80">
            <v>58600</v>
          </cell>
          <cell r="R80">
            <v>2500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2500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Q80">
            <v>0</v>
          </cell>
          <cell r="BR80">
            <v>61100</v>
          </cell>
        </row>
        <row r="81">
          <cell r="A81">
            <v>2</v>
          </cell>
          <cell r="B81" t="str">
            <v>0005</v>
          </cell>
          <cell r="C81" t="str">
            <v>349</v>
          </cell>
          <cell r="D81" t="str">
            <v xml:space="preserve"> pots, spouts &amp; moulds</v>
          </cell>
          <cell r="E81">
            <v>650</v>
          </cell>
          <cell r="F81">
            <v>650</v>
          </cell>
          <cell r="G81">
            <v>650</v>
          </cell>
          <cell r="H81">
            <v>650</v>
          </cell>
          <cell r="I81">
            <v>650</v>
          </cell>
          <cell r="J81">
            <v>650</v>
          </cell>
          <cell r="K81">
            <v>650</v>
          </cell>
          <cell r="L81">
            <v>650</v>
          </cell>
          <cell r="M81">
            <v>650</v>
          </cell>
          <cell r="N81">
            <v>650</v>
          </cell>
          <cell r="O81">
            <v>650</v>
          </cell>
          <cell r="P81">
            <v>650</v>
          </cell>
          <cell r="Q81">
            <v>7800</v>
          </cell>
          <cell r="R81">
            <v>325</v>
          </cell>
          <cell r="AD81">
            <v>325</v>
          </cell>
          <cell r="AQ81">
            <v>0</v>
          </cell>
          <cell r="BD81">
            <v>0</v>
          </cell>
          <cell r="BQ81">
            <v>0</v>
          </cell>
          <cell r="BR81">
            <v>8125</v>
          </cell>
        </row>
        <row r="82">
          <cell r="A82">
            <v>2</v>
          </cell>
          <cell r="B82" t="str">
            <v>0005</v>
          </cell>
          <cell r="C82" t="str">
            <v>351</v>
          </cell>
          <cell r="D82" t="str">
            <v xml:space="preserve"> protective clothing</v>
          </cell>
          <cell r="E82">
            <v>1000</v>
          </cell>
          <cell r="F82">
            <v>1000</v>
          </cell>
          <cell r="G82">
            <v>1000</v>
          </cell>
          <cell r="H82">
            <v>1000</v>
          </cell>
          <cell r="I82">
            <v>1000</v>
          </cell>
          <cell r="J82">
            <v>1000</v>
          </cell>
          <cell r="K82">
            <v>1000</v>
          </cell>
          <cell r="L82">
            <v>1000</v>
          </cell>
          <cell r="M82">
            <v>1000</v>
          </cell>
          <cell r="N82">
            <v>1000</v>
          </cell>
          <cell r="O82">
            <v>1000</v>
          </cell>
          <cell r="P82">
            <v>1000</v>
          </cell>
          <cell r="Q82">
            <v>12000</v>
          </cell>
          <cell r="R82">
            <v>500</v>
          </cell>
          <cell r="AD82">
            <v>500</v>
          </cell>
          <cell r="AQ82">
            <v>0</v>
          </cell>
          <cell r="BD82">
            <v>0</v>
          </cell>
          <cell r="BQ82">
            <v>0</v>
          </cell>
          <cell r="BR82">
            <v>12500</v>
          </cell>
        </row>
        <row r="83">
          <cell r="A83">
            <v>2</v>
          </cell>
          <cell r="B83" t="str">
            <v>0005</v>
          </cell>
          <cell r="C83" t="str">
            <v>355</v>
          </cell>
          <cell r="D83" t="str">
            <v xml:space="preserve"> electrowinning consumables</v>
          </cell>
          <cell r="E83">
            <v>350</v>
          </cell>
          <cell r="F83">
            <v>350</v>
          </cell>
          <cell r="G83">
            <v>350</v>
          </cell>
          <cell r="H83">
            <v>350</v>
          </cell>
          <cell r="I83">
            <v>350</v>
          </cell>
          <cell r="J83">
            <v>350</v>
          </cell>
          <cell r="K83">
            <v>350</v>
          </cell>
          <cell r="L83">
            <v>350</v>
          </cell>
          <cell r="M83">
            <v>350</v>
          </cell>
          <cell r="N83">
            <v>350</v>
          </cell>
          <cell r="O83">
            <v>350</v>
          </cell>
          <cell r="P83">
            <v>350</v>
          </cell>
          <cell r="Q83">
            <v>4200</v>
          </cell>
          <cell r="R83">
            <v>175</v>
          </cell>
          <cell r="AD83">
            <v>175</v>
          </cell>
          <cell r="AQ83">
            <v>0</v>
          </cell>
          <cell r="BD83">
            <v>0</v>
          </cell>
          <cell r="BQ83">
            <v>0</v>
          </cell>
          <cell r="BR83">
            <v>4375</v>
          </cell>
        </row>
        <row r="84">
          <cell r="A84">
            <v>2</v>
          </cell>
          <cell r="B84" t="str">
            <v>0005</v>
          </cell>
          <cell r="C84" t="str">
            <v>411</v>
          </cell>
          <cell r="D84" t="str">
            <v xml:space="preserve"> furnace linings</v>
          </cell>
          <cell r="E84">
            <v>650</v>
          </cell>
          <cell r="F84">
            <v>650</v>
          </cell>
          <cell r="G84">
            <v>650</v>
          </cell>
          <cell r="H84">
            <v>650</v>
          </cell>
          <cell r="I84">
            <v>650</v>
          </cell>
          <cell r="J84">
            <v>650</v>
          </cell>
          <cell r="K84">
            <v>650</v>
          </cell>
          <cell r="L84">
            <v>650</v>
          </cell>
          <cell r="M84">
            <v>650</v>
          </cell>
          <cell r="N84">
            <v>650</v>
          </cell>
          <cell r="O84">
            <v>650</v>
          </cell>
          <cell r="P84">
            <v>650</v>
          </cell>
          <cell r="Q84">
            <v>7800</v>
          </cell>
          <cell r="R84">
            <v>325</v>
          </cell>
          <cell r="AD84">
            <v>325</v>
          </cell>
          <cell r="AQ84">
            <v>0</v>
          </cell>
          <cell r="BD84">
            <v>0</v>
          </cell>
          <cell r="BQ84">
            <v>0</v>
          </cell>
          <cell r="BR84">
            <v>8125</v>
          </cell>
        </row>
        <row r="85">
          <cell r="A85">
            <v>2</v>
          </cell>
          <cell r="B85" t="str">
            <v>0005</v>
          </cell>
          <cell r="C85" t="str">
            <v>418</v>
          </cell>
          <cell r="D85" t="str">
            <v xml:space="preserve"> mercury monitoring/ pers</v>
          </cell>
          <cell r="E85">
            <v>400</v>
          </cell>
          <cell r="F85">
            <v>400</v>
          </cell>
          <cell r="G85">
            <v>400</v>
          </cell>
          <cell r="H85">
            <v>400</v>
          </cell>
          <cell r="I85">
            <v>400</v>
          </cell>
          <cell r="J85">
            <v>400</v>
          </cell>
          <cell r="K85">
            <v>400</v>
          </cell>
          <cell r="L85">
            <v>400</v>
          </cell>
          <cell r="M85">
            <v>400</v>
          </cell>
          <cell r="N85">
            <v>400</v>
          </cell>
          <cell r="O85">
            <v>400</v>
          </cell>
          <cell r="P85">
            <v>400</v>
          </cell>
          <cell r="Q85">
            <v>4800</v>
          </cell>
          <cell r="R85">
            <v>200</v>
          </cell>
          <cell r="AD85">
            <v>200</v>
          </cell>
          <cell r="AQ85">
            <v>0</v>
          </cell>
          <cell r="BD85">
            <v>0</v>
          </cell>
          <cell r="BQ85">
            <v>0</v>
          </cell>
          <cell r="BR85">
            <v>5000</v>
          </cell>
        </row>
        <row r="86">
          <cell r="A86">
            <v>2</v>
          </cell>
          <cell r="B86" t="str">
            <v>0005</v>
          </cell>
          <cell r="C86" t="str">
            <v>432</v>
          </cell>
          <cell r="D86" t="str">
            <v xml:space="preserve"> consumables - mechanical</v>
          </cell>
          <cell r="E86">
            <v>300</v>
          </cell>
          <cell r="F86">
            <v>300</v>
          </cell>
          <cell r="G86">
            <v>300</v>
          </cell>
          <cell r="H86">
            <v>300</v>
          </cell>
          <cell r="I86">
            <v>300</v>
          </cell>
          <cell r="J86">
            <v>300</v>
          </cell>
          <cell r="K86">
            <v>300</v>
          </cell>
          <cell r="L86">
            <v>300</v>
          </cell>
          <cell r="M86">
            <v>300</v>
          </cell>
          <cell r="N86">
            <v>300</v>
          </cell>
          <cell r="O86">
            <v>300</v>
          </cell>
          <cell r="P86">
            <v>300</v>
          </cell>
          <cell r="Q86">
            <v>3600</v>
          </cell>
          <cell r="R86">
            <v>150</v>
          </cell>
          <cell r="AD86">
            <v>150</v>
          </cell>
          <cell r="AQ86">
            <v>0</v>
          </cell>
          <cell r="BD86">
            <v>0</v>
          </cell>
          <cell r="BQ86">
            <v>0</v>
          </cell>
          <cell r="BR86">
            <v>3750</v>
          </cell>
        </row>
        <row r="87">
          <cell r="A87">
            <v>2</v>
          </cell>
          <cell r="B87" t="str">
            <v>0005</v>
          </cell>
          <cell r="C87" t="str">
            <v>000</v>
          </cell>
          <cell r="D87" t="str">
            <v>Goldroom Processes subtotal</v>
          </cell>
          <cell r="E87">
            <v>95200</v>
          </cell>
          <cell r="F87">
            <v>95200</v>
          </cell>
          <cell r="G87">
            <v>91900</v>
          </cell>
          <cell r="H87">
            <v>95000</v>
          </cell>
          <cell r="I87">
            <v>91600</v>
          </cell>
          <cell r="J87">
            <v>98400</v>
          </cell>
          <cell r="K87">
            <v>95300</v>
          </cell>
          <cell r="L87">
            <v>88000</v>
          </cell>
          <cell r="M87">
            <v>92400</v>
          </cell>
          <cell r="N87">
            <v>61000</v>
          </cell>
          <cell r="O87">
            <v>95300</v>
          </cell>
          <cell r="P87">
            <v>94700</v>
          </cell>
          <cell r="Q87">
            <v>1094000</v>
          </cell>
          <cell r="R87">
            <v>49000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49000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1143000</v>
          </cell>
        </row>
        <row r="89">
          <cell r="A89">
            <v>2</v>
          </cell>
          <cell r="B89" t="str">
            <v>0007</v>
          </cell>
          <cell r="C89" t="str">
            <v>000</v>
          </cell>
          <cell r="D89" t="str">
            <v xml:space="preserve">Borefields and Utilities </v>
          </cell>
        </row>
        <row r="90">
          <cell r="A90">
            <v>2</v>
          </cell>
          <cell r="B90" t="str">
            <v>0007</v>
          </cell>
          <cell r="C90" t="str">
            <v>112</v>
          </cell>
          <cell r="D90" t="str">
            <v xml:space="preserve"> contract labour - production</v>
          </cell>
          <cell r="E90">
            <v>200</v>
          </cell>
          <cell r="F90">
            <v>200</v>
          </cell>
          <cell r="G90">
            <v>200</v>
          </cell>
          <cell r="H90">
            <v>200</v>
          </cell>
          <cell r="I90">
            <v>200</v>
          </cell>
          <cell r="J90">
            <v>200</v>
          </cell>
          <cell r="K90">
            <v>200</v>
          </cell>
          <cell r="L90">
            <v>200</v>
          </cell>
          <cell r="M90">
            <v>200</v>
          </cell>
          <cell r="N90">
            <v>200</v>
          </cell>
          <cell r="O90">
            <v>200</v>
          </cell>
          <cell r="P90">
            <v>200</v>
          </cell>
          <cell r="Q90">
            <v>2400</v>
          </cell>
          <cell r="R90">
            <v>100</v>
          </cell>
          <cell r="AD90">
            <v>100</v>
          </cell>
          <cell r="AQ90">
            <v>0</v>
          </cell>
          <cell r="BD90">
            <v>0</v>
          </cell>
          <cell r="BQ90">
            <v>0</v>
          </cell>
          <cell r="BR90">
            <v>2500</v>
          </cell>
        </row>
        <row r="91">
          <cell r="A91">
            <v>2</v>
          </cell>
          <cell r="B91" t="str">
            <v>0007</v>
          </cell>
          <cell r="C91" t="str">
            <v>211</v>
          </cell>
          <cell r="D91" t="str">
            <v xml:space="preserve"> consultants - general</v>
          </cell>
          <cell r="E91">
            <v>200</v>
          </cell>
          <cell r="F91">
            <v>200</v>
          </cell>
          <cell r="G91">
            <v>200</v>
          </cell>
          <cell r="H91">
            <v>200</v>
          </cell>
          <cell r="I91">
            <v>200</v>
          </cell>
          <cell r="J91">
            <v>200</v>
          </cell>
          <cell r="K91">
            <v>200</v>
          </cell>
          <cell r="L91">
            <v>200</v>
          </cell>
          <cell r="M91">
            <v>200</v>
          </cell>
          <cell r="N91">
            <v>200</v>
          </cell>
          <cell r="O91">
            <v>200</v>
          </cell>
          <cell r="P91">
            <v>200</v>
          </cell>
          <cell r="Q91">
            <v>2400</v>
          </cell>
          <cell r="R91">
            <v>100</v>
          </cell>
          <cell r="AD91">
            <v>100</v>
          </cell>
          <cell r="AQ91">
            <v>0</v>
          </cell>
          <cell r="BD91">
            <v>0</v>
          </cell>
          <cell r="BQ91">
            <v>0</v>
          </cell>
          <cell r="BR91">
            <v>2500</v>
          </cell>
        </row>
        <row r="92">
          <cell r="A92">
            <v>2</v>
          </cell>
          <cell r="B92" t="str">
            <v>0007</v>
          </cell>
          <cell r="C92" t="str">
            <v>219</v>
          </cell>
          <cell r="D92" t="str">
            <v xml:space="preserve"> equipment hire</v>
          </cell>
          <cell r="E92">
            <v>2000</v>
          </cell>
          <cell r="F92">
            <v>2000</v>
          </cell>
          <cell r="G92">
            <v>2000</v>
          </cell>
          <cell r="H92">
            <v>2000</v>
          </cell>
          <cell r="I92">
            <v>2000</v>
          </cell>
          <cell r="J92">
            <v>2000</v>
          </cell>
          <cell r="K92">
            <v>2000</v>
          </cell>
          <cell r="L92">
            <v>2000</v>
          </cell>
          <cell r="M92">
            <v>2000</v>
          </cell>
          <cell r="N92">
            <v>2000</v>
          </cell>
          <cell r="O92">
            <v>2000</v>
          </cell>
          <cell r="P92">
            <v>60000</v>
          </cell>
          <cell r="Q92">
            <v>82000</v>
          </cell>
          <cell r="R92">
            <v>30000</v>
          </cell>
          <cell r="AD92">
            <v>30000</v>
          </cell>
          <cell r="AQ92">
            <v>0</v>
          </cell>
          <cell r="BD92">
            <v>0</v>
          </cell>
          <cell r="BQ92">
            <v>0</v>
          </cell>
          <cell r="BR92">
            <v>112000</v>
          </cell>
        </row>
        <row r="93">
          <cell r="A93">
            <v>2</v>
          </cell>
          <cell r="B93" t="str">
            <v>0007</v>
          </cell>
          <cell r="C93" t="str">
            <v>229</v>
          </cell>
          <cell r="D93" t="str">
            <v xml:space="preserve"> laboratory services</v>
          </cell>
          <cell r="E93">
            <v>1000</v>
          </cell>
          <cell r="F93">
            <v>1000</v>
          </cell>
          <cell r="G93">
            <v>1000</v>
          </cell>
          <cell r="H93">
            <v>1000</v>
          </cell>
          <cell r="I93">
            <v>1000</v>
          </cell>
          <cell r="J93">
            <v>1000</v>
          </cell>
          <cell r="K93">
            <v>1000</v>
          </cell>
          <cell r="L93">
            <v>1000</v>
          </cell>
          <cell r="M93">
            <v>1000</v>
          </cell>
          <cell r="N93">
            <v>1000</v>
          </cell>
          <cell r="O93">
            <v>1000</v>
          </cell>
          <cell r="P93">
            <v>1000</v>
          </cell>
          <cell r="Q93">
            <v>12000</v>
          </cell>
          <cell r="R93">
            <v>500</v>
          </cell>
          <cell r="AD93">
            <v>500</v>
          </cell>
          <cell r="AQ93">
            <v>0</v>
          </cell>
          <cell r="BD93">
            <v>0</v>
          </cell>
          <cell r="BQ93">
            <v>0</v>
          </cell>
          <cell r="BR93">
            <v>12500</v>
          </cell>
        </row>
        <row r="94">
          <cell r="A94">
            <v>2</v>
          </cell>
          <cell r="B94" t="str">
            <v>0007</v>
          </cell>
          <cell r="C94" t="str">
            <v>263</v>
          </cell>
          <cell r="D94" t="str">
            <v xml:space="preserve"> roadworks / dust suppression</v>
          </cell>
          <cell r="E94">
            <v>500</v>
          </cell>
          <cell r="F94">
            <v>500</v>
          </cell>
          <cell r="G94">
            <v>500</v>
          </cell>
          <cell r="H94">
            <v>500</v>
          </cell>
          <cell r="I94">
            <v>500</v>
          </cell>
          <cell r="J94">
            <v>500</v>
          </cell>
          <cell r="K94">
            <v>500</v>
          </cell>
          <cell r="L94">
            <v>500</v>
          </cell>
          <cell r="M94">
            <v>500</v>
          </cell>
          <cell r="N94">
            <v>500</v>
          </cell>
          <cell r="O94">
            <v>500</v>
          </cell>
          <cell r="P94">
            <v>500</v>
          </cell>
          <cell r="Q94">
            <v>6000</v>
          </cell>
          <cell r="R94">
            <v>250</v>
          </cell>
          <cell r="AD94">
            <v>250</v>
          </cell>
          <cell r="AQ94">
            <v>0</v>
          </cell>
          <cell r="BD94">
            <v>0</v>
          </cell>
          <cell r="BQ94">
            <v>0</v>
          </cell>
          <cell r="BR94">
            <v>6250</v>
          </cell>
        </row>
        <row r="95">
          <cell r="A95">
            <v>2</v>
          </cell>
          <cell r="B95" t="str">
            <v>0007</v>
          </cell>
          <cell r="C95" t="str">
            <v>303</v>
          </cell>
          <cell r="D95" t="str">
            <v xml:space="preserve"> antiscalant</v>
          </cell>
          <cell r="E95">
            <v>2400</v>
          </cell>
          <cell r="F95">
            <v>2400</v>
          </cell>
          <cell r="G95">
            <v>2300</v>
          </cell>
          <cell r="H95">
            <v>2400</v>
          </cell>
          <cell r="I95">
            <v>2300</v>
          </cell>
          <cell r="J95">
            <v>2400</v>
          </cell>
          <cell r="K95">
            <v>2400</v>
          </cell>
          <cell r="L95">
            <v>2200</v>
          </cell>
          <cell r="M95">
            <v>2400</v>
          </cell>
          <cell r="N95">
            <v>2300</v>
          </cell>
          <cell r="O95">
            <v>2400</v>
          </cell>
          <cell r="P95">
            <v>2300</v>
          </cell>
          <cell r="Q95">
            <v>28200</v>
          </cell>
          <cell r="R95">
            <v>1200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1200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Q95">
            <v>0</v>
          </cell>
          <cell r="BR95">
            <v>29400</v>
          </cell>
        </row>
        <row r="96">
          <cell r="A96">
            <v>2</v>
          </cell>
          <cell r="B96" t="str">
            <v>0007</v>
          </cell>
          <cell r="C96" t="str">
            <v>313</v>
          </cell>
          <cell r="D96" t="str">
            <v xml:space="preserve"> diesel</v>
          </cell>
          <cell r="E96">
            <v>500</v>
          </cell>
          <cell r="F96">
            <v>500</v>
          </cell>
          <cell r="G96">
            <v>500</v>
          </cell>
          <cell r="H96">
            <v>500</v>
          </cell>
          <cell r="I96">
            <v>500</v>
          </cell>
          <cell r="J96">
            <v>500</v>
          </cell>
          <cell r="K96">
            <v>500</v>
          </cell>
          <cell r="L96">
            <v>400</v>
          </cell>
          <cell r="M96">
            <v>500</v>
          </cell>
          <cell r="N96">
            <v>500</v>
          </cell>
          <cell r="O96">
            <v>500</v>
          </cell>
          <cell r="P96">
            <v>500</v>
          </cell>
          <cell r="Q96">
            <v>5900</v>
          </cell>
          <cell r="R96">
            <v>200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200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Q96">
            <v>0</v>
          </cell>
          <cell r="BR96">
            <v>6100</v>
          </cell>
        </row>
        <row r="97">
          <cell r="A97">
            <v>2</v>
          </cell>
          <cell r="B97" t="str">
            <v>0007</v>
          </cell>
          <cell r="C97" t="str">
            <v>317</v>
          </cell>
          <cell r="D97" t="str">
            <v xml:space="preserve"> electricity</v>
          </cell>
          <cell r="E97">
            <v>237500</v>
          </cell>
          <cell r="F97">
            <v>237500</v>
          </cell>
          <cell r="G97">
            <v>229800</v>
          </cell>
          <cell r="H97">
            <v>233600</v>
          </cell>
          <cell r="I97">
            <v>229800</v>
          </cell>
          <cell r="J97">
            <v>237500</v>
          </cell>
          <cell r="K97">
            <v>237500</v>
          </cell>
          <cell r="L97">
            <v>214400</v>
          </cell>
          <cell r="M97">
            <v>237500</v>
          </cell>
          <cell r="N97">
            <v>229800</v>
          </cell>
          <cell r="O97">
            <v>237500</v>
          </cell>
          <cell r="P97">
            <v>229800</v>
          </cell>
          <cell r="Q97">
            <v>2792200</v>
          </cell>
          <cell r="R97">
            <v>117800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117800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Q97">
            <v>0</v>
          </cell>
          <cell r="BR97">
            <v>2910000</v>
          </cell>
        </row>
        <row r="98">
          <cell r="A98">
            <v>2</v>
          </cell>
          <cell r="B98" t="str">
            <v>0007</v>
          </cell>
          <cell r="C98" t="str">
            <v>319</v>
          </cell>
          <cell r="D98" t="str">
            <v xml:space="preserve"> first aid/ safety equipment</v>
          </cell>
          <cell r="E98">
            <v>100</v>
          </cell>
          <cell r="F98">
            <v>100</v>
          </cell>
          <cell r="G98">
            <v>100</v>
          </cell>
          <cell r="H98">
            <v>100</v>
          </cell>
          <cell r="I98">
            <v>100</v>
          </cell>
          <cell r="J98">
            <v>100</v>
          </cell>
          <cell r="K98">
            <v>100</v>
          </cell>
          <cell r="L98">
            <v>100</v>
          </cell>
          <cell r="M98">
            <v>100</v>
          </cell>
          <cell r="N98">
            <v>100</v>
          </cell>
          <cell r="O98">
            <v>100</v>
          </cell>
          <cell r="P98">
            <v>100</v>
          </cell>
          <cell r="Q98">
            <v>1200</v>
          </cell>
          <cell r="R98">
            <v>50</v>
          </cell>
          <cell r="AD98">
            <v>50</v>
          </cell>
          <cell r="AQ98">
            <v>0</v>
          </cell>
          <cell r="BD98">
            <v>0</v>
          </cell>
          <cell r="BQ98">
            <v>0</v>
          </cell>
          <cell r="BR98">
            <v>1250</v>
          </cell>
        </row>
        <row r="99">
          <cell r="A99">
            <v>2</v>
          </cell>
          <cell r="B99" t="str">
            <v>0007</v>
          </cell>
          <cell r="C99" t="str">
            <v>342</v>
          </cell>
          <cell r="D99" t="str">
            <v xml:space="preserve"> consumables - general</v>
          </cell>
          <cell r="E99">
            <v>100</v>
          </cell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1200</v>
          </cell>
          <cell r="R99">
            <v>50</v>
          </cell>
          <cell r="AD99">
            <v>50</v>
          </cell>
          <cell r="AQ99">
            <v>0</v>
          </cell>
          <cell r="BD99">
            <v>0</v>
          </cell>
          <cell r="BQ99">
            <v>0</v>
          </cell>
          <cell r="BR99">
            <v>1250</v>
          </cell>
        </row>
        <row r="100">
          <cell r="A100">
            <v>2</v>
          </cell>
          <cell r="B100" t="str">
            <v>0007</v>
          </cell>
          <cell r="C100" t="str">
            <v>347</v>
          </cell>
          <cell r="D100" t="str">
            <v xml:space="preserve"> potable water</v>
          </cell>
          <cell r="E100">
            <v>1700</v>
          </cell>
          <cell r="F100">
            <v>1700</v>
          </cell>
          <cell r="G100">
            <v>1600</v>
          </cell>
          <cell r="H100">
            <v>1600</v>
          </cell>
          <cell r="I100">
            <v>1600</v>
          </cell>
          <cell r="J100">
            <v>1700</v>
          </cell>
          <cell r="K100">
            <v>1700</v>
          </cell>
          <cell r="L100">
            <v>1500</v>
          </cell>
          <cell r="M100">
            <v>1700</v>
          </cell>
          <cell r="N100">
            <v>1600</v>
          </cell>
          <cell r="O100">
            <v>1700</v>
          </cell>
          <cell r="P100">
            <v>1600</v>
          </cell>
          <cell r="Q100">
            <v>19700</v>
          </cell>
          <cell r="R100">
            <v>800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800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Q100">
            <v>0</v>
          </cell>
          <cell r="BR100">
            <v>20500</v>
          </cell>
        </row>
        <row r="101">
          <cell r="A101">
            <v>2</v>
          </cell>
          <cell r="B101" t="str">
            <v>0007</v>
          </cell>
          <cell r="C101" t="str">
            <v>432</v>
          </cell>
          <cell r="D101" t="str">
            <v xml:space="preserve"> consumables - mechanical</v>
          </cell>
          <cell r="E101">
            <v>100</v>
          </cell>
          <cell r="F101">
            <v>100</v>
          </cell>
          <cell r="G101">
            <v>100</v>
          </cell>
          <cell r="H101">
            <v>100</v>
          </cell>
          <cell r="I101">
            <v>100</v>
          </cell>
          <cell r="J101">
            <v>100</v>
          </cell>
          <cell r="K101">
            <v>100</v>
          </cell>
          <cell r="L101">
            <v>100</v>
          </cell>
          <cell r="M101">
            <v>100</v>
          </cell>
          <cell r="N101">
            <v>100</v>
          </cell>
          <cell r="O101">
            <v>100</v>
          </cell>
          <cell r="P101">
            <v>100</v>
          </cell>
          <cell r="Q101">
            <v>1200</v>
          </cell>
          <cell r="R101">
            <v>50</v>
          </cell>
          <cell r="AD101">
            <v>50</v>
          </cell>
          <cell r="AQ101">
            <v>0</v>
          </cell>
          <cell r="BD101">
            <v>0</v>
          </cell>
          <cell r="BQ101">
            <v>0</v>
          </cell>
          <cell r="BR101">
            <v>1250</v>
          </cell>
        </row>
        <row r="102">
          <cell r="A102">
            <v>2</v>
          </cell>
          <cell r="B102" t="str">
            <v>0007</v>
          </cell>
          <cell r="C102" t="str">
            <v>000</v>
          </cell>
          <cell r="D102" t="str">
            <v>Borefields and Utilities subtotal</v>
          </cell>
          <cell r="E102">
            <v>246300</v>
          </cell>
          <cell r="F102">
            <v>246300</v>
          </cell>
          <cell r="G102">
            <v>238400</v>
          </cell>
          <cell r="H102">
            <v>242300</v>
          </cell>
          <cell r="I102">
            <v>238400</v>
          </cell>
          <cell r="J102">
            <v>246300</v>
          </cell>
          <cell r="K102">
            <v>246300</v>
          </cell>
          <cell r="L102">
            <v>222700</v>
          </cell>
          <cell r="M102">
            <v>246300</v>
          </cell>
          <cell r="N102">
            <v>238400</v>
          </cell>
          <cell r="O102">
            <v>246300</v>
          </cell>
          <cell r="P102">
            <v>296400</v>
          </cell>
          <cell r="Q102">
            <v>2954400</v>
          </cell>
          <cell r="R102">
            <v>151100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151100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3105500</v>
          </cell>
        </row>
        <row r="104">
          <cell r="A104">
            <v>2</v>
          </cell>
          <cell r="B104" t="str">
            <v>0008</v>
          </cell>
          <cell r="C104" t="str">
            <v>000</v>
          </cell>
          <cell r="D104" t="str">
            <v>Tailings Disposal and Storage</v>
          </cell>
        </row>
        <row r="105">
          <cell r="A105">
            <v>2</v>
          </cell>
          <cell r="B105" t="str">
            <v>0008</v>
          </cell>
          <cell r="C105" t="str">
            <v>106</v>
          </cell>
          <cell r="D105" t="str">
            <v xml:space="preserve"> wages ord time</v>
          </cell>
          <cell r="E105">
            <v>8000</v>
          </cell>
          <cell r="F105">
            <v>8000</v>
          </cell>
          <cell r="G105">
            <v>8000</v>
          </cell>
          <cell r="H105">
            <v>8000</v>
          </cell>
          <cell r="I105">
            <v>8000</v>
          </cell>
          <cell r="J105">
            <v>8000</v>
          </cell>
          <cell r="K105">
            <v>8000</v>
          </cell>
          <cell r="L105">
            <v>8000</v>
          </cell>
          <cell r="M105">
            <v>8000</v>
          </cell>
          <cell r="N105">
            <v>8000</v>
          </cell>
          <cell r="O105">
            <v>8000</v>
          </cell>
          <cell r="P105">
            <v>8000</v>
          </cell>
          <cell r="Q105">
            <v>96000</v>
          </cell>
          <cell r="R105">
            <v>4000</v>
          </cell>
          <cell r="AD105">
            <v>4000</v>
          </cell>
          <cell r="AQ105">
            <v>0</v>
          </cell>
          <cell r="BD105">
            <v>0</v>
          </cell>
          <cell r="BQ105">
            <v>0</v>
          </cell>
          <cell r="BR105">
            <v>100000</v>
          </cell>
        </row>
        <row r="106">
          <cell r="A106">
            <v>2</v>
          </cell>
          <cell r="B106" t="str">
            <v>0008</v>
          </cell>
          <cell r="C106" t="str">
            <v>107</v>
          </cell>
          <cell r="D106" t="str">
            <v xml:space="preserve"> wages overtime</v>
          </cell>
          <cell r="E106">
            <v>7600</v>
          </cell>
          <cell r="F106">
            <v>7600</v>
          </cell>
          <cell r="G106">
            <v>7600</v>
          </cell>
          <cell r="H106">
            <v>7600</v>
          </cell>
          <cell r="I106">
            <v>7600</v>
          </cell>
          <cell r="J106">
            <v>7600</v>
          </cell>
          <cell r="K106">
            <v>7600</v>
          </cell>
          <cell r="L106">
            <v>7600</v>
          </cell>
          <cell r="M106">
            <v>7600</v>
          </cell>
          <cell r="N106">
            <v>7600</v>
          </cell>
          <cell r="O106">
            <v>7600</v>
          </cell>
          <cell r="P106">
            <v>7600</v>
          </cell>
          <cell r="Q106">
            <v>91200</v>
          </cell>
          <cell r="R106">
            <v>3800</v>
          </cell>
          <cell r="AD106">
            <v>3800</v>
          </cell>
          <cell r="AQ106">
            <v>0</v>
          </cell>
          <cell r="BD106">
            <v>0</v>
          </cell>
          <cell r="BQ106">
            <v>0</v>
          </cell>
          <cell r="BR106">
            <v>95000</v>
          </cell>
        </row>
        <row r="107">
          <cell r="A107">
            <v>2</v>
          </cell>
          <cell r="B107" t="str">
            <v>0008</v>
          </cell>
          <cell r="C107" t="str">
            <v>112</v>
          </cell>
          <cell r="D107" t="str">
            <v xml:space="preserve"> contract labour- production</v>
          </cell>
          <cell r="E107">
            <v>2000</v>
          </cell>
          <cell r="F107">
            <v>2000</v>
          </cell>
          <cell r="G107">
            <v>2000</v>
          </cell>
          <cell r="H107">
            <v>2000</v>
          </cell>
          <cell r="I107">
            <v>2000</v>
          </cell>
          <cell r="J107">
            <v>2000</v>
          </cell>
          <cell r="K107">
            <v>2000</v>
          </cell>
          <cell r="L107">
            <v>2000</v>
          </cell>
          <cell r="M107">
            <v>2000</v>
          </cell>
          <cell r="N107">
            <v>2000</v>
          </cell>
          <cell r="O107">
            <v>2000</v>
          </cell>
          <cell r="P107">
            <v>2000</v>
          </cell>
          <cell r="Q107">
            <v>24000</v>
          </cell>
          <cell r="R107">
            <v>1000</v>
          </cell>
          <cell r="AD107">
            <v>1000</v>
          </cell>
          <cell r="AQ107">
            <v>0</v>
          </cell>
          <cell r="BD107">
            <v>0</v>
          </cell>
          <cell r="BQ107">
            <v>0</v>
          </cell>
          <cell r="BR107">
            <v>25000</v>
          </cell>
        </row>
        <row r="108">
          <cell r="A108">
            <v>2</v>
          </cell>
          <cell r="B108" t="str">
            <v>0008</v>
          </cell>
          <cell r="C108" t="str">
            <v>211</v>
          </cell>
          <cell r="D108" t="str">
            <v xml:space="preserve"> consultants - general</v>
          </cell>
          <cell r="E108">
            <v>1500</v>
          </cell>
          <cell r="F108">
            <v>1500</v>
          </cell>
          <cell r="G108">
            <v>1500</v>
          </cell>
          <cell r="H108">
            <v>1500</v>
          </cell>
          <cell r="I108">
            <v>1500</v>
          </cell>
          <cell r="J108">
            <v>1500</v>
          </cell>
          <cell r="K108">
            <v>1500</v>
          </cell>
          <cell r="L108">
            <v>1500</v>
          </cell>
          <cell r="M108">
            <v>1500</v>
          </cell>
          <cell r="N108">
            <v>1500</v>
          </cell>
          <cell r="O108">
            <v>1500</v>
          </cell>
          <cell r="P108">
            <v>1500</v>
          </cell>
          <cell r="Q108">
            <v>18000</v>
          </cell>
          <cell r="R108">
            <v>750</v>
          </cell>
          <cell r="AD108">
            <v>750</v>
          </cell>
          <cell r="AQ108">
            <v>0</v>
          </cell>
          <cell r="BD108">
            <v>0</v>
          </cell>
          <cell r="BQ108">
            <v>0</v>
          </cell>
          <cell r="BR108">
            <v>18750</v>
          </cell>
        </row>
        <row r="109">
          <cell r="A109">
            <v>2</v>
          </cell>
          <cell r="B109" t="str">
            <v>0008</v>
          </cell>
          <cell r="C109" t="str">
            <v>219</v>
          </cell>
          <cell r="D109" t="str">
            <v xml:space="preserve"> equipment hire -general</v>
          </cell>
          <cell r="E109">
            <v>6000</v>
          </cell>
          <cell r="F109">
            <v>6000</v>
          </cell>
          <cell r="G109">
            <v>6000</v>
          </cell>
          <cell r="H109">
            <v>6000</v>
          </cell>
          <cell r="I109">
            <v>6000</v>
          </cell>
          <cell r="J109">
            <v>6000</v>
          </cell>
          <cell r="K109">
            <v>6000</v>
          </cell>
          <cell r="L109">
            <v>6000</v>
          </cell>
          <cell r="M109">
            <v>6000</v>
          </cell>
          <cell r="N109">
            <v>6000</v>
          </cell>
          <cell r="O109">
            <v>6000</v>
          </cell>
          <cell r="P109">
            <v>6000</v>
          </cell>
          <cell r="Q109">
            <v>72000</v>
          </cell>
          <cell r="R109">
            <v>3000</v>
          </cell>
          <cell r="AD109">
            <v>3000</v>
          </cell>
          <cell r="AQ109">
            <v>0</v>
          </cell>
          <cell r="BD109">
            <v>0</v>
          </cell>
          <cell r="BQ109">
            <v>0</v>
          </cell>
          <cell r="BR109">
            <v>75000</v>
          </cell>
        </row>
        <row r="110">
          <cell r="A110">
            <v>2</v>
          </cell>
          <cell r="B110" t="str">
            <v>0008</v>
          </cell>
          <cell r="C110" t="str">
            <v>263</v>
          </cell>
          <cell r="D110" t="str">
            <v xml:space="preserve"> roadworks / dust suppression</v>
          </cell>
          <cell r="E110">
            <v>5200</v>
          </cell>
          <cell r="F110">
            <v>5200</v>
          </cell>
          <cell r="G110">
            <v>5200</v>
          </cell>
          <cell r="H110">
            <v>5200</v>
          </cell>
          <cell r="I110">
            <v>5200</v>
          </cell>
          <cell r="J110">
            <v>5200</v>
          </cell>
          <cell r="K110">
            <v>5200</v>
          </cell>
          <cell r="L110">
            <v>5200</v>
          </cell>
          <cell r="M110">
            <v>5200</v>
          </cell>
          <cell r="N110">
            <v>5200</v>
          </cell>
          <cell r="O110">
            <v>5200</v>
          </cell>
          <cell r="P110">
            <v>5200</v>
          </cell>
          <cell r="Q110">
            <v>62400</v>
          </cell>
          <cell r="R110">
            <v>2600</v>
          </cell>
          <cell r="AD110">
            <v>2600</v>
          </cell>
          <cell r="AQ110">
            <v>0</v>
          </cell>
          <cell r="BD110">
            <v>0</v>
          </cell>
          <cell r="BQ110">
            <v>0</v>
          </cell>
          <cell r="BR110">
            <v>65000</v>
          </cell>
        </row>
        <row r="111">
          <cell r="A111">
            <v>2</v>
          </cell>
          <cell r="B111" t="str">
            <v>0008</v>
          </cell>
          <cell r="C111" t="str">
            <v>265</v>
          </cell>
          <cell r="D111" t="str">
            <v xml:space="preserve"> rubbish removal/cleanup</v>
          </cell>
          <cell r="E111">
            <v>3000</v>
          </cell>
          <cell r="F111">
            <v>3000</v>
          </cell>
          <cell r="G111">
            <v>3000</v>
          </cell>
          <cell r="H111">
            <v>3000</v>
          </cell>
          <cell r="I111">
            <v>3000</v>
          </cell>
          <cell r="J111">
            <v>3000</v>
          </cell>
          <cell r="K111">
            <v>3000</v>
          </cell>
          <cell r="L111">
            <v>3000</v>
          </cell>
          <cell r="M111">
            <v>3000</v>
          </cell>
          <cell r="N111">
            <v>3000</v>
          </cell>
          <cell r="O111">
            <v>3000</v>
          </cell>
          <cell r="P111">
            <v>3000</v>
          </cell>
          <cell r="Q111">
            <v>36000</v>
          </cell>
          <cell r="R111">
            <v>1500</v>
          </cell>
          <cell r="AD111">
            <v>1500</v>
          </cell>
          <cell r="AQ111">
            <v>0</v>
          </cell>
          <cell r="BD111">
            <v>0</v>
          </cell>
          <cell r="BQ111">
            <v>0</v>
          </cell>
          <cell r="BR111">
            <v>37500</v>
          </cell>
        </row>
        <row r="112">
          <cell r="A112">
            <v>2</v>
          </cell>
          <cell r="B112" t="str">
            <v>0008</v>
          </cell>
          <cell r="C112" t="str">
            <v>269</v>
          </cell>
          <cell r="D112" t="str">
            <v xml:space="preserve"> slimes cleanup</v>
          </cell>
          <cell r="E112">
            <v>1200</v>
          </cell>
          <cell r="F112">
            <v>1200</v>
          </cell>
          <cell r="G112">
            <v>1200</v>
          </cell>
          <cell r="H112">
            <v>1200</v>
          </cell>
          <cell r="I112">
            <v>1200</v>
          </cell>
          <cell r="J112">
            <v>1200</v>
          </cell>
          <cell r="K112">
            <v>1200</v>
          </cell>
          <cell r="L112">
            <v>1200</v>
          </cell>
          <cell r="M112">
            <v>1200</v>
          </cell>
          <cell r="N112">
            <v>1200</v>
          </cell>
          <cell r="O112">
            <v>1200</v>
          </cell>
          <cell r="P112">
            <v>1200</v>
          </cell>
          <cell r="Q112">
            <v>14400</v>
          </cell>
          <cell r="R112">
            <v>600</v>
          </cell>
          <cell r="AD112">
            <v>600</v>
          </cell>
          <cell r="AQ112">
            <v>0</v>
          </cell>
          <cell r="BD112">
            <v>0</v>
          </cell>
          <cell r="BQ112">
            <v>0</v>
          </cell>
          <cell r="BR112">
            <v>15000</v>
          </cell>
        </row>
        <row r="113">
          <cell r="A113">
            <v>2</v>
          </cell>
          <cell r="B113" t="str">
            <v>0008</v>
          </cell>
          <cell r="C113" t="str">
            <v>273</v>
          </cell>
          <cell r="D113" t="str">
            <v xml:space="preserve"> survey charges</v>
          </cell>
          <cell r="E113">
            <v>3200</v>
          </cell>
          <cell r="F113">
            <v>3200</v>
          </cell>
          <cell r="G113">
            <v>3200</v>
          </cell>
          <cell r="H113">
            <v>3200</v>
          </cell>
          <cell r="I113">
            <v>3200</v>
          </cell>
          <cell r="J113">
            <v>3200</v>
          </cell>
          <cell r="K113">
            <v>3200</v>
          </cell>
          <cell r="L113">
            <v>3200</v>
          </cell>
          <cell r="M113">
            <v>3200</v>
          </cell>
          <cell r="N113">
            <v>3200</v>
          </cell>
          <cell r="O113">
            <v>3200</v>
          </cell>
          <cell r="P113">
            <v>3200</v>
          </cell>
          <cell r="Q113">
            <v>38400</v>
          </cell>
          <cell r="R113">
            <v>1600</v>
          </cell>
          <cell r="AD113">
            <v>1600</v>
          </cell>
          <cell r="AQ113">
            <v>0</v>
          </cell>
          <cell r="BD113">
            <v>0</v>
          </cell>
          <cell r="BQ113">
            <v>0</v>
          </cell>
          <cell r="BR113">
            <v>40000</v>
          </cell>
        </row>
        <row r="114">
          <cell r="A114">
            <v>2</v>
          </cell>
          <cell r="B114" t="str">
            <v>0008</v>
          </cell>
          <cell r="C114" t="str">
            <v>275</v>
          </cell>
          <cell r="D114" t="str">
            <v xml:space="preserve"> embankment lifts</v>
          </cell>
          <cell r="E114">
            <v>40000</v>
          </cell>
          <cell r="F114">
            <v>40000</v>
          </cell>
          <cell r="G114">
            <v>40000</v>
          </cell>
          <cell r="H114">
            <v>40000</v>
          </cell>
          <cell r="I114">
            <v>40000</v>
          </cell>
          <cell r="J114">
            <v>40000</v>
          </cell>
          <cell r="K114">
            <v>40000</v>
          </cell>
          <cell r="L114">
            <v>40000</v>
          </cell>
          <cell r="M114">
            <v>40000</v>
          </cell>
          <cell r="N114">
            <v>40000</v>
          </cell>
          <cell r="O114">
            <v>40000</v>
          </cell>
          <cell r="P114">
            <v>40000</v>
          </cell>
          <cell r="Q114">
            <v>480000</v>
          </cell>
          <cell r="R114">
            <v>40000</v>
          </cell>
          <cell r="AD114">
            <v>40000</v>
          </cell>
          <cell r="AQ114">
            <v>0</v>
          </cell>
          <cell r="BD114">
            <v>0</v>
          </cell>
          <cell r="BQ114">
            <v>0</v>
          </cell>
          <cell r="BR114">
            <v>520000</v>
          </cell>
        </row>
        <row r="115">
          <cell r="A115">
            <v>2</v>
          </cell>
          <cell r="B115" t="str">
            <v>0008</v>
          </cell>
          <cell r="C115" t="str">
            <v>312</v>
          </cell>
          <cell r="D115" t="str">
            <v xml:space="preserve"> decant liners</v>
          </cell>
          <cell r="E115">
            <v>1100</v>
          </cell>
          <cell r="F115">
            <v>1100</v>
          </cell>
          <cell r="G115">
            <v>1100</v>
          </cell>
          <cell r="H115">
            <v>1100</v>
          </cell>
          <cell r="I115">
            <v>1100</v>
          </cell>
          <cell r="J115">
            <v>1100</v>
          </cell>
          <cell r="K115">
            <v>1100</v>
          </cell>
          <cell r="L115">
            <v>1100</v>
          </cell>
          <cell r="M115">
            <v>1100</v>
          </cell>
          <cell r="N115">
            <v>1100</v>
          </cell>
          <cell r="O115">
            <v>1100</v>
          </cell>
          <cell r="P115">
            <v>1100</v>
          </cell>
          <cell r="Q115">
            <v>13200</v>
          </cell>
          <cell r="R115">
            <v>550</v>
          </cell>
          <cell r="AD115">
            <v>550</v>
          </cell>
          <cell r="AQ115">
            <v>0</v>
          </cell>
          <cell r="BD115">
            <v>0</v>
          </cell>
          <cell r="BQ115">
            <v>0</v>
          </cell>
          <cell r="BR115">
            <v>13750</v>
          </cell>
        </row>
        <row r="116">
          <cell r="A116">
            <v>2</v>
          </cell>
          <cell r="B116" t="str">
            <v>0008</v>
          </cell>
          <cell r="C116" t="str">
            <v>313</v>
          </cell>
          <cell r="D116" t="str">
            <v xml:space="preserve"> diesel</v>
          </cell>
          <cell r="E116">
            <v>2000</v>
          </cell>
          <cell r="F116">
            <v>2000</v>
          </cell>
          <cell r="G116">
            <v>1900</v>
          </cell>
          <cell r="H116">
            <v>1900</v>
          </cell>
          <cell r="I116">
            <v>1900</v>
          </cell>
          <cell r="J116">
            <v>2000</v>
          </cell>
          <cell r="K116">
            <v>2000</v>
          </cell>
          <cell r="L116">
            <v>1800</v>
          </cell>
          <cell r="M116">
            <v>2000</v>
          </cell>
          <cell r="N116">
            <v>1900</v>
          </cell>
          <cell r="O116">
            <v>2000</v>
          </cell>
          <cell r="P116">
            <v>1900</v>
          </cell>
          <cell r="Q116">
            <v>23300</v>
          </cell>
          <cell r="R116">
            <v>1000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1000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Q116">
            <v>0</v>
          </cell>
          <cell r="BR116">
            <v>24300</v>
          </cell>
        </row>
        <row r="117">
          <cell r="A117">
            <v>2</v>
          </cell>
          <cell r="B117" t="str">
            <v>0008</v>
          </cell>
          <cell r="C117" t="str">
            <v>319</v>
          </cell>
          <cell r="D117" t="str">
            <v xml:space="preserve"> first aid/ safety equipment</v>
          </cell>
          <cell r="E117">
            <v>200</v>
          </cell>
          <cell r="F117">
            <v>200</v>
          </cell>
          <cell r="G117">
            <v>200</v>
          </cell>
          <cell r="H117">
            <v>200</v>
          </cell>
          <cell r="I117">
            <v>200</v>
          </cell>
          <cell r="J117">
            <v>200</v>
          </cell>
          <cell r="K117">
            <v>200</v>
          </cell>
          <cell r="L117">
            <v>200</v>
          </cell>
          <cell r="M117">
            <v>200</v>
          </cell>
          <cell r="N117">
            <v>200</v>
          </cell>
          <cell r="O117">
            <v>200</v>
          </cell>
          <cell r="P117">
            <v>200</v>
          </cell>
          <cell r="Q117">
            <v>2400</v>
          </cell>
          <cell r="R117">
            <v>100</v>
          </cell>
          <cell r="AD117">
            <v>100</v>
          </cell>
          <cell r="AQ117">
            <v>0</v>
          </cell>
          <cell r="BD117">
            <v>0</v>
          </cell>
          <cell r="BQ117">
            <v>0</v>
          </cell>
          <cell r="BR117">
            <v>2500</v>
          </cell>
        </row>
        <row r="118">
          <cell r="A118">
            <v>2</v>
          </cell>
          <cell r="B118" t="str">
            <v>0008</v>
          </cell>
          <cell r="C118" t="str">
            <v>342</v>
          </cell>
          <cell r="D118" t="str">
            <v xml:space="preserve"> consumables - general</v>
          </cell>
          <cell r="E118">
            <v>1200</v>
          </cell>
          <cell r="F118">
            <v>1200</v>
          </cell>
          <cell r="G118">
            <v>1200</v>
          </cell>
          <cell r="H118">
            <v>1200</v>
          </cell>
          <cell r="I118">
            <v>1200</v>
          </cell>
          <cell r="J118">
            <v>1200</v>
          </cell>
          <cell r="K118">
            <v>1200</v>
          </cell>
          <cell r="L118">
            <v>1200</v>
          </cell>
          <cell r="M118">
            <v>1200</v>
          </cell>
          <cell r="N118">
            <v>1200</v>
          </cell>
          <cell r="O118">
            <v>1200</v>
          </cell>
          <cell r="P118">
            <v>1200</v>
          </cell>
          <cell r="Q118">
            <v>14400</v>
          </cell>
          <cell r="R118">
            <v>600</v>
          </cell>
          <cell r="AD118">
            <v>600</v>
          </cell>
          <cell r="AQ118">
            <v>0</v>
          </cell>
          <cell r="BD118">
            <v>0</v>
          </cell>
          <cell r="BQ118">
            <v>0</v>
          </cell>
          <cell r="BR118">
            <v>15000</v>
          </cell>
        </row>
        <row r="119">
          <cell r="A119">
            <v>2</v>
          </cell>
          <cell r="B119" t="str">
            <v>0008</v>
          </cell>
          <cell r="C119" t="str">
            <v>431</v>
          </cell>
          <cell r="D119" t="str">
            <v xml:space="preserve"> piping &amp; accessories</v>
          </cell>
          <cell r="E119">
            <v>10000</v>
          </cell>
          <cell r="F119">
            <v>10000</v>
          </cell>
          <cell r="G119">
            <v>10000</v>
          </cell>
          <cell r="H119">
            <v>10000</v>
          </cell>
          <cell r="I119">
            <v>10000</v>
          </cell>
          <cell r="J119">
            <v>10000</v>
          </cell>
          <cell r="K119">
            <v>10000</v>
          </cell>
          <cell r="L119">
            <v>10000</v>
          </cell>
          <cell r="M119">
            <v>10000</v>
          </cell>
          <cell r="N119">
            <v>10000</v>
          </cell>
          <cell r="O119">
            <v>10000</v>
          </cell>
          <cell r="P119">
            <v>10000</v>
          </cell>
          <cell r="Q119">
            <v>120000</v>
          </cell>
          <cell r="R119">
            <v>5000</v>
          </cell>
          <cell r="AD119">
            <v>5000</v>
          </cell>
          <cell r="AQ119">
            <v>0</v>
          </cell>
          <cell r="BD119">
            <v>0</v>
          </cell>
          <cell r="BQ119">
            <v>0</v>
          </cell>
          <cell r="BR119">
            <v>125000</v>
          </cell>
        </row>
        <row r="120">
          <cell r="A120">
            <v>2</v>
          </cell>
          <cell r="B120" t="str">
            <v>0008</v>
          </cell>
          <cell r="C120" t="str">
            <v>432</v>
          </cell>
          <cell r="D120" t="str">
            <v xml:space="preserve"> consumables - mechanical</v>
          </cell>
          <cell r="E120">
            <v>3000</v>
          </cell>
          <cell r="F120">
            <v>3000</v>
          </cell>
          <cell r="G120">
            <v>3000</v>
          </cell>
          <cell r="H120">
            <v>3000</v>
          </cell>
          <cell r="I120">
            <v>3000</v>
          </cell>
          <cell r="J120">
            <v>3000</v>
          </cell>
          <cell r="K120">
            <v>3000</v>
          </cell>
          <cell r="L120">
            <v>3000</v>
          </cell>
          <cell r="M120">
            <v>3000</v>
          </cell>
          <cell r="N120">
            <v>3000</v>
          </cell>
          <cell r="O120">
            <v>3000</v>
          </cell>
          <cell r="P120">
            <v>3000</v>
          </cell>
          <cell r="Q120">
            <v>36000</v>
          </cell>
          <cell r="R120">
            <v>1500</v>
          </cell>
          <cell r="AD120">
            <v>1500</v>
          </cell>
          <cell r="AQ120">
            <v>0</v>
          </cell>
          <cell r="BD120">
            <v>0</v>
          </cell>
          <cell r="BQ120">
            <v>0</v>
          </cell>
          <cell r="BR120">
            <v>37500</v>
          </cell>
        </row>
        <row r="121">
          <cell r="A121">
            <v>2</v>
          </cell>
          <cell r="B121" t="str">
            <v>0008</v>
          </cell>
          <cell r="C121" t="str">
            <v>000</v>
          </cell>
          <cell r="D121" t="str">
            <v>Tailings Disposal and Storage subtotal</v>
          </cell>
          <cell r="E121">
            <v>95200</v>
          </cell>
          <cell r="F121">
            <v>95200</v>
          </cell>
          <cell r="G121">
            <v>95100</v>
          </cell>
          <cell r="H121">
            <v>95100</v>
          </cell>
          <cell r="I121">
            <v>95100</v>
          </cell>
          <cell r="J121">
            <v>95200</v>
          </cell>
          <cell r="K121">
            <v>95200</v>
          </cell>
          <cell r="L121">
            <v>95000</v>
          </cell>
          <cell r="M121">
            <v>95200</v>
          </cell>
          <cell r="N121">
            <v>95100</v>
          </cell>
          <cell r="O121">
            <v>95200</v>
          </cell>
          <cell r="P121">
            <v>95100</v>
          </cell>
          <cell r="Q121">
            <v>1141700</v>
          </cell>
          <cell r="R121">
            <v>67600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67600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1209300</v>
          </cell>
        </row>
        <row r="123">
          <cell r="A123">
            <v>2</v>
          </cell>
          <cell r="B123" t="str">
            <v>0009</v>
          </cell>
          <cell r="C123" t="str">
            <v>000</v>
          </cell>
          <cell r="D123" t="str">
            <v>Management and Supervision</v>
          </cell>
        </row>
        <row r="124">
          <cell r="A124">
            <v>2</v>
          </cell>
          <cell r="B124" t="str">
            <v>0009</v>
          </cell>
          <cell r="C124" t="str">
            <v>101</v>
          </cell>
          <cell r="D124" t="str">
            <v xml:space="preserve"> salaries</v>
          </cell>
          <cell r="E124">
            <v>57100</v>
          </cell>
          <cell r="F124">
            <v>57100</v>
          </cell>
          <cell r="G124">
            <v>57100</v>
          </cell>
          <cell r="H124">
            <v>57100</v>
          </cell>
          <cell r="I124">
            <v>57100</v>
          </cell>
          <cell r="J124">
            <v>57100</v>
          </cell>
          <cell r="K124">
            <v>57100</v>
          </cell>
          <cell r="L124">
            <v>57100</v>
          </cell>
          <cell r="M124">
            <v>57100</v>
          </cell>
          <cell r="N124">
            <v>57100</v>
          </cell>
          <cell r="O124">
            <v>57100</v>
          </cell>
          <cell r="P124">
            <v>57100</v>
          </cell>
          <cell r="Q124">
            <v>685200</v>
          </cell>
          <cell r="R124">
            <v>28550</v>
          </cell>
          <cell r="AD124">
            <v>28550</v>
          </cell>
          <cell r="BQ124">
            <v>0</v>
          </cell>
          <cell r="BR124">
            <v>713750</v>
          </cell>
        </row>
        <row r="125">
          <cell r="A125">
            <v>2</v>
          </cell>
          <cell r="B125" t="str">
            <v>0009</v>
          </cell>
          <cell r="C125" t="str">
            <v>102</v>
          </cell>
          <cell r="D125" t="str">
            <v xml:space="preserve"> staff housing subsidy</v>
          </cell>
          <cell r="E125">
            <v>4000</v>
          </cell>
          <cell r="F125">
            <v>4000</v>
          </cell>
          <cell r="G125">
            <v>4000</v>
          </cell>
          <cell r="H125">
            <v>4000</v>
          </cell>
          <cell r="I125">
            <v>4000</v>
          </cell>
          <cell r="J125">
            <v>4000</v>
          </cell>
          <cell r="K125">
            <v>4000</v>
          </cell>
          <cell r="L125">
            <v>4000</v>
          </cell>
          <cell r="M125">
            <v>4000</v>
          </cell>
          <cell r="N125">
            <v>4000</v>
          </cell>
          <cell r="O125">
            <v>4000</v>
          </cell>
          <cell r="P125">
            <v>4000</v>
          </cell>
          <cell r="Q125">
            <v>48000</v>
          </cell>
          <cell r="R125">
            <v>2000</v>
          </cell>
          <cell r="AD125">
            <v>2000</v>
          </cell>
          <cell r="BQ125">
            <v>0</v>
          </cell>
          <cell r="BR125">
            <v>50000</v>
          </cell>
        </row>
        <row r="126">
          <cell r="A126">
            <v>2</v>
          </cell>
          <cell r="B126" t="str">
            <v>0009</v>
          </cell>
          <cell r="C126" t="str">
            <v>112</v>
          </cell>
          <cell r="D126" t="str">
            <v xml:space="preserve"> contract labour- production</v>
          </cell>
          <cell r="E126">
            <v>500</v>
          </cell>
          <cell r="F126">
            <v>500</v>
          </cell>
          <cell r="G126">
            <v>500</v>
          </cell>
          <cell r="H126">
            <v>500</v>
          </cell>
          <cell r="I126">
            <v>500</v>
          </cell>
          <cell r="J126">
            <v>500</v>
          </cell>
          <cell r="K126">
            <v>500</v>
          </cell>
          <cell r="L126">
            <v>500</v>
          </cell>
          <cell r="M126">
            <v>500</v>
          </cell>
          <cell r="N126">
            <v>500</v>
          </cell>
          <cell r="O126">
            <v>500</v>
          </cell>
          <cell r="P126">
            <v>500</v>
          </cell>
          <cell r="Q126">
            <v>6000</v>
          </cell>
          <cell r="R126">
            <v>250</v>
          </cell>
          <cell r="AD126">
            <v>250</v>
          </cell>
          <cell r="BQ126">
            <v>0</v>
          </cell>
          <cell r="BR126">
            <v>6250</v>
          </cell>
        </row>
        <row r="127">
          <cell r="A127">
            <v>2</v>
          </cell>
          <cell r="B127" t="str">
            <v>0009</v>
          </cell>
          <cell r="C127" t="str">
            <v>208</v>
          </cell>
          <cell r="D127" t="str">
            <v xml:space="preserve"> computer charges - process control computer</v>
          </cell>
          <cell r="E127">
            <v>2600</v>
          </cell>
          <cell r="F127">
            <v>2600</v>
          </cell>
          <cell r="G127">
            <v>2600</v>
          </cell>
          <cell r="H127">
            <v>2600</v>
          </cell>
          <cell r="I127">
            <v>2600</v>
          </cell>
          <cell r="J127">
            <v>2600</v>
          </cell>
          <cell r="K127">
            <v>2600</v>
          </cell>
          <cell r="L127">
            <v>2600</v>
          </cell>
          <cell r="M127">
            <v>2600</v>
          </cell>
          <cell r="N127">
            <v>2600</v>
          </cell>
          <cell r="O127">
            <v>2600</v>
          </cell>
          <cell r="P127">
            <v>2600</v>
          </cell>
          <cell r="Q127">
            <v>31200</v>
          </cell>
          <cell r="R127">
            <v>1300</v>
          </cell>
          <cell r="AD127">
            <v>1300</v>
          </cell>
          <cell r="BQ127">
            <v>0</v>
          </cell>
          <cell r="BR127">
            <v>32500</v>
          </cell>
        </row>
        <row r="128">
          <cell r="A128">
            <v>2</v>
          </cell>
          <cell r="B128" t="str">
            <v>0009</v>
          </cell>
          <cell r="C128" t="str">
            <v>211</v>
          </cell>
          <cell r="D128" t="str">
            <v xml:space="preserve"> consultants - general</v>
          </cell>
          <cell r="E128">
            <v>500</v>
          </cell>
          <cell r="F128">
            <v>500</v>
          </cell>
          <cell r="G128">
            <v>500</v>
          </cell>
          <cell r="H128">
            <v>500</v>
          </cell>
          <cell r="I128">
            <v>500</v>
          </cell>
          <cell r="J128">
            <v>500</v>
          </cell>
          <cell r="K128">
            <v>500</v>
          </cell>
          <cell r="L128">
            <v>500</v>
          </cell>
          <cell r="M128">
            <v>500</v>
          </cell>
          <cell r="N128">
            <v>500</v>
          </cell>
          <cell r="O128">
            <v>500</v>
          </cell>
          <cell r="P128">
            <v>500</v>
          </cell>
          <cell r="Q128">
            <v>6000</v>
          </cell>
          <cell r="R128">
            <v>250</v>
          </cell>
          <cell r="AD128">
            <v>250</v>
          </cell>
          <cell r="BQ128">
            <v>0</v>
          </cell>
          <cell r="BR128">
            <v>6250</v>
          </cell>
        </row>
        <row r="129">
          <cell r="A129">
            <v>2</v>
          </cell>
          <cell r="B129" t="str">
            <v>0009</v>
          </cell>
          <cell r="C129" t="str">
            <v>215</v>
          </cell>
          <cell r="D129" t="str">
            <v xml:space="preserve"> donations/contributions</v>
          </cell>
          <cell r="E129">
            <v>100</v>
          </cell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1200</v>
          </cell>
          <cell r="R129">
            <v>50</v>
          </cell>
          <cell r="AD129">
            <v>50</v>
          </cell>
          <cell r="BQ129">
            <v>0</v>
          </cell>
          <cell r="BR129">
            <v>1250</v>
          </cell>
        </row>
        <row r="130">
          <cell r="A130">
            <v>2</v>
          </cell>
          <cell r="B130" t="str">
            <v>0009</v>
          </cell>
          <cell r="C130" t="str">
            <v>223</v>
          </cell>
          <cell r="D130" t="str">
            <v xml:space="preserve"> freight unallocated</v>
          </cell>
          <cell r="E130">
            <v>2000</v>
          </cell>
          <cell r="F130">
            <v>2000</v>
          </cell>
          <cell r="G130">
            <v>2000</v>
          </cell>
          <cell r="H130">
            <v>2000</v>
          </cell>
          <cell r="I130">
            <v>2000</v>
          </cell>
          <cell r="J130">
            <v>2000</v>
          </cell>
          <cell r="K130">
            <v>2000</v>
          </cell>
          <cell r="L130">
            <v>2000</v>
          </cell>
          <cell r="M130">
            <v>2000</v>
          </cell>
          <cell r="N130">
            <v>2000</v>
          </cell>
          <cell r="O130">
            <v>2000</v>
          </cell>
          <cell r="P130">
            <v>2000</v>
          </cell>
          <cell r="Q130">
            <v>24000</v>
          </cell>
          <cell r="R130">
            <v>1000</v>
          </cell>
          <cell r="AD130">
            <v>1000</v>
          </cell>
          <cell r="BQ130">
            <v>0</v>
          </cell>
          <cell r="BR130">
            <v>25000</v>
          </cell>
        </row>
        <row r="131">
          <cell r="A131">
            <v>2</v>
          </cell>
          <cell r="B131" t="str">
            <v>0009</v>
          </cell>
          <cell r="C131" t="str">
            <v>241</v>
          </cell>
          <cell r="D131" t="str">
            <v xml:space="preserve"> licences &amp; fees</v>
          </cell>
          <cell r="E131">
            <v>350</v>
          </cell>
          <cell r="F131">
            <v>350</v>
          </cell>
          <cell r="G131">
            <v>350</v>
          </cell>
          <cell r="H131">
            <v>350</v>
          </cell>
          <cell r="I131">
            <v>350</v>
          </cell>
          <cell r="J131">
            <v>350</v>
          </cell>
          <cell r="K131">
            <v>350</v>
          </cell>
          <cell r="L131">
            <v>350</v>
          </cell>
          <cell r="M131">
            <v>350</v>
          </cell>
          <cell r="N131">
            <v>350</v>
          </cell>
          <cell r="O131">
            <v>350</v>
          </cell>
          <cell r="P131">
            <v>350</v>
          </cell>
          <cell r="Q131">
            <v>4200</v>
          </cell>
          <cell r="R131">
            <v>175</v>
          </cell>
          <cell r="AD131">
            <v>175</v>
          </cell>
          <cell r="BQ131">
            <v>0</v>
          </cell>
          <cell r="BR131">
            <v>4375</v>
          </cell>
        </row>
        <row r="132">
          <cell r="A132">
            <v>2</v>
          </cell>
          <cell r="B132" t="str">
            <v>0009</v>
          </cell>
          <cell r="C132" t="str">
            <v>249</v>
          </cell>
          <cell r="D132" t="str">
            <v xml:space="preserve"> printing &amp; stationery</v>
          </cell>
          <cell r="E132">
            <v>150</v>
          </cell>
          <cell r="F132">
            <v>150</v>
          </cell>
          <cell r="G132">
            <v>150</v>
          </cell>
          <cell r="H132">
            <v>150</v>
          </cell>
          <cell r="I132">
            <v>150</v>
          </cell>
          <cell r="J132">
            <v>150</v>
          </cell>
          <cell r="K132">
            <v>150</v>
          </cell>
          <cell r="L132">
            <v>150</v>
          </cell>
          <cell r="M132">
            <v>150</v>
          </cell>
          <cell r="N132">
            <v>150</v>
          </cell>
          <cell r="O132">
            <v>150</v>
          </cell>
          <cell r="P132">
            <v>150</v>
          </cell>
          <cell r="Q132">
            <v>1800</v>
          </cell>
          <cell r="R132">
            <v>75</v>
          </cell>
          <cell r="AD132">
            <v>75</v>
          </cell>
          <cell r="BQ132">
            <v>0</v>
          </cell>
          <cell r="BR132">
            <v>1875</v>
          </cell>
        </row>
        <row r="133">
          <cell r="A133">
            <v>2</v>
          </cell>
          <cell r="B133" t="str">
            <v>0009</v>
          </cell>
          <cell r="C133" t="str">
            <v>255</v>
          </cell>
          <cell r="D133" t="str">
            <v xml:space="preserve"> recruitment &amp; relocation</v>
          </cell>
          <cell r="E133">
            <v>1200</v>
          </cell>
          <cell r="F133">
            <v>1200</v>
          </cell>
          <cell r="G133">
            <v>1200</v>
          </cell>
          <cell r="H133">
            <v>1200</v>
          </cell>
          <cell r="I133">
            <v>1200</v>
          </cell>
          <cell r="J133">
            <v>1200</v>
          </cell>
          <cell r="K133">
            <v>1200</v>
          </cell>
          <cell r="L133">
            <v>1200</v>
          </cell>
          <cell r="M133">
            <v>1200</v>
          </cell>
          <cell r="N133">
            <v>1200</v>
          </cell>
          <cell r="O133">
            <v>1200</v>
          </cell>
          <cell r="P133">
            <v>1200</v>
          </cell>
          <cell r="Q133">
            <v>14400</v>
          </cell>
          <cell r="R133">
            <v>600</v>
          </cell>
          <cell r="AD133">
            <v>600</v>
          </cell>
          <cell r="BQ133">
            <v>0</v>
          </cell>
          <cell r="BR133">
            <v>15000</v>
          </cell>
        </row>
        <row r="134">
          <cell r="A134">
            <v>2</v>
          </cell>
          <cell r="B134" t="str">
            <v>0009</v>
          </cell>
          <cell r="C134" t="str">
            <v>277</v>
          </cell>
          <cell r="D134" t="str">
            <v xml:space="preserve"> tax - FBT</v>
          </cell>
          <cell r="E134">
            <v>4500</v>
          </cell>
          <cell r="F134">
            <v>4500</v>
          </cell>
          <cell r="G134">
            <v>4500</v>
          </cell>
          <cell r="H134">
            <v>4500</v>
          </cell>
          <cell r="I134">
            <v>4500</v>
          </cell>
          <cell r="J134">
            <v>4500</v>
          </cell>
          <cell r="K134">
            <v>4500</v>
          </cell>
          <cell r="L134">
            <v>4500</v>
          </cell>
          <cell r="M134">
            <v>4500</v>
          </cell>
          <cell r="N134">
            <v>4500</v>
          </cell>
          <cell r="O134">
            <v>4500</v>
          </cell>
          <cell r="P134">
            <v>4500</v>
          </cell>
          <cell r="Q134">
            <v>54000</v>
          </cell>
          <cell r="R134">
            <v>2250</v>
          </cell>
          <cell r="AD134">
            <v>2250</v>
          </cell>
          <cell r="BQ134">
            <v>0</v>
          </cell>
          <cell r="BR134">
            <v>56250</v>
          </cell>
        </row>
        <row r="135">
          <cell r="A135">
            <v>2</v>
          </cell>
          <cell r="B135" t="str">
            <v>0009</v>
          </cell>
          <cell r="C135" t="str">
            <v>285</v>
          </cell>
          <cell r="D135" t="str">
            <v xml:space="preserve"> training courses/seminars</v>
          </cell>
          <cell r="E135">
            <v>4600</v>
          </cell>
          <cell r="F135">
            <v>4600</v>
          </cell>
          <cell r="G135">
            <v>4600</v>
          </cell>
          <cell r="H135">
            <v>4600</v>
          </cell>
          <cell r="I135">
            <v>4600</v>
          </cell>
          <cell r="J135">
            <v>4600</v>
          </cell>
          <cell r="K135">
            <v>4600</v>
          </cell>
          <cell r="L135">
            <v>4600</v>
          </cell>
          <cell r="M135">
            <v>4600</v>
          </cell>
          <cell r="N135">
            <v>4600</v>
          </cell>
          <cell r="O135">
            <v>4600</v>
          </cell>
          <cell r="P135">
            <v>4600</v>
          </cell>
          <cell r="Q135">
            <v>55200</v>
          </cell>
          <cell r="R135">
            <v>2300</v>
          </cell>
          <cell r="AD135">
            <v>2300</v>
          </cell>
          <cell r="BQ135">
            <v>0</v>
          </cell>
          <cell r="BR135">
            <v>57500</v>
          </cell>
        </row>
        <row r="136">
          <cell r="A136">
            <v>2</v>
          </cell>
          <cell r="B136" t="str">
            <v>0009</v>
          </cell>
          <cell r="C136" t="str">
            <v>286</v>
          </cell>
          <cell r="D136" t="str">
            <v xml:space="preserve"> travel &amp; accommodation - training</v>
          </cell>
          <cell r="E136">
            <v>3400</v>
          </cell>
          <cell r="F136">
            <v>3400</v>
          </cell>
          <cell r="G136">
            <v>3400</v>
          </cell>
          <cell r="H136">
            <v>3400</v>
          </cell>
          <cell r="I136">
            <v>3400</v>
          </cell>
          <cell r="J136">
            <v>3400</v>
          </cell>
          <cell r="K136">
            <v>3400</v>
          </cell>
          <cell r="L136">
            <v>3400</v>
          </cell>
          <cell r="M136">
            <v>3400</v>
          </cell>
          <cell r="N136">
            <v>3400</v>
          </cell>
          <cell r="O136">
            <v>3400</v>
          </cell>
          <cell r="P136">
            <v>3400</v>
          </cell>
          <cell r="Q136">
            <v>40800</v>
          </cell>
          <cell r="R136">
            <v>1700</v>
          </cell>
          <cell r="AD136">
            <v>1700</v>
          </cell>
          <cell r="BQ136">
            <v>0</v>
          </cell>
          <cell r="BR136">
            <v>42500</v>
          </cell>
        </row>
        <row r="137">
          <cell r="A137">
            <v>2</v>
          </cell>
          <cell r="B137" t="str">
            <v>0009</v>
          </cell>
          <cell r="C137" t="str">
            <v>289</v>
          </cell>
          <cell r="D137" t="str">
            <v xml:space="preserve"> travel &amp; accommodation - general</v>
          </cell>
          <cell r="E137">
            <v>800</v>
          </cell>
          <cell r="F137">
            <v>800</v>
          </cell>
          <cell r="G137">
            <v>800</v>
          </cell>
          <cell r="H137">
            <v>800</v>
          </cell>
          <cell r="I137">
            <v>800</v>
          </cell>
          <cell r="J137">
            <v>800</v>
          </cell>
          <cell r="K137">
            <v>800</v>
          </cell>
          <cell r="L137">
            <v>800</v>
          </cell>
          <cell r="M137">
            <v>800</v>
          </cell>
          <cell r="N137">
            <v>800</v>
          </cell>
          <cell r="O137">
            <v>800</v>
          </cell>
          <cell r="P137">
            <v>800</v>
          </cell>
          <cell r="Q137">
            <v>9600</v>
          </cell>
          <cell r="R137">
            <v>400</v>
          </cell>
          <cell r="AD137">
            <v>400</v>
          </cell>
          <cell r="BQ137">
            <v>0</v>
          </cell>
          <cell r="BR137">
            <v>10000</v>
          </cell>
        </row>
        <row r="138">
          <cell r="A138">
            <v>2</v>
          </cell>
          <cell r="B138" t="str">
            <v>0009</v>
          </cell>
          <cell r="C138" t="str">
            <v>291</v>
          </cell>
          <cell r="D138" t="str">
            <v xml:space="preserve"> vehicle hire</v>
          </cell>
          <cell r="E138">
            <v>500</v>
          </cell>
          <cell r="F138">
            <v>500</v>
          </cell>
          <cell r="G138">
            <v>500</v>
          </cell>
          <cell r="H138">
            <v>500</v>
          </cell>
          <cell r="I138">
            <v>500</v>
          </cell>
          <cell r="J138">
            <v>500</v>
          </cell>
          <cell r="K138">
            <v>500</v>
          </cell>
          <cell r="L138">
            <v>500</v>
          </cell>
          <cell r="M138">
            <v>500</v>
          </cell>
          <cell r="N138">
            <v>500</v>
          </cell>
          <cell r="O138">
            <v>500</v>
          </cell>
          <cell r="P138">
            <v>500</v>
          </cell>
          <cell r="Q138">
            <v>6000</v>
          </cell>
          <cell r="R138">
            <v>250</v>
          </cell>
          <cell r="AD138">
            <v>250</v>
          </cell>
          <cell r="BQ138">
            <v>0</v>
          </cell>
          <cell r="BR138">
            <v>6250</v>
          </cell>
        </row>
        <row r="139">
          <cell r="A139">
            <v>2</v>
          </cell>
          <cell r="B139" t="str">
            <v>0009</v>
          </cell>
          <cell r="C139" t="str">
            <v>313</v>
          </cell>
          <cell r="D139" t="str">
            <v xml:space="preserve"> diesel</v>
          </cell>
          <cell r="E139">
            <v>500</v>
          </cell>
          <cell r="F139">
            <v>500</v>
          </cell>
          <cell r="G139">
            <v>500</v>
          </cell>
          <cell r="H139">
            <v>500</v>
          </cell>
          <cell r="I139">
            <v>500</v>
          </cell>
          <cell r="J139">
            <v>500</v>
          </cell>
          <cell r="K139">
            <v>500</v>
          </cell>
          <cell r="L139">
            <v>400</v>
          </cell>
          <cell r="M139">
            <v>500</v>
          </cell>
          <cell r="N139">
            <v>500</v>
          </cell>
          <cell r="O139">
            <v>500</v>
          </cell>
          <cell r="P139">
            <v>500</v>
          </cell>
          <cell r="Q139">
            <v>5900</v>
          </cell>
          <cell r="R139">
            <v>200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200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Q139">
            <v>0</v>
          </cell>
          <cell r="BR139">
            <v>6100</v>
          </cell>
        </row>
        <row r="140">
          <cell r="A140">
            <v>2</v>
          </cell>
          <cell r="B140" t="str">
            <v>0009</v>
          </cell>
          <cell r="C140" t="str">
            <v>319</v>
          </cell>
          <cell r="D140" t="str">
            <v xml:space="preserve"> first aid/safety equipment</v>
          </cell>
          <cell r="E140">
            <v>100</v>
          </cell>
          <cell r="F140">
            <v>100</v>
          </cell>
          <cell r="G140">
            <v>100</v>
          </cell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1200</v>
          </cell>
          <cell r="R140">
            <v>50</v>
          </cell>
          <cell r="AD140">
            <v>50</v>
          </cell>
          <cell r="AQ140">
            <v>0</v>
          </cell>
          <cell r="BD140">
            <v>0</v>
          </cell>
          <cell r="BQ140">
            <v>0</v>
          </cell>
          <cell r="BR140">
            <v>1250</v>
          </cell>
        </row>
        <row r="141">
          <cell r="A141">
            <v>2</v>
          </cell>
          <cell r="B141" t="str">
            <v>0009</v>
          </cell>
          <cell r="C141" t="str">
            <v>344</v>
          </cell>
          <cell r="D141" t="str">
            <v xml:space="preserve"> office equipment</v>
          </cell>
          <cell r="E141">
            <v>150</v>
          </cell>
          <cell r="F141">
            <v>150</v>
          </cell>
          <cell r="G141">
            <v>150</v>
          </cell>
          <cell r="H141">
            <v>150</v>
          </cell>
          <cell r="I141">
            <v>150</v>
          </cell>
          <cell r="J141">
            <v>150</v>
          </cell>
          <cell r="K141">
            <v>150</v>
          </cell>
          <cell r="L141">
            <v>150</v>
          </cell>
          <cell r="M141">
            <v>150</v>
          </cell>
          <cell r="N141">
            <v>150</v>
          </cell>
          <cell r="O141">
            <v>150</v>
          </cell>
          <cell r="P141">
            <v>150</v>
          </cell>
          <cell r="Q141">
            <v>1800</v>
          </cell>
          <cell r="R141">
            <v>75</v>
          </cell>
          <cell r="AD141">
            <v>75</v>
          </cell>
          <cell r="AQ141">
            <v>0</v>
          </cell>
          <cell r="BD141">
            <v>0</v>
          </cell>
          <cell r="BQ141">
            <v>0</v>
          </cell>
          <cell r="BR141">
            <v>1875</v>
          </cell>
        </row>
        <row r="142">
          <cell r="A142">
            <v>2</v>
          </cell>
          <cell r="B142" t="str">
            <v>0009</v>
          </cell>
          <cell r="C142" t="str">
            <v>345</v>
          </cell>
          <cell r="D142" t="str">
            <v xml:space="preserve"> petrol</v>
          </cell>
          <cell r="E142">
            <v>1100</v>
          </cell>
          <cell r="F142">
            <v>1100</v>
          </cell>
          <cell r="G142">
            <v>1100</v>
          </cell>
          <cell r="H142">
            <v>1100</v>
          </cell>
          <cell r="I142">
            <v>1100</v>
          </cell>
          <cell r="J142">
            <v>1100</v>
          </cell>
          <cell r="K142">
            <v>1100</v>
          </cell>
          <cell r="L142">
            <v>1100</v>
          </cell>
          <cell r="M142">
            <v>1100</v>
          </cell>
          <cell r="N142">
            <v>1100</v>
          </cell>
          <cell r="O142">
            <v>1100</v>
          </cell>
          <cell r="P142">
            <v>1100</v>
          </cell>
          <cell r="Q142">
            <v>13200</v>
          </cell>
          <cell r="R142">
            <v>550</v>
          </cell>
          <cell r="AD142">
            <v>550</v>
          </cell>
          <cell r="AQ142">
            <v>0</v>
          </cell>
          <cell r="BD142">
            <v>0</v>
          </cell>
          <cell r="BQ142">
            <v>0</v>
          </cell>
          <cell r="BR142">
            <v>13750</v>
          </cell>
        </row>
        <row r="143">
          <cell r="A143">
            <v>2</v>
          </cell>
          <cell r="B143" t="str">
            <v>0009</v>
          </cell>
          <cell r="C143" t="str">
            <v>342</v>
          </cell>
          <cell r="D143" t="str">
            <v xml:space="preserve"> consumables - general</v>
          </cell>
          <cell r="E143">
            <v>200</v>
          </cell>
          <cell r="F143">
            <v>200</v>
          </cell>
          <cell r="G143">
            <v>200</v>
          </cell>
          <cell r="H143">
            <v>200</v>
          </cell>
          <cell r="I143">
            <v>200</v>
          </cell>
          <cell r="J143">
            <v>200</v>
          </cell>
          <cell r="K143">
            <v>200</v>
          </cell>
          <cell r="L143">
            <v>200</v>
          </cell>
          <cell r="M143">
            <v>200</v>
          </cell>
          <cell r="N143">
            <v>200</v>
          </cell>
          <cell r="O143">
            <v>200</v>
          </cell>
          <cell r="P143">
            <v>200</v>
          </cell>
          <cell r="Q143">
            <v>2400</v>
          </cell>
          <cell r="R143">
            <v>100</v>
          </cell>
          <cell r="AD143">
            <v>100</v>
          </cell>
          <cell r="AQ143">
            <v>0</v>
          </cell>
          <cell r="BD143">
            <v>0</v>
          </cell>
          <cell r="BQ143">
            <v>0</v>
          </cell>
          <cell r="BR143">
            <v>2500</v>
          </cell>
        </row>
        <row r="144">
          <cell r="A144">
            <v>2</v>
          </cell>
          <cell r="B144" t="str">
            <v>0009</v>
          </cell>
          <cell r="C144" t="str">
            <v>351</v>
          </cell>
          <cell r="D144" t="str">
            <v xml:space="preserve"> protective clothing</v>
          </cell>
          <cell r="E144">
            <v>2000</v>
          </cell>
          <cell r="F144">
            <v>2000</v>
          </cell>
          <cell r="G144">
            <v>2000</v>
          </cell>
          <cell r="H144">
            <v>2000</v>
          </cell>
          <cell r="I144">
            <v>2000</v>
          </cell>
          <cell r="J144">
            <v>2000</v>
          </cell>
          <cell r="K144">
            <v>2000</v>
          </cell>
          <cell r="L144">
            <v>2000</v>
          </cell>
          <cell r="M144">
            <v>2000</v>
          </cell>
          <cell r="N144">
            <v>2000</v>
          </cell>
          <cell r="O144">
            <v>2000</v>
          </cell>
          <cell r="P144">
            <v>2000</v>
          </cell>
          <cell r="Q144">
            <v>24000</v>
          </cell>
          <cell r="R144">
            <v>1000</v>
          </cell>
          <cell r="AD144">
            <v>1000</v>
          </cell>
          <cell r="AQ144">
            <v>0</v>
          </cell>
          <cell r="BD144">
            <v>0</v>
          </cell>
          <cell r="BQ144">
            <v>0</v>
          </cell>
          <cell r="BR144">
            <v>25000</v>
          </cell>
        </row>
        <row r="145">
          <cell r="A145">
            <v>2</v>
          </cell>
          <cell r="B145" t="str">
            <v>0009</v>
          </cell>
          <cell r="C145" t="str">
            <v>000</v>
          </cell>
          <cell r="D145" t="str">
            <v>Management and Supervision subtotal</v>
          </cell>
          <cell r="E145">
            <v>86350</v>
          </cell>
          <cell r="F145">
            <v>86350</v>
          </cell>
          <cell r="G145">
            <v>86350</v>
          </cell>
          <cell r="H145">
            <v>86350</v>
          </cell>
          <cell r="I145">
            <v>86350</v>
          </cell>
          <cell r="J145">
            <v>86350</v>
          </cell>
          <cell r="K145">
            <v>86350</v>
          </cell>
          <cell r="L145">
            <v>86250</v>
          </cell>
          <cell r="M145">
            <v>86350</v>
          </cell>
          <cell r="N145">
            <v>86350</v>
          </cell>
          <cell r="O145">
            <v>86350</v>
          </cell>
          <cell r="P145">
            <v>86350</v>
          </cell>
          <cell r="Q145">
            <v>1036100</v>
          </cell>
          <cell r="R145">
            <v>43125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43125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1079225</v>
          </cell>
        </row>
        <row r="147">
          <cell r="A147">
            <v>2</v>
          </cell>
          <cell r="B147" t="str">
            <v>0010</v>
          </cell>
          <cell r="C147" t="str">
            <v>000</v>
          </cell>
          <cell r="D147" t="str">
            <v xml:space="preserve">Laboratory Services </v>
          </cell>
        </row>
        <row r="148">
          <cell r="A148">
            <v>2</v>
          </cell>
          <cell r="B148" t="str">
            <v>0010</v>
          </cell>
          <cell r="C148" t="str">
            <v>101</v>
          </cell>
          <cell r="D148" t="str">
            <v xml:space="preserve"> salaries</v>
          </cell>
          <cell r="E148">
            <v>4800</v>
          </cell>
          <cell r="F148">
            <v>4800</v>
          </cell>
          <cell r="G148">
            <v>4800</v>
          </cell>
          <cell r="H148">
            <v>4800</v>
          </cell>
          <cell r="I148">
            <v>4800</v>
          </cell>
          <cell r="J148">
            <v>4800</v>
          </cell>
          <cell r="K148">
            <v>4800</v>
          </cell>
          <cell r="L148">
            <v>4800</v>
          </cell>
          <cell r="M148">
            <v>4800</v>
          </cell>
          <cell r="N148">
            <v>4800</v>
          </cell>
          <cell r="O148">
            <v>4800</v>
          </cell>
          <cell r="P148">
            <v>4800</v>
          </cell>
          <cell r="Q148">
            <v>57600</v>
          </cell>
          <cell r="R148">
            <v>2400</v>
          </cell>
          <cell r="AD148">
            <v>2400</v>
          </cell>
          <cell r="AQ148">
            <v>0</v>
          </cell>
          <cell r="BD148">
            <v>0</v>
          </cell>
          <cell r="BQ148">
            <v>0</v>
          </cell>
          <cell r="BR148">
            <v>60000</v>
          </cell>
        </row>
        <row r="149">
          <cell r="A149">
            <v>2</v>
          </cell>
          <cell r="B149" t="str">
            <v>0010</v>
          </cell>
          <cell r="C149" t="str">
            <v>102</v>
          </cell>
          <cell r="D149" t="str">
            <v xml:space="preserve"> staff housing subsidy</v>
          </cell>
          <cell r="E149">
            <v>400</v>
          </cell>
          <cell r="F149">
            <v>400</v>
          </cell>
          <cell r="G149">
            <v>400</v>
          </cell>
          <cell r="H149">
            <v>400</v>
          </cell>
          <cell r="I149">
            <v>400</v>
          </cell>
          <cell r="J149">
            <v>400</v>
          </cell>
          <cell r="K149">
            <v>400</v>
          </cell>
          <cell r="L149">
            <v>400</v>
          </cell>
          <cell r="M149">
            <v>400</v>
          </cell>
          <cell r="N149">
            <v>400</v>
          </cell>
          <cell r="O149">
            <v>400</v>
          </cell>
          <cell r="P149">
            <v>400</v>
          </cell>
          <cell r="Q149">
            <v>4800</v>
          </cell>
          <cell r="R149">
            <v>200</v>
          </cell>
          <cell r="AD149">
            <v>200</v>
          </cell>
          <cell r="AQ149">
            <v>0</v>
          </cell>
          <cell r="BD149">
            <v>0</v>
          </cell>
          <cell r="BQ149">
            <v>0</v>
          </cell>
          <cell r="BR149">
            <v>5000</v>
          </cell>
        </row>
        <row r="150">
          <cell r="A150">
            <v>2</v>
          </cell>
          <cell r="B150" t="str">
            <v>0010</v>
          </cell>
          <cell r="C150" t="str">
            <v>106</v>
          </cell>
          <cell r="D150" t="str">
            <v xml:space="preserve"> wages ord time</v>
          </cell>
          <cell r="E150">
            <v>5300</v>
          </cell>
          <cell r="F150">
            <v>5300</v>
          </cell>
          <cell r="G150">
            <v>5300</v>
          </cell>
          <cell r="H150">
            <v>5300</v>
          </cell>
          <cell r="I150">
            <v>5300</v>
          </cell>
          <cell r="J150">
            <v>5300</v>
          </cell>
          <cell r="K150">
            <v>5300</v>
          </cell>
          <cell r="L150">
            <v>5300</v>
          </cell>
          <cell r="M150">
            <v>5300</v>
          </cell>
          <cell r="N150">
            <v>5300</v>
          </cell>
          <cell r="O150">
            <v>5300</v>
          </cell>
          <cell r="P150">
            <v>5300</v>
          </cell>
          <cell r="Q150">
            <v>63600</v>
          </cell>
          <cell r="R150">
            <v>2650</v>
          </cell>
          <cell r="AD150">
            <v>2650</v>
          </cell>
          <cell r="AQ150">
            <v>0</v>
          </cell>
          <cell r="BD150">
            <v>0</v>
          </cell>
          <cell r="BQ150">
            <v>0</v>
          </cell>
          <cell r="BR150">
            <v>66250</v>
          </cell>
        </row>
        <row r="151">
          <cell r="A151">
            <v>2</v>
          </cell>
          <cell r="B151" t="str">
            <v>0010</v>
          </cell>
          <cell r="C151" t="str">
            <v>107</v>
          </cell>
          <cell r="D151" t="str">
            <v xml:space="preserve"> wages overtime</v>
          </cell>
          <cell r="E151">
            <v>7300</v>
          </cell>
          <cell r="F151">
            <v>2100</v>
          </cell>
          <cell r="G151">
            <v>2100</v>
          </cell>
          <cell r="H151">
            <v>2100</v>
          </cell>
          <cell r="I151">
            <v>2100</v>
          </cell>
          <cell r="J151">
            <v>7300</v>
          </cell>
          <cell r="K151">
            <v>7300</v>
          </cell>
          <cell r="L151">
            <v>7300</v>
          </cell>
          <cell r="M151">
            <v>2100</v>
          </cell>
          <cell r="N151">
            <v>2100</v>
          </cell>
          <cell r="O151">
            <v>2100</v>
          </cell>
          <cell r="P151">
            <v>2100</v>
          </cell>
          <cell r="Q151">
            <v>46000</v>
          </cell>
          <cell r="R151">
            <v>1050</v>
          </cell>
          <cell r="AD151">
            <v>1050</v>
          </cell>
          <cell r="AQ151">
            <v>0</v>
          </cell>
          <cell r="BD151">
            <v>0</v>
          </cell>
          <cell r="BQ151">
            <v>0</v>
          </cell>
          <cell r="BR151">
            <v>47050</v>
          </cell>
        </row>
        <row r="152">
          <cell r="A152">
            <v>2</v>
          </cell>
          <cell r="B152" t="str">
            <v>0010</v>
          </cell>
          <cell r="C152" t="str">
            <v>112</v>
          </cell>
          <cell r="D152" t="str">
            <v xml:space="preserve"> contract labour</v>
          </cell>
          <cell r="E152">
            <v>500</v>
          </cell>
          <cell r="F152">
            <v>500</v>
          </cell>
          <cell r="G152">
            <v>500</v>
          </cell>
          <cell r="H152">
            <v>500</v>
          </cell>
          <cell r="I152">
            <v>500</v>
          </cell>
          <cell r="J152">
            <v>500</v>
          </cell>
          <cell r="K152">
            <v>500</v>
          </cell>
          <cell r="L152">
            <v>500</v>
          </cell>
          <cell r="M152">
            <v>500</v>
          </cell>
          <cell r="N152">
            <v>500</v>
          </cell>
          <cell r="O152">
            <v>500</v>
          </cell>
          <cell r="P152">
            <v>500</v>
          </cell>
          <cell r="Q152">
            <v>6000</v>
          </cell>
          <cell r="R152">
            <v>250</v>
          </cell>
          <cell r="AD152">
            <v>250</v>
          </cell>
          <cell r="AQ152">
            <v>0</v>
          </cell>
          <cell r="BD152">
            <v>0</v>
          </cell>
          <cell r="BQ152">
            <v>0</v>
          </cell>
          <cell r="BR152">
            <v>6250</v>
          </cell>
        </row>
        <row r="153">
          <cell r="A153">
            <v>2</v>
          </cell>
          <cell r="B153" t="str">
            <v>0010</v>
          </cell>
          <cell r="C153" t="str">
            <v>229</v>
          </cell>
          <cell r="D153" t="str">
            <v xml:space="preserve"> lab services - general</v>
          </cell>
          <cell r="E153">
            <v>1500</v>
          </cell>
          <cell r="F153">
            <v>1500</v>
          </cell>
          <cell r="G153">
            <v>1500</v>
          </cell>
          <cell r="H153">
            <v>1500</v>
          </cell>
          <cell r="I153">
            <v>1500</v>
          </cell>
          <cell r="J153">
            <v>1500</v>
          </cell>
          <cell r="K153">
            <v>1500</v>
          </cell>
          <cell r="L153">
            <v>1500</v>
          </cell>
          <cell r="M153">
            <v>1500</v>
          </cell>
          <cell r="N153">
            <v>1500</v>
          </cell>
          <cell r="O153">
            <v>1500</v>
          </cell>
          <cell r="P153">
            <v>1500</v>
          </cell>
          <cell r="Q153">
            <v>18000</v>
          </cell>
          <cell r="R153">
            <v>750</v>
          </cell>
          <cell r="AD153">
            <v>750</v>
          </cell>
          <cell r="AQ153">
            <v>0</v>
          </cell>
          <cell r="BD153">
            <v>0</v>
          </cell>
          <cell r="BQ153">
            <v>0</v>
          </cell>
          <cell r="BR153">
            <v>18750</v>
          </cell>
        </row>
        <row r="154">
          <cell r="A154">
            <v>2</v>
          </cell>
          <cell r="B154" t="str">
            <v>0010</v>
          </cell>
          <cell r="C154" t="str">
            <v>230</v>
          </cell>
          <cell r="D154" t="str">
            <v xml:space="preserve"> lab services - check assays</v>
          </cell>
          <cell r="E154">
            <v>200</v>
          </cell>
          <cell r="F154">
            <v>200</v>
          </cell>
          <cell r="G154">
            <v>200</v>
          </cell>
          <cell r="H154">
            <v>200</v>
          </cell>
          <cell r="I154">
            <v>200</v>
          </cell>
          <cell r="J154">
            <v>200</v>
          </cell>
          <cell r="K154">
            <v>200</v>
          </cell>
          <cell r="L154">
            <v>200</v>
          </cell>
          <cell r="M154">
            <v>200</v>
          </cell>
          <cell r="N154">
            <v>200</v>
          </cell>
          <cell r="O154">
            <v>200</v>
          </cell>
          <cell r="P154">
            <v>200</v>
          </cell>
          <cell r="Q154">
            <v>2400</v>
          </cell>
          <cell r="R154">
            <v>100</v>
          </cell>
          <cell r="AD154">
            <v>100</v>
          </cell>
          <cell r="AQ154">
            <v>0</v>
          </cell>
          <cell r="BD154">
            <v>0</v>
          </cell>
          <cell r="BQ154">
            <v>0</v>
          </cell>
          <cell r="BR154">
            <v>2500</v>
          </cell>
        </row>
        <row r="155">
          <cell r="A155">
            <v>2</v>
          </cell>
          <cell r="B155" t="str">
            <v>0010</v>
          </cell>
          <cell r="C155" t="str">
            <v>231</v>
          </cell>
          <cell r="D155" t="str">
            <v xml:space="preserve"> lab services - testwork</v>
          </cell>
          <cell r="E155">
            <v>200</v>
          </cell>
          <cell r="F155">
            <v>200</v>
          </cell>
          <cell r="G155">
            <v>200</v>
          </cell>
          <cell r="H155">
            <v>200</v>
          </cell>
          <cell r="I155">
            <v>200</v>
          </cell>
          <cell r="J155">
            <v>200</v>
          </cell>
          <cell r="K155">
            <v>200</v>
          </cell>
          <cell r="L155">
            <v>200</v>
          </cell>
          <cell r="M155">
            <v>200</v>
          </cell>
          <cell r="N155">
            <v>200</v>
          </cell>
          <cell r="O155">
            <v>200</v>
          </cell>
          <cell r="P155">
            <v>200</v>
          </cell>
          <cell r="Q155">
            <v>2400</v>
          </cell>
          <cell r="R155">
            <v>100</v>
          </cell>
          <cell r="AD155">
            <v>100</v>
          </cell>
          <cell r="AQ155">
            <v>0</v>
          </cell>
          <cell r="BD155">
            <v>0</v>
          </cell>
          <cell r="BQ155">
            <v>0</v>
          </cell>
          <cell r="BR155">
            <v>2500</v>
          </cell>
        </row>
        <row r="156">
          <cell r="A156">
            <v>2</v>
          </cell>
          <cell r="B156" t="str">
            <v>0010</v>
          </cell>
          <cell r="C156" t="str">
            <v>319</v>
          </cell>
          <cell r="D156" t="str">
            <v xml:space="preserve"> first aid/safety equipment</v>
          </cell>
          <cell r="E156">
            <v>200</v>
          </cell>
          <cell r="F156">
            <v>200</v>
          </cell>
          <cell r="G156">
            <v>200</v>
          </cell>
          <cell r="H156">
            <v>200</v>
          </cell>
          <cell r="I156">
            <v>200</v>
          </cell>
          <cell r="J156">
            <v>200</v>
          </cell>
          <cell r="K156">
            <v>200</v>
          </cell>
          <cell r="L156">
            <v>200</v>
          </cell>
          <cell r="M156">
            <v>200</v>
          </cell>
          <cell r="N156">
            <v>200</v>
          </cell>
          <cell r="O156">
            <v>200</v>
          </cell>
          <cell r="P156">
            <v>200</v>
          </cell>
          <cell r="Q156">
            <v>2400</v>
          </cell>
          <cell r="R156">
            <v>100</v>
          </cell>
          <cell r="AD156">
            <v>100</v>
          </cell>
          <cell r="AQ156">
            <v>0</v>
          </cell>
          <cell r="BD156">
            <v>0</v>
          </cell>
          <cell r="BQ156">
            <v>0</v>
          </cell>
          <cell r="BR156">
            <v>2500</v>
          </cell>
        </row>
        <row r="157">
          <cell r="A157">
            <v>2</v>
          </cell>
          <cell r="B157" t="str">
            <v>0010</v>
          </cell>
          <cell r="C157" t="str">
            <v>331</v>
          </cell>
          <cell r="D157" t="str">
            <v xml:space="preserve"> laboratory supplies</v>
          </cell>
          <cell r="E157">
            <v>1400</v>
          </cell>
          <cell r="F157">
            <v>1400</v>
          </cell>
          <cell r="G157">
            <v>1400</v>
          </cell>
          <cell r="H157">
            <v>1400</v>
          </cell>
          <cell r="I157">
            <v>1400</v>
          </cell>
          <cell r="J157">
            <v>1400</v>
          </cell>
          <cell r="K157">
            <v>1400</v>
          </cell>
          <cell r="L157">
            <v>1400</v>
          </cell>
          <cell r="M157">
            <v>1400</v>
          </cell>
          <cell r="N157">
            <v>1400</v>
          </cell>
          <cell r="O157">
            <v>1400</v>
          </cell>
          <cell r="P157">
            <v>1400</v>
          </cell>
          <cell r="Q157">
            <v>16800</v>
          </cell>
          <cell r="R157">
            <v>700</v>
          </cell>
          <cell r="AD157">
            <v>700</v>
          </cell>
          <cell r="AQ157">
            <v>0</v>
          </cell>
          <cell r="BD157">
            <v>0</v>
          </cell>
          <cell r="BQ157">
            <v>0</v>
          </cell>
          <cell r="BR157">
            <v>17500</v>
          </cell>
        </row>
        <row r="158">
          <cell r="A158">
            <v>2</v>
          </cell>
          <cell r="B158" t="str">
            <v>0010</v>
          </cell>
          <cell r="C158" t="str">
            <v>342</v>
          </cell>
          <cell r="D158" t="str">
            <v xml:space="preserve"> consumables - general</v>
          </cell>
          <cell r="E158">
            <v>400</v>
          </cell>
          <cell r="F158">
            <v>400</v>
          </cell>
          <cell r="G158">
            <v>400</v>
          </cell>
          <cell r="H158">
            <v>400</v>
          </cell>
          <cell r="I158">
            <v>400</v>
          </cell>
          <cell r="J158">
            <v>400</v>
          </cell>
          <cell r="K158">
            <v>400</v>
          </cell>
          <cell r="L158">
            <v>400</v>
          </cell>
          <cell r="M158">
            <v>400</v>
          </cell>
          <cell r="N158">
            <v>400</v>
          </cell>
          <cell r="O158">
            <v>400</v>
          </cell>
          <cell r="P158">
            <v>400</v>
          </cell>
          <cell r="Q158">
            <v>4800</v>
          </cell>
          <cell r="R158">
            <v>200</v>
          </cell>
          <cell r="AD158">
            <v>200</v>
          </cell>
          <cell r="AQ158">
            <v>0</v>
          </cell>
          <cell r="BD158">
            <v>0</v>
          </cell>
          <cell r="BQ158">
            <v>0</v>
          </cell>
          <cell r="BR158">
            <v>5000</v>
          </cell>
        </row>
        <row r="159">
          <cell r="A159">
            <v>2</v>
          </cell>
          <cell r="B159" t="str">
            <v>0010</v>
          </cell>
          <cell r="C159" t="str">
            <v>432</v>
          </cell>
          <cell r="D159" t="str">
            <v xml:space="preserve"> consumables - mechanical</v>
          </cell>
          <cell r="E159">
            <v>200</v>
          </cell>
          <cell r="F159">
            <v>200</v>
          </cell>
          <cell r="G159">
            <v>200</v>
          </cell>
          <cell r="H159">
            <v>200</v>
          </cell>
          <cell r="I159">
            <v>200</v>
          </cell>
          <cell r="J159">
            <v>200</v>
          </cell>
          <cell r="K159">
            <v>200</v>
          </cell>
          <cell r="L159">
            <v>200</v>
          </cell>
          <cell r="M159">
            <v>200</v>
          </cell>
          <cell r="N159">
            <v>200</v>
          </cell>
          <cell r="O159">
            <v>200</v>
          </cell>
          <cell r="P159">
            <v>200</v>
          </cell>
          <cell r="Q159">
            <v>2400</v>
          </cell>
          <cell r="R159">
            <v>100</v>
          </cell>
          <cell r="AD159">
            <v>100</v>
          </cell>
          <cell r="AQ159">
            <v>0</v>
          </cell>
          <cell r="BD159">
            <v>0</v>
          </cell>
          <cell r="BQ159">
            <v>0</v>
          </cell>
          <cell r="BR159">
            <v>2500</v>
          </cell>
        </row>
        <row r="160">
          <cell r="A160">
            <v>2</v>
          </cell>
          <cell r="B160" t="str">
            <v>0010</v>
          </cell>
          <cell r="C160" t="str">
            <v>360</v>
          </cell>
          <cell r="D160" t="str">
            <v xml:space="preserve"> ETP sludge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AD160">
            <v>0</v>
          </cell>
          <cell r="AQ160">
            <v>0</v>
          </cell>
          <cell r="BD160">
            <v>0</v>
          </cell>
          <cell r="BQ160">
            <v>0</v>
          </cell>
          <cell r="BR160">
            <v>0</v>
          </cell>
        </row>
        <row r="161">
          <cell r="A161">
            <v>2</v>
          </cell>
          <cell r="B161" t="str">
            <v>0010</v>
          </cell>
          <cell r="C161" t="str">
            <v>000</v>
          </cell>
          <cell r="D161" t="str">
            <v>Laboratory Services subtotal</v>
          </cell>
          <cell r="E161">
            <v>22400</v>
          </cell>
          <cell r="F161">
            <v>17200</v>
          </cell>
          <cell r="G161">
            <v>17200</v>
          </cell>
          <cell r="H161">
            <v>17200</v>
          </cell>
          <cell r="I161">
            <v>17200</v>
          </cell>
          <cell r="J161">
            <v>22400</v>
          </cell>
          <cell r="K161">
            <v>22400</v>
          </cell>
          <cell r="L161">
            <v>22400</v>
          </cell>
          <cell r="M161">
            <v>17200</v>
          </cell>
          <cell r="N161">
            <v>17200</v>
          </cell>
          <cell r="O161">
            <v>17200</v>
          </cell>
          <cell r="P161">
            <v>17200</v>
          </cell>
          <cell r="Q161">
            <v>227200</v>
          </cell>
          <cell r="R161">
            <v>8600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8600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235800</v>
          </cell>
        </row>
        <row r="163">
          <cell r="A163" t="str">
            <v>2</v>
          </cell>
          <cell r="B163" t="str">
            <v>0016</v>
          </cell>
          <cell r="C163" t="str">
            <v>000</v>
          </cell>
          <cell r="D163" t="str">
            <v>Environment Protection</v>
          </cell>
        </row>
        <row r="164">
          <cell r="A164" t="str">
            <v>2</v>
          </cell>
          <cell r="B164" t="str">
            <v>0016</v>
          </cell>
          <cell r="C164" t="str">
            <v>101</v>
          </cell>
          <cell r="D164" t="str">
            <v xml:space="preserve"> salaries</v>
          </cell>
          <cell r="E164">
            <v>3700</v>
          </cell>
          <cell r="F164">
            <v>3700</v>
          </cell>
          <cell r="G164">
            <v>3700</v>
          </cell>
          <cell r="H164">
            <v>3700</v>
          </cell>
          <cell r="I164">
            <v>3700</v>
          </cell>
          <cell r="J164">
            <v>3700</v>
          </cell>
          <cell r="K164">
            <v>3700</v>
          </cell>
          <cell r="L164">
            <v>3700</v>
          </cell>
          <cell r="M164">
            <v>3700</v>
          </cell>
          <cell r="N164">
            <v>3700</v>
          </cell>
          <cell r="O164">
            <v>3700</v>
          </cell>
          <cell r="P164">
            <v>3700</v>
          </cell>
          <cell r="Q164">
            <v>44400</v>
          </cell>
          <cell r="R164">
            <v>1850</v>
          </cell>
          <cell r="AD164">
            <v>1850</v>
          </cell>
          <cell r="AQ164">
            <v>0</v>
          </cell>
          <cell r="BD164">
            <v>0</v>
          </cell>
          <cell r="BQ164">
            <v>0</v>
          </cell>
          <cell r="BR164">
            <v>46250</v>
          </cell>
        </row>
        <row r="165">
          <cell r="A165" t="str">
            <v>2</v>
          </cell>
          <cell r="B165" t="str">
            <v>0016</v>
          </cell>
          <cell r="C165" t="str">
            <v>102</v>
          </cell>
          <cell r="D165" t="str">
            <v xml:space="preserve"> staff housing subsidy</v>
          </cell>
          <cell r="E165">
            <v>400</v>
          </cell>
          <cell r="F165">
            <v>400</v>
          </cell>
          <cell r="G165">
            <v>400</v>
          </cell>
          <cell r="H165">
            <v>400</v>
          </cell>
          <cell r="I165">
            <v>400</v>
          </cell>
          <cell r="J165">
            <v>400</v>
          </cell>
          <cell r="K165">
            <v>400</v>
          </cell>
          <cell r="L165">
            <v>400</v>
          </cell>
          <cell r="M165">
            <v>400</v>
          </cell>
          <cell r="N165">
            <v>400</v>
          </cell>
          <cell r="O165">
            <v>400</v>
          </cell>
          <cell r="P165">
            <v>400</v>
          </cell>
          <cell r="Q165">
            <v>4800</v>
          </cell>
          <cell r="R165">
            <v>200</v>
          </cell>
          <cell r="AD165">
            <v>200</v>
          </cell>
          <cell r="AQ165">
            <v>0</v>
          </cell>
          <cell r="BD165">
            <v>0</v>
          </cell>
          <cell r="BQ165">
            <v>0</v>
          </cell>
          <cell r="BR165">
            <v>5000</v>
          </cell>
        </row>
        <row r="166">
          <cell r="A166" t="str">
            <v>2</v>
          </cell>
          <cell r="B166" t="str">
            <v>0016</v>
          </cell>
          <cell r="C166" t="str">
            <v>106</v>
          </cell>
          <cell r="D166" t="str">
            <v xml:space="preserve"> wages ord time</v>
          </cell>
          <cell r="E166">
            <v>3700</v>
          </cell>
          <cell r="F166">
            <v>1100</v>
          </cell>
          <cell r="G166">
            <v>1100</v>
          </cell>
          <cell r="H166">
            <v>1100</v>
          </cell>
          <cell r="I166">
            <v>110</v>
          </cell>
          <cell r="J166">
            <v>3700</v>
          </cell>
          <cell r="K166">
            <v>3700</v>
          </cell>
          <cell r="L166">
            <v>3700</v>
          </cell>
          <cell r="M166">
            <v>1100</v>
          </cell>
          <cell r="N166">
            <v>1100</v>
          </cell>
          <cell r="O166">
            <v>1100</v>
          </cell>
          <cell r="P166">
            <v>1100</v>
          </cell>
          <cell r="Q166">
            <v>22610</v>
          </cell>
          <cell r="R166">
            <v>550</v>
          </cell>
          <cell r="AD166">
            <v>550</v>
          </cell>
          <cell r="AQ166">
            <v>0</v>
          </cell>
          <cell r="BD166">
            <v>0</v>
          </cell>
          <cell r="BQ166">
            <v>0</v>
          </cell>
          <cell r="BR166">
            <v>23160</v>
          </cell>
        </row>
        <row r="167">
          <cell r="A167" t="str">
            <v>2</v>
          </cell>
          <cell r="B167" t="str">
            <v>0016</v>
          </cell>
          <cell r="C167" t="str">
            <v>107</v>
          </cell>
          <cell r="D167" t="str">
            <v xml:space="preserve"> wages overtime</v>
          </cell>
          <cell r="E167">
            <v>5300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5300</v>
          </cell>
          <cell r="K167">
            <v>5300</v>
          </cell>
          <cell r="L167">
            <v>5300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21200</v>
          </cell>
          <cell r="R167">
            <v>0</v>
          </cell>
          <cell r="AD167">
            <v>0</v>
          </cell>
          <cell r="AQ167">
            <v>0</v>
          </cell>
          <cell r="BD167">
            <v>0</v>
          </cell>
          <cell r="BQ167">
            <v>0</v>
          </cell>
          <cell r="BR167">
            <v>21200</v>
          </cell>
        </row>
        <row r="168">
          <cell r="A168" t="str">
            <v>2</v>
          </cell>
          <cell r="B168" t="str">
            <v>0016</v>
          </cell>
          <cell r="C168" t="str">
            <v>112</v>
          </cell>
          <cell r="D168" t="str">
            <v xml:space="preserve"> contract labour - production</v>
          </cell>
          <cell r="E168">
            <v>400</v>
          </cell>
          <cell r="F168">
            <v>400</v>
          </cell>
          <cell r="G168">
            <v>400</v>
          </cell>
          <cell r="H168">
            <v>400</v>
          </cell>
          <cell r="I168">
            <v>400</v>
          </cell>
          <cell r="J168">
            <v>400</v>
          </cell>
          <cell r="K168">
            <v>400</v>
          </cell>
          <cell r="L168">
            <v>400</v>
          </cell>
          <cell r="M168">
            <v>400</v>
          </cell>
          <cell r="N168">
            <v>400</v>
          </cell>
          <cell r="O168">
            <v>400</v>
          </cell>
          <cell r="P168">
            <v>400</v>
          </cell>
          <cell r="Q168">
            <v>4800</v>
          </cell>
          <cell r="R168">
            <v>200</v>
          </cell>
          <cell r="AD168">
            <v>200</v>
          </cell>
          <cell r="AQ168">
            <v>0</v>
          </cell>
          <cell r="BD168">
            <v>0</v>
          </cell>
          <cell r="BQ168">
            <v>0</v>
          </cell>
          <cell r="BR168">
            <v>5000</v>
          </cell>
        </row>
        <row r="169">
          <cell r="A169" t="str">
            <v>2</v>
          </cell>
          <cell r="B169" t="str">
            <v>0016</v>
          </cell>
          <cell r="C169" t="str">
            <v>211</v>
          </cell>
          <cell r="D169" t="str">
            <v xml:space="preserve"> consultants - general</v>
          </cell>
          <cell r="E169">
            <v>500</v>
          </cell>
          <cell r="F169">
            <v>500</v>
          </cell>
          <cell r="G169">
            <v>500</v>
          </cell>
          <cell r="H169">
            <v>500</v>
          </cell>
          <cell r="I169">
            <v>500</v>
          </cell>
          <cell r="J169">
            <v>500</v>
          </cell>
          <cell r="K169">
            <v>500</v>
          </cell>
          <cell r="L169">
            <v>500</v>
          </cell>
          <cell r="M169">
            <v>500</v>
          </cell>
          <cell r="N169">
            <v>500</v>
          </cell>
          <cell r="O169">
            <v>500</v>
          </cell>
          <cell r="P169">
            <v>500</v>
          </cell>
          <cell r="Q169">
            <v>6000</v>
          </cell>
          <cell r="R169">
            <v>250</v>
          </cell>
          <cell r="AD169">
            <v>250</v>
          </cell>
          <cell r="AQ169">
            <v>0</v>
          </cell>
          <cell r="BD169">
            <v>0</v>
          </cell>
          <cell r="BQ169">
            <v>0</v>
          </cell>
          <cell r="BR169">
            <v>6250</v>
          </cell>
        </row>
        <row r="170">
          <cell r="A170" t="str">
            <v>2</v>
          </cell>
          <cell r="B170" t="str">
            <v>0016</v>
          </cell>
          <cell r="C170" t="str">
            <v>215</v>
          </cell>
          <cell r="D170" t="str">
            <v xml:space="preserve"> contributions/donations</v>
          </cell>
          <cell r="E170">
            <v>500</v>
          </cell>
          <cell r="F170">
            <v>500</v>
          </cell>
          <cell r="G170">
            <v>500</v>
          </cell>
          <cell r="H170">
            <v>500</v>
          </cell>
          <cell r="I170">
            <v>500</v>
          </cell>
          <cell r="J170">
            <v>500</v>
          </cell>
          <cell r="K170">
            <v>500</v>
          </cell>
          <cell r="L170">
            <v>500</v>
          </cell>
          <cell r="M170">
            <v>500</v>
          </cell>
          <cell r="N170">
            <v>500</v>
          </cell>
          <cell r="O170">
            <v>500</v>
          </cell>
          <cell r="P170">
            <v>500</v>
          </cell>
          <cell r="Q170">
            <v>6000</v>
          </cell>
          <cell r="R170">
            <v>250</v>
          </cell>
          <cell r="AD170">
            <v>250</v>
          </cell>
          <cell r="AQ170">
            <v>0</v>
          </cell>
          <cell r="BD170">
            <v>0</v>
          </cell>
          <cell r="BQ170">
            <v>0</v>
          </cell>
          <cell r="BR170">
            <v>6250</v>
          </cell>
        </row>
        <row r="171">
          <cell r="A171" t="str">
            <v>2</v>
          </cell>
          <cell r="B171" t="str">
            <v>0016</v>
          </cell>
          <cell r="C171" t="str">
            <v>229</v>
          </cell>
          <cell r="D171" t="str">
            <v xml:space="preserve"> laboratory services -general</v>
          </cell>
          <cell r="E171">
            <v>1200</v>
          </cell>
          <cell r="F171">
            <v>1200</v>
          </cell>
          <cell r="G171">
            <v>5100</v>
          </cell>
          <cell r="H171">
            <v>1200</v>
          </cell>
          <cell r="I171">
            <v>1200</v>
          </cell>
          <cell r="J171">
            <v>5100</v>
          </cell>
          <cell r="K171">
            <v>1200</v>
          </cell>
          <cell r="L171">
            <v>1200</v>
          </cell>
          <cell r="M171">
            <v>5100</v>
          </cell>
          <cell r="N171">
            <v>1200</v>
          </cell>
          <cell r="O171">
            <v>1200</v>
          </cell>
          <cell r="P171">
            <v>5100</v>
          </cell>
          <cell r="Q171">
            <v>30000</v>
          </cell>
          <cell r="R171">
            <v>2550</v>
          </cell>
          <cell r="AD171">
            <v>2550</v>
          </cell>
          <cell r="AQ171">
            <v>0</v>
          </cell>
          <cell r="BD171">
            <v>0</v>
          </cell>
          <cell r="BQ171">
            <v>0</v>
          </cell>
          <cell r="BR171">
            <v>32550</v>
          </cell>
        </row>
        <row r="172">
          <cell r="A172" t="str">
            <v>2</v>
          </cell>
          <cell r="B172" t="str">
            <v>0016</v>
          </cell>
          <cell r="C172" t="str">
            <v>331</v>
          </cell>
          <cell r="D172" t="str">
            <v xml:space="preserve"> laboratory supplies</v>
          </cell>
          <cell r="E172">
            <v>300</v>
          </cell>
          <cell r="F172">
            <v>300</v>
          </cell>
          <cell r="G172">
            <v>300</v>
          </cell>
          <cell r="H172">
            <v>300</v>
          </cell>
          <cell r="I172">
            <v>300</v>
          </cell>
          <cell r="J172">
            <v>300</v>
          </cell>
          <cell r="K172">
            <v>300</v>
          </cell>
          <cell r="L172">
            <v>300</v>
          </cell>
          <cell r="M172">
            <v>300</v>
          </cell>
          <cell r="N172">
            <v>300</v>
          </cell>
          <cell r="O172">
            <v>300</v>
          </cell>
          <cell r="P172">
            <v>300</v>
          </cell>
          <cell r="Q172">
            <v>3600</v>
          </cell>
          <cell r="R172">
            <v>150</v>
          </cell>
          <cell r="AD172">
            <v>150</v>
          </cell>
          <cell r="AQ172">
            <v>0</v>
          </cell>
          <cell r="BD172">
            <v>0</v>
          </cell>
          <cell r="BQ172">
            <v>0</v>
          </cell>
          <cell r="BR172">
            <v>3750</v>
          </cell>
        </row>
        <row r="173">
          <cell r="A173" t="str">
            <v>2</v>
          </cell>
          <cell r="B173" t="str">
            <v>0016</v>
          </cell>
          <cell r="C173" t="str">
            <v>342</v>
          </cell>
          <cell r="D173" t="str">
            <v xml:space="preserve"> consumables - general</v>
          </cell>
          <cell r="E173">
            <v>200</v>
          </cell>
          <cell r="F173">
            <v>200</v>
          </cell>
          <cell r="G173">
            <v>200</v>
          </cell>
          <cell r="H173">
            <v>200</v>
          </cell>
          <cell r="I173">
            <v>200</v>
          </cell>
          <cell r="J173">
            <v>200</v>
          </cell>
          <cell r="K173">
            <v>200</v>
          </cell>
          <cell r="L173">
            <v>200</v>
          </cell>
          <cell r="M173">
            <v>200</v>
          </cell>
          <cell r="N173">
            <v>200</v>
          </cell>
          <cell r="O173">
            <v>200</v>
          </cell>
          <cell r="P173">
            <v>200</v>
          </cell>
          <cell r="Q173">
            <v>2400</v>
          </cell>
          <cell r="R173">
            <v>100</v>
          </cell>
          <cell r="AD173">
            <v>100</v>
          </cell>
          <cell r="AQ173">
            <v>0</v>
          </cell>
          <cell r="BD173">
            <v>0</v>
          </cell>
          <cell r="BQ173">
            <v>0</v>
          </cell>
          <cell r="BR173">
            <v>2500</v>
          </cell>
        </row>
        <row r="174">
          <cell r="A174" t="str">
            <v>2</v>
          </cell>
          <cell r="B174" t="str">
            <v>0016</v>
          </cell>
          <cell r="C174" t="str">
            <v>432</v>
          </cell>
          <cell r="D174" t="str">
            <v xml:space="preserve"> consumables - mechanical</v>
          </cell>
          <cell r="E174">
            <v>600</v>
          </cell>
          <cell r="F174">
            <v>600</v>
          </cell>
          <cell r="G174">
            <v>600</v>
          </cell>
          <cell r="H174">
            <v>600</v>
          </cell>
          <cell r="I174">
            <v>600</v>
          </cell>
          <cell r="J174">
            <v>600</v>
          </cell>
          <cell r="K174">
            <v>600</v>
          </cell>
          <cell r="L174">
            <v>600</v>
          </cell>
          <cell r="M174">
            <v>600</v>
          </cell>
          <cell r="N174">
            <v>600</v>
          </cell>
          <cell r="O174">
            <v>600</v>
          </cell>
          <cell r="P174">
            <v>600</v>
          </cell>
          <cell r="Q174">
            <v>7200</v>
          </cell>
          <cell r="R174">
            <v>300</v>
          </cell>
          <cell r="AD174">
            <v>300</v>
          </cell>
          <cell r="AQ174">
            <v>0</v>
          </cell>
          <cell r="BD174">
            <v>0</v>
          </cell>
          <cell r="BQ174">
            <v>0</v>
          </cell>
          <cell r="BR174">
            <v>7500</v>
          </cell>
        </row>
        <row r="175">
          <cell r="A175" t="str">
            <v>2</v>
          </cell>
          <cell r="B175" t="str">
            <v>0016</v>
          </cell>
          <cell r="C175" t="str">
            <v>000</v>
          </cell>
          <cell r="D175" t="str">
            <v>Environment Protection subtotal</v>
          </cell>
          <cell r="E175">
            <v>16800</v>
          </cell>
          <cell r="F175">
            <v>8900</v>
          </cell>
          <cell r="G175">
            <v>12800</v>
          </cell>
          <cell r="H175">
            <v>8900</v>
          </cell>
          <cell r="I175">
            <v>7910</v>
          </cell>
          <cell r="J175">
            <v>20700</v>
          </cell>
          <cell r="K175">
            <v>16800</v>
          </cell>
          <cell r="L175">
            <v>16800</v>
          </cell>
          <cell r="M175">
            <v>12800</v>
          </cell>
          <cell r="N175">
            <v>8900</v>
          </cell>
          <cell r="O175">
            <v>8900</v>
          </cell>
          <cell r="P175">
            <v>12800</v>
          </cell>
          <cell r="Q175">
            <v>153010</v>
          </cell>
          <cell r="R175">
            <v>6400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6400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159410</v>
          </cell>
        </row>
        <row r="177">
          <cell r="A177" t="str">
            <v>2</v>
          </cell>
          <cell r="B177" t="str">
            <v>0017</v>
          </cell>
          <cell r="C177" t="str">
            <v>000</v>
          </cell>
          <cell r="D177" t="str">
            <v>Stores Obsolescence</v>
          </cell>
        </row>
        <row r="178">
          <cell r="A178" t="str">
            <v>2</v>
          </cell>
          <cell r="B178" t="str">
            <v>0017</v>
          </cell>
          <cell r="C178" t="str">
            <v>998</v>
          </cell>
          <cell r="D178" t="str">
            <v xml:space="preserve"> stores obsolescence</v>
          </cell>
          <cell r="E178">
            <v>50</v>
          </cell>
          <cell r="F178">
            <v>50</v>
          </cell>
          <cell r="G178">
            <v>50</v>
          </cell>
          <cell r="H178">
            <v>50</v>
          </cell>
          <cell r="I178">
            <v>50</v>
          </cell>
          <cell r="J178">
            <v>50</v>
          </cell>
          <cell r="K178">
            <v>50</v>
          </cell>
          <cell r="L178">
            <v>50</v>
          </cell>
          <cell r="M178">
            <v>50</v>
          </cell>
          <cell r="N178">
            <v>50</v>
          </cell>
          <cell r="O178">
            <v>50</v>
          </cell>
          <cell r="P178">
            <v>50</v>
          </cell>
          <cell r="Q178">
            <v>600</v>
          </cell>
          <cell r="R178">
            <v>25</v>
          </cell>
          <cell r="AD178">
            <v>25</v>
          </cell>
          <cell r="AQ178">
            <v>0</v>
          </cell>
          <cell r="BD178">
            <v>0</v>
          </cell>
          <cell r="BQ178">
            <v>0</v>
          </cell>
          <cell r="BR178">
            <v>625</v>
          </cell>
        </row>
        <row r="179">
          <cell r="A179" t="str">
            <v>2</v>
          </cell>
          <cell r="B179" t="str">
            <v>0017</v>
          </cell>
          <cell r="C179" t="str">
            <v>000</v>
          </cell>
          <cell r="D179" t="str">
            <v>Stores Obsolescence</v>
          </cell>
          <cell r="E179">
            <v>50</v>
          </cell>
          <cell r="F179">
            <v>50</v>
          </cell>
          <cell r="G179">
            <v>50</v>
          </cell>
          <cell r="H179">
            <v>50</v>
          </cell>
          <cell r="I179">
            <v>50</v>
          </cell>
          <cell r="J179">
            <v>50</v>
          </cell>
          <cell r="K179">
            <v>50</v>
          </cell>
          <cell r="L179">
            <v>50</v>
          </cell>
          <cell r="M179">
            <v>50</v>
          </cell>
          <cell r="N179">
            <v>50</v>
          </cell>
          <cell r="O179">
            <v>50</v>
          </cell>
          <cell r="P179">
            <v>50</v>
          </cell>
          <cell r="Q179">
            <v>600</v>
          </cell>
          <cell r="R179">
            <v>25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25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625</v>
          </cell>
        </row>
        <row r="181">
          <cell r="A181" t="str">
            <v>2</v>
          </cell>
          <cell r="B181" t="str">
            <v>0018</v>
          </cell>
          <cell r="C181" t="str">
            <v>000</v>
          </cell>
          <cell r="D181" t="str">
            <v xml:space="preserve">Mine Completion </v>
          </cell>
        </row>
        <row r="182">
          <cell r="A182" t="str">
            <v>2</v>
          </cell>
          <cell r="B182" t="str">
            <v>0018</v>
          </cell>
          <cell r="C182" t="str">
            <v>220</v>
          </cell>
          <cell r="D182" t="str">
            <v xml:space="preserve"> earthworks</v>
          </cell>
          <cell r="E182">
            <v>139522</v>
          </cell>
          <cell r="F182">
            <v>139522</v>
          </cell>
          <cell r="G182">
            <v>139522</v>
          </cell>
          <cell r="H182">
            <v>139522</v>
          </cell>
          <cell r="I182">
            <v>139522</v>
          </cell>
          <cell r="J182">
            <v>139522</v>
          </cell>
          <cell r="K182">
            <v>139522</v>
          </cell>
          <cell r="L182">
            <v>139522</v>
          </cell>
          <cell r="M182">
            <v>139522</v>
          </cell>
          <cell r="N182">
            <v>139522</v>
          </cell>
          <cell r="O182">
            <v>139522</v>
          </cell>
          <cell r="P182">
            <v>139522</v>
          </cell>
          <cell r="Q182">
            <v>1674264</v>
          </cell>
          <cell r="R182">
            <v>324433</v>
          </cell>
          <cell r="S182">
            <v>324433</v>
          </cell>
          <cell r="T182">
            <v>324433</v>
          </cell>
          <cell r="U182">
            <v>324433</v>
          </cell>
          <cell r="V182">
            <v>324433</v>
          </cell>
          <cell r="W182">
            <v>324433</v>
          </cell>
          <cell r="X182">
            <v>324433</v>
          </cell>
          <cell r="Y182">
            <v>324433</v>
          </cell>
          <cell r="Z182">
            <v>324433</v>
          </cell>
          <cell r="AA182">
            <v>324433</v>
          </cell>
          <cell r="AB182">
            <v>324433</v>
          </cell>
          <cell r="AC182">
            <v>324433</v>
          </cell>
          <cell r="AD182">
            <v>3893196</v>
          </cell>
          <cell r="AE182">
            <v>70500</v>
          </cell>
          <cell r="AF182">
            <v>70500</v>
          </cell>
          <cell r="AG182">
            <v>70500</v>
          </cell>
          <cell r="AH182">
            <v>70500</v>
          </cell>
          <cell r="AI182">
            <v>70500</v>
          </cell>
          <cell r="AJ182">
            <v>70500</v>
          </cell>
          <cell r="AK182">
            <v>70500</v>
          </cell>
          <cell r="AL182">
            <v>70500</v>
          </cell>
          <cell r="AM182">
            <v>70500</v>
          </cell>
          <cell r="AN182">
            <v>70500</v>
          </cell>
          <cell r="AO182">
            <v>70500</v>
          </cell>
          <cell r="AP182">
            <v>70500</v>
          </cell>
          <cell r="AQ182">
            <v>846000</v>
          </cell>
          <cell r="AR182">
            <v>71083.333333333328</v>
          </cell>
          <cell r="AS182">
            <v>71083.333333333328</v>
          </cell>
          <cell r="AT182">
            <v>71083.333333333328</v>
          </cell>
          <cell r="AU182">
            <v>71083.333333333328</v>
          </cell>
          <cell r="AV182">
            <v>71083.333333333328</v>
          </cell>
          <cell r="AW182">
            <v>71083.333333333328</v>
          </cell>
          <cell r="AX182">
            <v>71083.333333333328</v>
          </cell>
          <cell r="AY182">
            <v>71083.333333333328</v>
          </cell>
          <cell r="AZ182">
            <v>71083.333333333328</v>
          </cell>
          <cell r="BA182">
            <v>71083.333333333328</v>
          </cell>
          <cell r="BB182">
            <v>71083.333333333328</v>
          </cell>
          <cell r="BC182">
            <v>71083.333333333328</v>
          </cell>
          <cell r="BD182">
            <v>853000.00000000012</v>
          </cell>
          <cell r="BQ182">
            <v>0</v>
          </cell>
          <cell r="BR182">
            <v>7266460</v>
          </cell>
        </row>
        <row r="183">
          <cell r="A183" t="str">
            <v>2</v>
          </cell>
          <cell r="B183" t="str">
            <v>0018</v>
          </cell>
          <cell r="C183" t="str">
            <v>236</v>
          </cell>
          <cell r="D183" t="str">
            <v xml:space="preserve"> Mine closure provision</v>
          </cell>
          <cell r="E183">
            <v>100170</v>
          </cell>
          <cell r="F183">
            <v>100170</v>
          </cell>
          <cell r="G183">
            <v>96920</v>
          </cell>
          <cell r="H183">
            <v>98545</v>
          </cell>
          <cell r="I183">
            <v>96920</v>
          </cell>
          <cell r="J183">
            <v>100170</v>
          </cell>
          <cell r="K183">
            <v>100170</v>
          </cell>
          <cell r="L183">
            <v>90420</v>
          </cell>
          <cell r="M183">
            <v>100170</v>
          </cell>
          <cell r="N183">
            <v>96920</v>
          </cell>
          <cell r="O183">
            <v>100170</v>
          </cell>
          <cell r="P183">
            <v>96920</v>
          </cell>
          <cell r="Q183">
            <v>1177665</v>
          </cell>
          <cell r="R183">
            <v>-1954159</v>
          </cell>
          <cell r="AD183">
            <v>-1954159</v>
          </cell>
          <cell r="AQ183">
            <v>0</v>
          </cell>
          <cell r="BD183">
            <v>0</v>
          </cell>
          <cell r="BQ183">
            <v>0</v>
          </cell>
          <cell r="BR183">
            <v>-776494</v>
          </cell>
        </row>
        <row r="184">
          <cell r="A184" t="str">
            <v>2</v>
          </cell>
          <cell r="B184" t="str">
            <v>0018</v>
          </cell>
          <cell r="C184" t="str">
            <v>259</v>
          </cell>
          <cell r="D184" t="str">
            <v xml:space="preserve"> research (non R&amp;D)</v>
          </cell>
          <cell r="Q184">
            <v>0</v>
          </cell>
          <cell r="R184">
            <v>0</v>
          </cell>
          <cell r="AD184">
            <v>0</v>
          </cell>
          <cell r="AQ184">
            <v>0</v>
          </cell>
          <cell r="BD184">
            <v>0</v>
          </cell>
          <cell r="BQ184">
            <v>0</v>
          </cell>
          <cell r="BR184">
            <v>0</v>
          </cell>
        </row>
        <row r="185">
          <cell r="A185" t="str">
            <v>2</v>
          </cell>
          <cell r="B185" t="str">
            <v>0018</v>
          </cell>
          <cell r="C185" t="str">
            <v>260</v>
          </cell>
          <cell r="D185" t="str">
            <v xml:space="preserve"> Mine rehabilitation provision</v>
          </cell>
          <cell r="E185">
            <v>288957</v>
          </cell>
          <cell r="F185">
            <v>288957</v>
          </cell>
          <cell r="G185">
            <v>275054</v>
          </cell>
          <cell r="H185">
            <v>282005</v>
          </cell>
          <cell r="I185">
            <v>275054</v>
          </cell>
          <cell r="J185">
            <v>288957</v>
          </cell>
          <cell r="K185">
            <v>288957</v>
          </cell>
          <cell r="L185">
            <v>247248</v>
          </cell>
          <cell r="M185">
            <v>288957</v>
          </cell>
          <cell r="N185">
            <v>275054</v>
          </cell>
          <cell r="O185">
            <v>288957</v>
          </cell>
          <cell r="P185">
            <v>275054</v>
          </cell>
          <cell r="Q185">
            <v>3363211</v>
          </cell>
          <cell r="R185">
            <v>-111880</v>
          </cell>
          <cell r="S185">
            <v>-324433</v>
          </cell>
          <cell r="T185">
            <v>-324433</v>
          </cell>
          <cell r="U185">
            <v>-324433</v>
          </cell>
          <cell r="V185">
            <v>-324433</v>
          </cell>
          <cell r="W185">
            <v>-324433</v>
          </cell>
          <cell r="X185">
            <v>-324433</v>
          </cell>
          <cell r="Y185">
            <v>-324433</v>
          </cell>
          <cell r="Z185">
            <v>-324433</v>
          </cell>
          <cell r="AA185">
            <v>-324433</v>
          </cell>
          <cell r="AB185">
            <v>-324433</v>
          </cell>
          <cell r="AC185">
            <v>-324433</v>
          </cell>
          <cell r="AD185">
            <v>-3680643</v>
          </cell>
          <cell r="AE185">
            <v>-70500</v>
          </cell>
          <cell r="AF185">
            <v>-70500</v>
          </cell>
          <cell r="AG185">
            <v>-70500</v>
          </cell>
          <cell r="AH185">
            <v>-70500</v>
          </cell>
          <cell r="AI185">
            <v>-70500</v>
          </cell>
          <cell r="AJ185">
            <v>-70500</v>
          </cell>
          <cell r="AK185">
            <v>-70500</v>
          </cell>
          <cell r="AL185">
            <v>-70500</v>
          </cell>
          <cell r="AM185">
            <v>-70500</v>
          </cell>
          <cell r="AN185">
            <v>-70500</v>
          </cell>
          <cell r="AO185">
            <v>-70500</v>
          </cell>
          <cell r="AP185">
            <v>-70500</v>
          </cell>
          <cell r="AQ185">
            <v>-846000</v>
          </cell>
          <cell r="AR185">
            <v>-71083</v>
          </cell>
          <cell r="AS185">
            <v>-71083</v>
          </cell>
          <cell r="AT185">
            <v>-71083</v>
          </cell>
          <cell r="AU185">
            <v>-71083</v>
          </cell>
          <cell r="AV185">
            <v>-71083</v>
          </cell>
          <cell r="AW185">
            <v>-71083</v>
          </cell>
          <cell r="AX185">
            <v>-71083</v>
          </cell>
          <cell r="AY185">
            <v>-71083</v>
          </cell>
          <cell r="AZ185">
            <v>-71083</v>
          </cell>
          <cell r="BA185">
            <v>-71083</v>
          </cell>
          <cell r="BB185">
            <v>-71083</v>
          </cell>
          <cell r="BC185">
            <v>-71083</v>
          </cell>
          <cell r="BD185">
            <v>-852996</v>
          </cell>
          <cell r="BQ185">
            <v>0</v>
          </cell>
          <cell r="BR185">
            <v>-2016428</v>
          </cell>
        </row>
        <row r="186">
          <cell r="A186" t="str">
            <v>2</v>
          </cell>
          <cell r="B186" t="str">
            <v>0018</v>
          </cell>
          <cell r="C186" t="str">
            <v>342</v>
          </cell>
          <cell r="D186" t="str">
            <v xml:space="preserve"> consumables - general</v>
          </cell>
          <cell r="Q186">
            <v>0</v>
          </cell>
          <cell r="AD186">
            <v>0</v>
          </cell>
          <cell r="AQ186">
            <v>0</v>
          </cell>
          <cell r="BD186">
            <v>0</v>
          </cell>
          <cell r="BQ186">
            <v>0</v>
          </cell>
          <cell r="BR186">
            <v>0</v>
          </cell>
        </row>
        <row r="187">
          <cell r="A187" t="str">
            <v>2</v>
          </cell>
          <cell r="B187" t="str">
            <v>0018</v>
          </cell>
          <cell r="C187" t="str">
            <v>354</v>
          </cell>
          <cell r="D187" t="str">
            <v xml:space="preserve"> seeds  and fertilizers</v>
          </cell>
          <cell r="Q187">
            <v>0</v>
          </cell>
          <cell r="AD187">
            <v>0</v>
          </cell>
          <cell r="AQ187">
            <v>0</v>
          </cell>
          <cell r="BD187">
            <v>0</v>
          </cell>
          <cell r="BQ187">
            <v>0</v>
          </cell>
          <cell r="BR187">
            <v>0</v>
          </cell>
        </row>
        <row r="188">
          <cell r="A188" t="str">
            <v>2</v>
          </cell>
          <cell r="B188" t="str">
            <v>0018</v>
          </cell>
          <cell r="C188" t="str">
            <v>501</v>
          </cell>
          <cell r="D188" t="str">
            <v xml:space="preserve"> decommissioning</v>
          </cell>
          <cell r="Q188">
            <v>0</v>
          </cell>
          <cell r="R188">
            <v>2003850</v>
          </cell>
          <cell r="AD188">
            <v>2003850</v>
          </cell>
          <cell r="AQ188">
            <v>0</v>
          </cell>
          <cell r="BD188">
            <v>0</v>
          </cell>
          <cell r="BQ188">
            <v>0</v>
          </cell>
          <cell r="BR188">
            <v>2003850</v>
          </cell>
        </row>
        <row r="189">
          <cell r="A189" t="str">
            <v>2</v>
          </cell>
          <cell r="B189" t="str">
            <v>0018</v>
          </cell>
          <cell r="C189" t="str">
            <v>000</v>
          </cell>
          <cell r="D189" t="str">
            <v>Mine Completion subtotal</v>
          </cell>
          <cell r="E189">
            <v>528649</v>
          </cell>
          <cell r="F189">
            <v>528649</v>
          </cell>
          <cell r="G189">
            <v>511496</v>
          </cell>
          <cell r="H189">
            <v>520072</v>
          </cell>
          <cell r="I189">
            <v>511496</v>
          </cell>
          <cell r="J189">
            <v>528649</v>
          </cell>
          <cell r="K189">
            <v>528649</v>
          </cell>
          <cell r="L189">
            <v>477190</v>
          </cell>
          <cell r="M189">
            <v>528649</v>
          </cell>
          <cell r="N189">
            <v>511496</v>
          </cell>
          <cell r="O189">
            <v>528649</v>
          </cell>
          <cell r="P189">
            <v>511496</v>
          </cell>
          <cell r="Q189">
            <v>6215140</v>
          </cell>
          <cell r="R189">
            <v>262244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262244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0.33333333332848269</v>
          </cell>
          <cell r="AS189">
            <v>0.33333333332848269</v>
          </cell>
          <cell r="AT189">
            <v>0.33333333332848269</v>
          </cell>
          <cell r="AU189">
            <v>0.33333333332848269</v>
          </cell>
          <cell r="AV189">
            <v>0.33333333332848269</v>
          </cell>
          <cell r="AW189">
            <v>0.33333333332848269</v>
          </cell>
          <cell r="AX189">
            <v>0.33333333332848269</v>
          </cell>
          <cell r="AY189">
            <v>0.33333333332848269</v>
          </cell>
          <cell r="AZ189">
            <v>0.33333333332848269</v>
          </cell>
          <cell r="BA189">
            <v>0.33333333332848269</v>
          </cell>
          <cell r="BB189">
            <v>0.33333333332848269</v>
          </cell>
          <cell r="BC189">
            <v>0.33333333332848269</v>
          </cell>
          <cell r="BD189">
            <v>4.0000000001164153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6477388</v>
          </cell>
        </row>
        <row r="191">
          <cell r="A191" t="str">
            <v>2</v>
          </cell>
          <cell r="B191" t="str">
            <v>0200</v>
          </cell>
          <cell r="C191" t="str">
            <v>000</v>
          </cell>
          <cell r="D191" t="str">
            <v>Research - General</v>
          </cell>
        </row>
        <row r="192">
          <cell r="A192" t="str">
            <v>2</v>
          </cell>
          <cell r="B192" t="str">
            <v>0200</v>
          </cell>
          <cell r="C192" t="str">
            <v>106</v>
          </cell>
          <cell r="D192" t="str">
            <v xml:space="preserve"> wages ord time</v>
          </cell>
          <cell r="E192">
            <v>400</v>
          </cell>
          <cell r="F192">
            <v>400</v>
          </cell>
          <cell r="G192">
            <v>400</v>
          </cell>
          <cell r="H192">
            <v>400</v>
          </cell>
          <cell r="I192">
            <v>400</v>
          </cell>
          <cell r="J192">
            <v>400</v>
          </cell>
          <cell r="K192">
            <v>400</v>
          </cell>
          <cell r="L192">
            <v>400</v>
          </cell>
          <cell r="M192">
            <v>400</v>
          </cell>
          <cell r="N192">
            <v>400</v>
          </cell>
          <cell r="O192">
            <v>400</v>
          </cell>
          <cell r="P192">
            <v>400</v>
          </cell>
          <cell r="Q192">
            <v>4800</v>
          </cell>
          <cell r="AD192">
            <v>0</v>
          </cell>
          <cell r="AQ192">
            <v>0</v>
          </cell>
          <cell r="BD192">
            <v>0</v>
          </cell>
          <cell r="BQ192">
            <v>0</v>
          </cell>
          <cell r="BR192">
            <v>4800</v>
          </cell>
        </row>
        <row r="193">
          <cell r="A193" t="str">
            <v>2</v>
          </cell>
          <cell r="B193" t="str">
            <v>0200</v>
          </cell>
          <cell r="C193" t="str">
            <v>107</v>
          </cell>
          <cell r="D193" t="str">
            <v xml:space="preserve"> wages overtime</v>
          </cell>
          <cell r="E193">
            <v>400</v>
          </cell>
          <cell r="F193">
            <v>400</v>
          </cell>
          <cell r="G193">
            <v>400</v>
          </cell>
          <cell r="H193">
            <v>400</v>
          </cell>
          <cell r="I193">
            <v>400</v>
          </cell>
          <cell r="J193">
            <v>400</v>
          </cell>
          <cell r="K193">
            <v>400</v>
          </cell>
          <cell r="L193">
            <v>400</v>
          </cell>
          <cell r="M193">
            <v>400</v>
          </cell>
          <cell r="N193">
            <v>400</v>
          </cell>
          <cell r="O193">
            <v>400</v>
          </cell>
          <cell r="P193">
            <v>400</v>
          </cell>
          <cell r="Q193">
            <v>4800</v>
          </cell>
          <cell r="AD193">
            <v>0</v>
          </cell>
          <cell r="AQ193">
            <v>0</v>
          </cell>
          <cell r="BD193">
            <v>0</v>
          </cell>
          <cell r="BQ193">
            <v>0</v>
          </cell>
          <cell r="BR193">
            <v>4800</v>
          </cell>
        </row>
        <row r="194">
          <cell r="A194" t="str">
            <v>2</v>
          </cell>
          <cell r="B194" t="str">
            <v>0200</v>
          </cell>
          <cell r="C194" t="str">
            <v>112</v>
          </cell>
          <cell r="D194" t="str">
            <v xml:space="preserve"> contract labour - production</v>
          </cell>
          <cell r="E194">
            <v>1000</v>
          </cell>
          <cell r="F194">
            <v>1000</v>
          </cell>
          <cell r="G194">
            <v>1000</v>
          </cell>
          <cell r="H194">
            <v>1000</v>
          </cell>
          <cell r="I194">
            <v>1000</v>
          </cell>
          <cell r="J194">
            <v>1000</v>
          </cell>
          <cell r="K194">
            <v>1000</v>
          </cell>
          <cell r="L194">
            <v>1000</v>
          </cell>
          <cell r="M194">
            <v>1000</v>
          </cell>
          <cell r="N194">
            <v>1000</v>
          </cell>
          <cell r="O194">
            <v>1000</v>
          </cell>
          <cell r="P194">
            <v>1000</v>
          </cell>
          <cell r="Q194">
            <v>12000</v>
          </cell>
          <cell r="AD194">
            <v>0</v>
          </cell>
          <cell r="AQ194">
            <v>0</v>
          </cell>
          <cell r="BD194">
            <v>0</v>
          </cell>
          <cell r="BQ194">
            <v>0</v>
          </cell>
          <cell r="BR194">
            <v>12000</v>
          </cell>
        </row>
        <row r="195">
          <cell r="A195" t="str">
            <v>2</v>
          </cell>
          <cell r="B195" t="str">
            <v>0200</v>
          </cell>
          <cell r="C195" t="str">
            <v>211</v>
          </cell>
          <cell r="D195" t="str">
            <v xml:space="preserve"> consultants - General</v>
          </cell>
          <cell r="E195">
            <v>1000</v>
          </cell>
          <cell r="F195">
            <v>1000</v>
          </cell>
          <cell r="G195">
            <v>1000</v>
          </cell>
          <cell r="H195">
            <v>1000</v>
          </cell>
          <cell r="I195">
            <v>1000</v>
          </cell>
          <cell r="J195">
            <v>1000</v>
          </cell>
          <cell r="K195">
            <v>1000</v>
          </cell>
          <cell r="L195">
            <v>1000</v>
          </cell>
          <cell r="M195">
            <v>1000</v>
          </cell>
          <cell r="N195">
            <v>1000</v>
          </cell>
          <cell r="O195">
            <v>1000</v>
          </cell>
          <cell r="P195">
            <v>1000</v>
          </cell>
          <cell r="Q195">
            <v>12000</v>
          </cell>
          <cell r="AD195">
            <v>0</v>
          </cell>
          <cell r="AQ195">
            <v>0</v>
          </cell>
          <cell r="BD195">
            <v>0</v>
          </cell>
          <cell r="BQ195">
            <v>0</v>
          </cell>
          <cell r="BR195">
            <v>12000</v>
          </cell>
        </row>
        <row r="196">
          <cell r="A196" t="str">
            <v>2</v>
          </cell>
          <cell r="B196" t="str">
            <v>0200</v>
          </cell>
          <cell r="C196" t="str">
            <v>219</v>
          </cell>
          <cell r="D196" t="str">
            <v xml:space="preserve"> equipment hire</v>
          </cell>
          <cell r="E196">
            <v>1000</v>
          </cell>
          <cell r="F196">
            <v>1000</v>
          </cell>
          <cell r="G196">
            <v>1000</v>
          </cell>
          <cell r="H196">
            <v>1000</v>
          </cell>
          <cell r="I196">
            <v>1000</v>
          </cell>
          <cell r="J196">
            <v>1000</v>
          </cell>
          <cell r="K196">
            <v>1000</v>
          </cell>
          <cell r="L196">
            <v>1000</v>
          </cell>
          <cell r="M196">
            <v>1000</v>
          </cell>
          <cell r="N196">
            <v>1000</v>
          </cell>
          <cell r="O196">
            <v>1000</v>
          </cell>
          <cell r="P196">
            <v>1000</v>
          </cell>
          <cell r="Q196">
            <v>12000</v>
          </cell>
          <cell r="AD196">
            <v>0</v>
          </cell>
          <cell r="AQ196">
            <v>0</v>
          </cell>
          <cell r="BD196">
            <v>0</v>
          </cell>
          <cell r="BQ196">
            <v>0</v>
          </cell>
          <cell r="BR196">
            <v>12000</v>
          </cell>
        </row>
        <row r="197">
          <cell r="A197" t="str">
            <v>2</v>
          </cell>
          <cell r="B197" t="str">
            <v>0200</v>
          </cell>
          <cell r="C197" t="str">
            <v>229</v>
          </cell>
          <cell r="D197" t="str">
            <v xml:space="preserve"> lab services - general</v>
          </cell>
          <cell r="E197">
            <v>500</v>
          </cell>
          <cell r="F197">
            <v>500</v>
          </cell>
          <cell r="G197">
            <v>500</v>
          </cell>
          <cell r="H197">
            <v>500</v>
          </cell>
          <cell r="I197">
            <v>500</v>
          </cell>
          <cell r="J197">
            <v>500</v>
          </cell>
          <cell r="K197">
            <v>500</v>
          </cell>
          <cell r="L197">
            <v>500</v>
          </cell>
          <cell r="M197">
            <v>500</v>
          </cell>
          <cell r="N197">
            <v>500</v>
          </cell>
          <cell r="O197">
            <v>500</v>
          </cell>
          <cell r="P197">
            <v>500</v>
          </cell>
          <cell r="Q197">
            <v>6000</v>
          </cell>
          <cell r="AD197">
            <v>0</v>
          </cell>
          <cell r="AQ197">
            <v>0</v>
          </cell>
          <cell r="BD197">
            <v>0</v>
          </cell>
          <cell r="BQ197">
            <v>0</v>
          </cell>
          <cell r="BR197">
            <v>6000</v>
          </cell>
        </row>
        <row r="198">
          <cell r="A198" t="str">
            <v>2</v>
          </cell>
          <cell r="B198" t="str">
            <v>0200</v>
          </cell>
          <cell r="C198" t="str">
            <v>289</v>
          </cell>
          <cell r="D198" t="str">
            <v xml:space="preserve"> travel &amp; accommodation</v>
          </cell>
          <cell r="E198">
            <v>500</v>
          </cell>
          <cell r="F198">
            <v>500</v>
          </cell>
          <cell r="G198">
            <v>500</v>
          </cell>
          <cell r="H198">
            <v>500</v>
          </cell>
          <cell r="I198">
            <v>500</v>
          </cell>
          <cell r="J198">
            <v>500</v>
          </cell>
          <cell r="K198">
            <v>500</v>
          </cell>
          <cell r="L198">
            <v>500</v>
          </cell>
          <cell r="M198">
            <v>500</v>
          </cell>
          <cell r="N198">
            <v>500</v>
          </cell>
          <cell r="O198">
            <v>500</v>
          </cell>
          <cell r="P198">
            <v>500</v>
          </cell>
          <cell r="Q198">
            <v>6000</v>
          </cell>
          <cell r="AD198">
            <v>0</v>
          </cell>
          <cell r="AQ198">
            <v>0</v>
          </cell>
          <cell r="BD198">
            <v>0</v>
          </cell>
          <cell r="BQ198">
            <v>0</v>
          </cell>
          <cell r="BR198">
            <v>6000</v>
          </cell>
        </row>
        <row r="199">
          <cell r="A199" t="str">
            <v>2</v>
          </cell>
          <cell r="B199" t="str">
            <v>0200</v>
          </cell>
          <cell r="C199" t="str">
            <v>331</v>
          </cell>
          <cell r="D199" t="str">
            <v xml:space="preserve"> laboratory supplies</v>
          </cell>
          <cell r="E199">
            <v>300</v>
          </cell>
          <cell r="F199">
            <v>300</v>
          </cell>
          <cell r="G199">
            <v>300</v>
          </cell>
          <cell r="H199">
            <v>300</v>
          </cell>
          <cell r="I199">
            <v>300</v>
          </cell>
          <cell r="J199">
            <v>300</v>
          </cell>
          <cell r="K199">
            <v>300</v>
          </cell>
          <cell r="L199">
            <v>300</v>
          </cell>
          <cell r="M199">
            <v>300</v>
          </cell>
          <cell r="N199">
            <v>300</v>
          </cell>
          <cell r="O199">
            <v>300</v>
          </cell>
          <cell r="P199">
            <v>300</v>
          </cell>
          <cell r="Q199">
            <v>3600</v>
          </cell>
          <cell r="AD199">
            <v>0</v>
          </cell>
          <cell r="AQ199">
            <v>0</v>
          </cell>
          <cell r="BD199">
            <v>0</v>
          </cell>
          <cell r="BQ199">
            <v>0</v>
          </cell>
          <cell r="BR199">
            <v>3600</v>
          </cell>
        </row>
        <row r="200">
          <cell r="A200" t="str">
            <v>2</v>
          </cell>
          <cell r="B200" t="str">
            <v>0200</v>
          </cell>
          <cell r="C200" t="str">
            <v>342</v>
          </cell>
          <cell r="D200" t="str">
            <v xml:space="preserve"> consumables - general</v>
          </cell>
          <cell r="E200">
            <v>200</v>
          </cell>
          <cell r="F200">
            <v>200</v>
          </cell>
          <cell r="G200">
            <v>200</v>
          </cell>
          <cell r="H200">
            <v>200</v>
          </cell>
          <cell r="I200">
            <v>200</v>
          </cell>
          <cell r="J200">
            <v>200</v>
          </cell>
          <cell r="K200">
            <v>200</v>
          </cell>
          <cell r="L200">
            <v>200</v>
          </cell>
          <cell r="M200">
            <v>200</v>
          </cell>
          <cell r="N200">
            <v>200</v>
          </cell>
          <cell r="O200">
            <v>200</v>
          </cell>
          <cell r="P200">
            <v>200</v>
          </cell>
          <cell r="Q200">
            <v>2400</v>
          </cell>
          <cell r="AD200">
            <v>0</v>
          </cell>
          <cell r="AQ200">
            <v>0</v>
          </cell>
          <cell r="BD200">
            <v>0</v>
          </cell>
          <cell r="BQ200">
            <v>0</v>
          </cell>
          <cell r="BR200">
            <v>2400</v>
          </cell>
        </row>
        <row r="201">
          <cell r="A201" t="str">
            <v>2</v>
          </cell>
          <cell r="B201" t="str">
            <v>0200</v>
          </cell>
          <cell r="C201" t="str">
            <v>432</v>
          </cell>
          <cell r="D201" t="str">
            <v xml:space="preserve"> consumables - mechanical</v>
          </cell>
          <cell r="E201">
            <v>200</v>
          </cell>
          <cell r="F201">
            <v>200</v>
          </cell>
          <cell r="G201">
            <v>200</v>
          </cell>
          <cell r="H201">
            <v>200</v>
          </cell>
          <cell r="I201">
            <v>200</v>
          </cell>
          <cell r="J201">
            <v>200</v>
          </cell>
          <cell r="K201">
            <v>200</v>
          </cell>
          <cell r="L201">
            <v>200</v>
          </cell>
          <cell r="M201">
            <v>200</v>
          </cell>
          <cell r="N201">
            <v>200</v>
          </cell>
          <cell r="O201">
            <v>200</v>
          </cell>
          <cell r="P201">
            <v>200</v>
          </cell>
          <cell r="Q201">
            <v>2400</v>
          </cell>
          <cell r="AD201">
            <v>0</v>
          </cell>
          <cell r="AQ201">
            <v>0</v>
          </cell>
          <cell r="BD201">
            <v>0</v>
          </cell>
          <cell r="BQ201">
            <v>0</v>
          </cell>
          <cell r="BR201">
            <v>2400</v>
          </cell>
        </row>
        <row r="202">
          <cell r="A202" t="str">
            <v>2</v>
          </cell>
          <cell r="B202" t="str">
            <v>0200</v>
          </cell>
          <cell r="C202" t="str">
            <v>000</v>
          </cell>
          <cell r="D202" t="str">
            <v>Research - General subtotal</v>
          </cell>
          <cell r="E202">
            <v>5500</v>
          </cell>
          <cell r="F202">
            <v>5500</v>
          </cell>
          <cell r="G202">
            <v>5500</v>
          </cell>
          <cell r="H202">
            <v>5500</v>
          </cell>
          <cell r="I202">
            <v>5500</v>
          </cell>
          <cell r="J202">
            <v>5500</v>
          </cell>
          <cell r="K202">
            <v>5500</v>
          </cell>
          <cell r="L202">
            <v>5500</v>
          </cell>
          <cell r="M202">
            <v>5500</v>
          </cell>
          <cell r="N202">
            <v>5500</v>
          </cell>
          <cell r="O202">
            <v>5500</v>
          </cell>
          <cell r="P202">
            <v>5500</v>
          </cell>
          <cell r="Q202">
            <v>66000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66000</v>
          </cell>
        </row>
        <row r="204">
          <cell r="A204" t="str">
            <v>2</v>
          </cell>
          <cell r="B204" t="str">
            <v>0203</v>
          </cell>
          <cell r="C204" t="str">
            <v>000</v>
          </cell>
          <cell r="D204" t="str">
            <v>Research - Untitled</v>
          </cell>
        </row>
        <row r="205">
          <cell r="A205" t="str">
            <v>2</v>
          </cell>
          <cell r="B205" t="str">
            <v>0203</v>
          </cell>
          <cell r="C205" t="str">
            <v>106</v>
          </cell>
          <cell r="D205" t="str">
            <v xml:space="preserve"> wages ord time</v>
          </cell>
          <cell r="Q205">
            <v>0</v>
          </cell>
          <cell r="AD205">
            <v>0</v>
          </cell>
          <cell r="AQ205">
            <v>0</v>
          </cell>
          <cell r="BD205">
            <v>0</v>
          </cell>
          <cell r="BQ205">
            <v>0</v>
          </cell>
          <cell r="BR205">
            <v>0</v>
          </cell>
        </row>
        <row r="206">
          <cell r="A206" t="str">
            <v>2</v>
          </cell>
          <cell r="B206" t="str">
            <v>0203</v>
          </cell>
          <cell r="C206" t="str">
            <v>107</v>
          </cell>
          <cell r="D206" t="str">
            <v xml:space="preserve"> wages overtime</v>
          </cell>
          <cell r="Q206">
            <v>0</v>
          </cell>
          <cell r="AD206">
            <v>0</v>
          </cell>
          <cell r="AQ206">
            <v>0</v>
          </cell>
          <cell r="BD206">
            <v>0</v>
          </cell>
          <cell r="BQ206">
            <v>0</v>
          </cell>
          <cell r="BR206">
            <v>0</v>
          </cell>
        </row>
        <row r="207">
          <cell r="A207" t="str">
            <v>2</v>
          </cell>
          <cell r="B207" t="str">
            <v>0203</v>
          </cell>
          <cell r="C207" t="str">
            <v>112</v>
          </cell>
          <cell r="D207" t="str">
            <v xml:space="preserve"> contract labour - production</v>
          </cell>
          <cell r="Q207">
            <v>0</v>
          </cell>
          <cell r="AD207">
            <v>0</v>
          </cell>
          <cell r="AQ207">
            <v>0</v>
          </cell>
          <cell r="BD207">
            <v>0</v>
          </cell>
          <cell r="BQ207">
            <v>0</v>
          </cell>
          <cell r="BR207">
            <v>0</v>
          </cell>
        </row>
        <row r="208">
          <cell r="A208" t="str">
            <v>2</v>
          </cell>
          <cell r="B208" t="str">
            <v>0203</v>
          </cell>
          <cell r="C208" t="str">
            <v>211</v>
          </cell>
          <cell r="D208" t="str">
            <v xml:space="preserve"> consultants - General</v>
          </cell>
          <cell r="Q208">
            <v>0</v>
          </cell>
          <cell r="AD208">
            <v>0</v>
          </cell>
          <cell r="AQ208">
            <v>0</v>
          </cell>
          <cell r="BD208">
            <v>0</v>
          </cell>
          <cell r="BQ208">
            <v>0</v>
          </cell>
          <cell r="BR208">
            <v>0</v>
          </cell>
        </row>
        <row r="209">
          <cell r="A209" t="str">
            <v>2</v>
          </cell>
          <cell r="B209" t="str">
            <v>0203</v>
          </cell>
          <cell r="C209" t="str">
            <v>219</v>
          </cell>
          <cell r="D209" t="str">
            <v xml:space="preserve"> equipment hire</v>
          </cell>
          <cell r="Q209">
            <v>0</v>
          </cell>
          <cell r="AD209">
            <v>0</v>
          </cell>
          <cell r="AQ209">
            <v>0</v>
          </cell>
          <cell r="BD209">
            <v>0</v>
          </cell>
          <cell r="BQ209">
            <v>0</v>
          </cell>
          <cell r="BR209">
            <v>0</v>
          </cell>
        </row>
        <row r="210">
          <cell r="A210" t="str">
            <v>2</v>
          </cell>
          <cell r="B210" t="str">
            <v>0203</v>
          </cell>
          <cell r="C210" t="str">
            <v>229</v>
          </cell>
          <cell r="D210" t="str">
            <v xml:space="preserve"> lab services - general</v>
          </cell>
          <cell r="Q210">
            <v>0</v>
          </cell>
          <cell r="AD210">
            <v>0</v>
          </cell>
          <cell r="AQ210">
            <v>0</v>
          </cell>
          <cell r="BD210">
            <v>0</v>
          </cell>
          <cell r="BQ210">
            <v>0</v>
          </cell>
          <cell r="BR210">
            <v>0</v>
          </cell>
        </row>
        <row r="211">
          <cell r="A211" t="str">
            <v>2</v>
          </cell>
          <cell r="B211" t="str">
            <v>0203</v>
          </cell>
          <cell r="C211" t="str">
            <v>289</v>
          </cell>
          <cell r="D211" t="str">
            <v xml:space="preserve"> travel &amp; accommodation</v>
          </cell>
          <cell r="Q211">
            <v>0</v>
          </cell>
          <cell r="AD211">
            <v>0</v>
          </cell>
          <cell r="AQ211">
            <v>0</v>
          </cell>
          <cell r="BD211">
            <v>0</v>
          </cell>
          <cell r="BQ211">
            <v>0</v>
          </cell>
          <cell r="BR211">
            <v>0</v>
          </cell>
        </row>
        <row r="212">
          <cell r="A212" t="str">
            <v>2</v>
          </cell>
          <cell r="B212" t="str">
            <v>0203</v>
          </cell>
          <cell r="C212" t="str">
            <v>331</v>
          </cell>
          <cell r="D212" t="str">
            <v xml:space="preserve"> laboratory supplies</v>
          </cell>
          <cell r="Q212">
            <v>0</v>
          </cell>
          <cell r="AD212">
            <v>0</v>
          </cell>
          <cell r="AQ212">
            <v>0</v>
          </cell>
          <cell r="BD212">
            <v>0</v>
          </cell>
          <cell r="BQ212">
            <v>0</v>
          </cell>
          <cell r="BR212">
            <v>0</v>
          </cell>
        </row>
        <row r="213">
          <cell r="A213" t="str">
            <v>2</v>
          </cell>
          <cell r="B213" t="str">
            <v>0203</v>
          </cell>
          <cell r="C213" t="str">
            <v>342</v>
          </cell>
          <cell r="D213" t="str">
            <v xml:space="preserve"> consumables - general</v>
          </cell>
          <cell r="Q213">
            <v>0</v>
          </cell>
          <cell r="AD213">
            <v>0</v>
          </cell>
          <cell r="AQ213">
            <v>0</v>
          </cell>
          <cell r="BD213">
            <v>0</v>
          </cell>
          <cell r="BQ213">
            <v>0</v>
          </cell>
          <cell r="BR213">
            <v>0</v>
          </cell>
        </row>
        <row r="214">
          <cell r="A214" t="str">
            <v>2</v>
          </cell>
          <cell r="B214" t="str">
            <v>0203</v>
          </cell>
          <cell r="C214" t="str">
            <v>432</v>
          </cell>
          <cell r="D214" t="str">
            <v xml:space="preserve"> consumables - mechanical</v>
          </cell>
          <cell r="Q214">
            <v>0</v>
          </cell>
          <cell r="AD214">
            <v>0</v>
          </cell>
          <cell r="AQ214">
            <v>0</v>
          </cell>
          <cell r="BD214">
            <v>0</v>
          </cell>
          <cell r="BQ214">
            <v>0</v>
          </cell>
          <cell r="BR214">
            <v>0</v>
          </cell>
        </row>
        <row r="215">
          <cell r="A215" t="str">
            <v>2</v>
          </cell>
          <cell r="B215" t="str">
            <v>0203</v>
          </cell>
          <cell r="C215" t="str">
            <v>000</v>
          </cell>
          <cell r="D215" t="str">
            <v>Research - Untitled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</row>
        <row r="217">
          <cell r="A217" t="str">
            <v>2</v>
          </cell>
          <cell r="B217" t="str">
            <v>0204</v>
          </cell>
          <cell r="C217" t="str">
            <v>000</v>
          </cell>
          <cell r="D217" t="str">
            <v>Research - Untitled</v>
          </cell>
        </row>
        <row r="218">
          <cell r="A218" t="str">
            <v>2</v>
          </cell>
          <cell r="B218" t="str">
            <v>0204</v>
          </cell>
          <cell r="C218" t="str">
            <v>106</v>
          </cell>
          <cell r="D218" t="str">
            <v xml:space="preserve"> wages ord time</v>
          </cell>
          <cell r="Q218">
            <v>0</v>
          </cell>
          <cell r="AD218">
            <v>0</v>
          </cell>
          <cell r="AQ218">
            <v>0</v>
          </cell>
          <cell r="BD218">
            <v>0</v>
          </cell>
          <cell r="BQ218">
            <v>0</v>
          </cell>
          <cell r="BR218">
            <v>0</v>
          </cell>
        </row>
        <row r="219">
          <cell r="A219" t="str">
            <v>2</v>
          </cell>
          <cell r="B219" t="str">
            <v>0204</v>
          </cell>
          <cell r="C219" t="str">
            <v>107</v>
          </cell>
          <cell r="D219" t="str">
            <v xml:space="preserve"> wages overtime</v>
          </cell>
          <cell r="Q219">
            <v>0</v>
          </cell>
          <cell r="AD219">
            <v>0</v>
          </cell>
          <cell r="AQ219">
            <v>0</v>
          </cell>
          <cell r="BD219">
            <v>0</v>
          </cell>
          <cell r="BQ219">
            <v>0</v>
          </cell>
          <cell r="BR219">
            <v>0</v>
          </cell>
        </row>
        <row r="220">
          <cell r="A220" t="str">
            <v>2</v>
          </cell>
          <cell r="B220" t="str">
            <v>0204</v>
          </cell>
          <cell r="C220" t="str">
            <v>112</v>
          </cell>
          <cell r="D220" t="str">
            <v xml:space="preserve"> contract labour - production</v>
          </cell>
          <cell r="Q220">
            <v>0</v>
          </cell>
          <cell r="AD220">
            <v>0</v>
          </cell>
          <cell r="AQ220">
            <v>0</v>
          </cell>
          <cell r="BD220">
            <v>0</v>
          </cell>
          <cell r="BQ220">
            <v>0</v>
          </cell>
          <cell r="BR220">
            <v>0</v>
          </cell>
        </row>
        <row r="221">
          <cell r="A221" t="str">
            <v>2</v>
          </cell>
          <cell r="B221" t="str">
            <v>0204</v>
          </cell>
          <cell r="C221" t="str">
            <v>211</v>
          </cell>
          <cell r="D221" t="str">
            <v xml:space="preserve"> consultants - General</v>
          </cell>
          <cell r="Q221">
            <v>0</v>
          </cell>
          <cell r="AD221">
            <v>0</v>
          </cell>
          <cell r="AQ221">
            <v>0</v>
          </cell>
          <cell r="BD221">
            <v>0</v>
          </cell>
          <cell r="BQ221">
            <v>0</v>
          </cell>
          <cell r="BR221">
            <v>0</v>
          </cell>
        </row>
        <row r="222">
          <cell r="A222" t="str">
            <v>2</v>
          </cell>
          <cell r="B222" t="str">
            <v>0204</v>
          </cell>
          <cell r="C222" t="str">
            <v>219</v>
          </cell>
          <cell r="D222" t="str">
            <v xml:space="preserve"> equipment hire</v>
          </cell>
          <cell r="Q222">
            <v>0</v>
          </cell>
          <cell r="AD222">
            <v>0</v>
          </cell>
          <cell r="AQ222">
            <v>0</v>
          </cell>
          <cell r="BD222">
            <v>0</v>
          </cell>
          <cell r="BQ222">
            <v>0</v>
          </cell>
          <cell r="BR222">
            <v>0</v>
          </cell>
        </row>
        <row r="223">
          <cell r="A223" t="str">
            <v>2</v>
          </cell>
          <cell r="B223" t="str">
            <v>0204</v>
          </cell>
          <cell r="C223" t="str">
            <v>229</v>
          </cell>
          <cell r="D223" t="str">
            <v xml:space="preserve"> lab services - general</v>
          </cell>
          <cell r="Q223">
            <v>0</v>
          </cell>
          <cell r="AD223">
            <v>0</v>
          </cell>
          <cell r="AQ223">
            <v>0</v>
          </cell>
          <cell r="BD223">
            <v>0</v>
          </cell>
          <cell r="BQ223">
            <v>0</v>
          </cell>
          <cell r="BR223">
            <v>0</v>
          </cell>
        </row>
        <row r="224">
          <cell r="A224" t="str">
            <v>2</v>
          </cell>
          <cell r="B224" t="str">
            <v>0204</v>
          </cell>
          <cell r="C224" t="str">
            <v>289</v>
          </cell>
          <cell r="D224" t="str">
            <v xml:space="preserve"> travel &amp; accommodation</v>
          </cell>
          <cell r="Q224">
            <v>0</v>
          </cell>
          <cell r="AD224">
            <v>0</v>
          </cell>
          <cell r="AQ224">
            <v>0</v>
          </cell>
          <cell r="BD224">
            <v>0</v>
          </cell>
          <cell r="BQ224">
            <v>0</v>
          </cell>
          <cell r="BR224">
            <v>0</v>
          </cell>
        </row>
        <row r="225">
          <cell r="A225" t="str">
            <v>2</v>
          </cell>
          <cell r="B225" t="str">
            <v>0204</v>
          </cell>
          <cell r="C225" t="str">
            <v>331</v>
          </cell>
          <cell r="D225" t="str">
            <v xml:space="preserve"> laboratory supplies</v>
          </cell>
          <cell r="Q225">
            <v>0</v>
          </cell>
          <cell r="AD225">
            <v>0</v>
          </cell>
          <cell r="AQ225">
            <v>0</v>
          </cell>
          <cell r="BD225">
            <v>0</v>
          </cell>
          <cell r="BQ225">
            <v>0</v>
          </cell>
          <cell r="BR225">
            <v>0</v>
          </cell>
        </row>
        <row r="226">
          <cell r="A226" t="str">
            <v>2</v>
          </cell>
          <cell r="B226" t="str">
            <v>0204</v>
          </cell>
          <cell r="C226" t="str">
            <v>342</v>
          </cell>
          <cell r="D226" t="str">
            <v xml:space="preserve"> consumables - general</v>
          </cell>
          <cell r="Q226">
            <v>0</v>
          </cell>
          <cell r="AD226">
            <v>0</v>
          </cell>
          <cell r="AQ226">
            <v>0</v>
          </cell>
          <cell r="BD226">
            <v>0</v>
          </cell>
          <cell r="BQ226">
            <v>0</v>
          </cell>
          <cell r="BR226">
            <v>0</v>
          </cell>
        </row>
        <row r="227">
          <cell r="A227" t="str">
            <v>2</v>
          </cell>
          <cell r="B227" t="str">
            <v>0204</v>
          </cell>
          <cell r="C227" t="str">
            <v>432</v>
          </cell>
          <cell r="D227" t="str">
            <v xml:space="preserve"> consumables - mechanical</v>
          </cell>
          <cell r="Q227">
            <v>0</v>
          </cell>
          <cell r="AD227">
            <v>0</v>
          </cell>
          <cell r="AQ227">
            <v>0</v>
          </cell>
          <cell r="BD227">
            <v>0</v>
          </cell>
          <cell r="BQ227">
            <v>0</v>
          </cell>
          <cell r="BR227">
            <v>0</v>
          </cell>
        </row>
        <row r="228">
          <cell r="A228" t="str">
            <v>2</v>
          </cell>
          <cell r="B228" t="str">
            <v>0204</v>
          </cell>
          <cell r="C228" t="str">
            <v>000</v>
          </cell>
          <cell r="D228" t="str">
            <v>Research - Untitled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</row>
        <row r="230">
          <cell r="A230" t="str">
            <v>2</v>
          </cell>
          <cell r="B230" t="str">
            <v>0205</v>
          </cell>
          <cell r="C230" t="str">
            <v>000</v>
          </cell>
          <cell r="D230" t="str">
            <v>Research - Untitled</v>
          </cell>
        </row>
        <row r="231">
          <cell r="A231" t="str">
            <v>2</v>
          </cell>
          <cell r="B231" t="str">
            <v>0205</v>
          </cell>
          <cell r="C231" t="str">
            <v>106</v>
          </cell>
          <cell r="D231" t="str">
            <v xml:space="preserve"> wages ord time</v>
          </cell>
          <cell r="Q231">
            <v>0</v>
          </cell>
          <cell r="AD231">
            <v>0</v>
          </cell>
          <cell r="AQ231">
            <v>0</v>
          </cell>
          <cell r="BD231">
            <v>0</v>
          </cell>
          <cell r="BQ231">
            <v>0</v>
          </cell>
          <cell r="BR231">
            <v>0</v>
          </cell>
        </row>
        <row r="232">
          <cell r="A232" t="str">
            <v>2</v>
          </cell>
          <cell r="B232" t="str">
            <v>0205</v>
          </cell>
          <cell r="C232" t="str">
            <v>107</v>
          </cell>
          <cell r="D232" t="str">
            <v xml:space="preserve"> wages overtime</v>
          </cell>
          <cell r="Q232">
            <v>0</v>
          </cell>
          <cell r="AD232">
            <v>0</v>
          </cell>
          <cell r="AQ232">
            <v>0</v>
          </cell>
          <cell r="BD232">
            <v>0</v>
          </cell>
          <cell r="BQ232">
            <v>0</v>
          </cell>
          <cell r="BR232">
            <v>0</v>
          </cell>
        </row>
        <row r="233">
          <cell r="A233" t="str">
            <v>2</v>
          </cell>
          <cell r="B233" t="str">
            <v>0205</v>
          </cell>
          <cell r="C233" t="str">
            <v>112</v>
          </cell>
          <cell r="D233" t="str">
            <v xml:space="preserve"> contract labour - production</v>
          </cell>
          <cell r="Q233">
            <v>0</v>
          </cell>
          <cell r="AD233">
            <v>0</v>
          </cell>
          <cell r="AQ233">
            <v>0</v>
          </cell>
          <cell r="BD233">
            <v>0</v>
          </cell>
          <cell r="BQ233">
            <v>0</v>
          </cell>
          <cell r="BR233">
            <v>0</v>
          </cell>
        </row>
        <row r="234">
          <cell r="A234" t="str">
            <v>2</v>
          </cell>
          <cell r="B234" t="str">
            <v>0205</v>
          </cell>
          <cell r="C234" t="str">
            <v>211</v>
          </cell>
          <cell r="D234" t="str">
            <v xml:space="preserve"> consultants - General</v>
          </cell>
          <cell r="Q234">
            <v>0</v>
          </cell>
          <cell r="AD234">
            <v>0</v>
          </cell>
          <cell r="AQ234">
            <v>0</v>
          </cell>
          <cell r="BD234">
            <v>0</v>
          </cell>
          <cell r="BQ234">
            <v>0</v>
          </cell>
          <cell r="BR234">
            <v>0</v>
          </cell>
        </row>
        <row r="235">
          <cell r="A235" t="str">
            <v>2</v>
          </cell>
          <cell r="B235" t="str">
            <v>0205</v>
          </cell>
          <cell r="C235" t="str">
            <v>219</v>
          </cell>
          <cell r="D235" t="str">
            <v xml:space="preserve"> equipment hire</v>
          </cell>
          <cell r="Q235">
            <v>0</v>
          </cell>
          <cell r="AD235">
            <v>0</v>
          </cell>
          <cell r="AQ235">
            <v>0</v>
          </cell>
          <cell r="BD235">
            <v>0</v>
          </cell>
          <cell r="BQ235">
            <v>0</v>
          </cell>
          <cell r="BR235">
            <v>0</v>
          </cell>
        </row>
        <row r="236">
          <cell r="A236" t="str">
            <v>2</v>
          </cell>
          <cell r="B236" t="str">
            <v>0205</v>
          </cell>
          <cell r="C236" t="str">
            <v>229</v>
          </cell>
          <cell r="D236" t="str">
            <v xml:space="preserve"> lab services - general</v>
          </cell>
          <cell r="Q236">
            <v>0</v>
          </cell>
          <cell r="AD236">
            <v>0</v>
          </cell>
          <cell r="AQ236">
            <v>0</v>
          </cell>
          <cell r="BD236">
            <v>0</v>
          </cell>
          <cell r="BQ236">
            <v>0</v>
          </cell>
          <cell r="BR236">
            <v>0</v>
          </cell>
        </row>
        <row r="237">
          <cell r="A237" t="str">
            <v>2</v>
          </cell>
          <cell r="B237" t="str">
            <v>0205</v>
          </cell>
          <cell r="C237" t="str">
            <v>289</v>
          </cell>
          <cell r="D237" t="str">
            <v xml:space="preserve"> travel &amp; accommodation</v>
          </cell>
          <cell r="Q237">
            <v>0</v>
          </cell>
          <cell r="AD237">
            <v>0</v>
          </cell>
          <cell r="AQ237">
            <v>0</v>
          </cell>
          <cell r="BD237">
            <v>0</v>
          </cell>
          <cell r="BQ237">
            <v>0</v>
          </cell>
          <cell r="BR237">
            <v>0</v>
          </cell>
        </row>
        <row r="238">
          <cell r="A238" t="str">
            <v>2</v>
          </cell>
          <cell r="B238" t="str">
            <v>0205</v>
          </cell>
          <cell r="C238" t="str">
            <v>331</v>
          </cell>
          <cell r="D238" t="str">
            <v xml:space="preserve"> laboratory supplies</v>
          </cell>
          <cell r="Q238">
            <v>0</v>
          </cell>
          <cell r="AD238">
            <v>0</v>
          </cell>
          <cell r="AQ238">
            <v>0</v>
          </cell>
          <cell r="BD238">
            <v>0</v>
          </cell>
          <cell r="BQ238">
            <v>0</v>
          </cell>
          <cell r="BR238">
            <v>0</v>
          </cell>
        </row>
        <row r="239">
          <cell r="A239" t="str">
            <v>2</v>
          </cell>
          <cell r="B239" t="str">
            <v>0205</v>
          </cell>
          <cell r="C239" t="str">
            <v>342</v>
          </cell>
          <cell r="D239" t="str">
            <v xml:space="preserve"> consumables - general</v>
          </cell>
          <cell r="Q239">
            <v>0</v>
          </cell>
          <cell r="AD239">
            <v>0</v>
          </cell>
          <cell r="AQ239">
            <v>0</v>
          </cell>
          <cell r="BD239">
            <v>0</v>
          </cell>
          <cell r="BQ239">
            <v>0</v>
          </cell>
          <cell r="BR239">
            <v>0</v>
          </cell>
        </row>
        <row r="240">
          <cell r="A240" t="str">
            <v>2</v>
          </cell>
          <cell r="B240" t="str">
            <v>0205</v>
          </cell>
          <cell r="C240" t="str">
            <v>432</v>
          </cell>
          <cell r="D240" t="str">
            <v xml:space="preserve"> consumables - mechanical</v>
          </cell>
          <cell r="Q240">
            <v>0</v>
          </cell>
          <cell r="AD240">
            <v>0</v>
          </cell>
          <cell r="AQ240">
            <v>0</v>
          </cell>
          <cell r="BD240">
            <v>0</v>
          </cell>
          <cell r="BQ240">
            <v>0</v>
          </cell>
          <cell r="BR240">
            <v>0</v>
          </cell>
        </row>
        <row r="241">
          <cell r="A241" t="str">
            <v>2</v>
          </cell>
          <cell r="B241" t="str">
            <v>0205</v>
          </cell>
          <cell r="C241" t="str">
            <v>000</v>
          </cell>
          <cell r="D241" t="str">
            <v>Research - Untitled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</row>
        <row r="243">
          <cell r="A243" t="str">
            <v>2</v>
          </cell>
          <cell r="B243" t="str">
            <v>0206</v>
          </cell>
          <cell r="C243" t="str">
            <v>000</v>
          </cell>
          <cell r="D243" t="str">
            <v>Research - Untitled</v>
          </cell>
        </row>
        <row r="244">
          <cell r="A244" t="str">
            <v>2</v>
          </cell>
          <cell r="B244" t="str">
            <v>0206</v>
          </cell>
          <cell r="C244" t="str">
            <v>106</v>
          </cell>
          <cell r="D244" t="str">
            <v xml:space="preserve"> wages ord time</v>
          </cell>
          <cell r="Q244">
            <v>0</v>
          </cell>
          <cell r="AD244">
            <v>0</v>
          </cell>
          <cell r="AQ244">
            <v>0</v>
          </cell>
          <cell r="BD244">
            <v>0</v>
          </cell>
          <cell r="BQ244">
            <v>0</v>
          </cell>
          <cell r="BR244">
            <v>0</v>
          </cell>
        </row>
        <row r="245">
          <cell r="A245" t="str">
            <v>2</v>
          </cell>
          <cell r="B245" t="str">
            <v>0206</v>
          </cell>
          <cell r="C245" t="str">
            <v>107</v>
          </cell>
          <cell r="D245" t="str">
            <v xml:space="preserve"> wages overtime</v>
          </cell>
          <cell r="Q245">
            <v>0</v>
          </cell>
          <cell r="AD245">
            <v>0</v>
          </cell>
          <cell r="AQ245">
            <v>0</v>
          </cell>
          <cell r="BD245">
            <v>0</v>
          </cell>
          <cell r="BQ245">
            <v>0</v>
          </cell>
          <cell r="BR245">
            <v>0</v>
          </cell>
        </row>
        <row r="246">
          <cell r="A246" t="str">
            <v>2</v>
          </cell>
          <cell r="B246" t="str">
            <v>0206</v>
          </cell>
          <cell r="C246" t="str">
            <v>112</v>
          </cell>
          <cell r="D246" t="str">
            <v xml:space="preserve"> contract labour - production</v>
          </cell>
          <cell r="Q246">
            <v>0</v>
          </cell>
          <cell r="AD246">
            <v>0</v>
          </cell>
          <cell r="AQ246">
            <v>0</v>
          </cell>
          <cell r="BD246">
            <v>0</v>
          </cell>
          <cell r="BQ246">
            <v>0</v>
          </cell>
          <cell r="BR246">
            <v>0</v>
          </cell>
        </row>
        <row r="247">
          <cell r="A247" t="str">
            <v>2</v>
          </cell>
          <cell r="B247" t="str">
            <v>0206</v>
          </cell>
          <cell r="C247" t="str">
            <v>211</v>
          </cell>
          <cell r="D247" t="str">
            <v xml:space="preserve"> consultants - General</v>
          </cell>
          <cell r="Q247">
            <v>0</v>
          </cell>
          <cell r="AD247">
            <v>0</v>
          </cell>
          <cell r="AQ247">
            <v>0</v>
          </cell>
          <cell r="BD247">
            <v>0</v>
          </cell>
          <cell r="BQ247">
            <v>0</v>
          </cell>
          <cell r="BR247">
            <v>0</v>
          </cell>
        </row>
        <row r="248">
          <cell r="A248" t="str">
            <v>2</v>
          </cell>
          <cell r="B248" t="str">
            <v>0206</v>
          </cell>
          <cell r="C248" t="str">
            <v>219</v>
          </cell>
          <cell r="D248" t="str">
            <v xml:space="preserve"> equipment hire</v>
          </cell>
          <cell r="Q248">
            <v>0</v>
          </cell>
          <cell r="AD248">
            <v>0</v>
          </cell>
          <cell r="AQ248">
            <v>0</v>
          </cell>
          <cell r="BD248">
            <v>0</v>
          </cell>
          <cell r="BQ248">
            <v>0</v>
          </cell>
          <cell r="BR248">
            <v>0</v>
          </cell>
        </row>
        <row r="249">
          <cell r="A249" t="str">
            <v>2</v>
          </cell>
          <cell r="B249" t="str">
            <v>0206</v>
          </cell>
          <cell r="C249" t="str">
            <v>229</v>
          </cell>
          <cell r="D249" t="str">
            <v xml:space="preserve"> lab services - general</v>
          </cell>
          <cell r="Q249">
            <v>0</v>
          </cell>
          <cell r="AD249">
            <v>0</v>
          </cell>
          <cell r="AQ249">
            <v>0</v>
          </cell>
          <cell r="BD249">
            <v>0</v>
          </cell>
          <cell r="BQ249">
            <v>0</v>
          </cell>
          <cell r="BR249">
            <v>0</v>
          </cell>
        </row>
        <row r="250">
          <cell r="A250" t="str">
            <v>2</v>
          </cell>
          <cell r="B250" t="str">
            <v>0206</v>
          </cell>
          <cell r="C250" t="str">
            <v>289</v>
          </cell>
          <cell r="D250" t="str">
            <v xml:space="preserve"> travel &amp; accommodation</v>
          </cell>
          <cell r="Q250">
            <v>0</v>
          </cell>
          <cell r="AD250">
            <v>0</v>
          </cell>
          <cell r="AQ250">
            <v>0</v>
          </cell>
          <cell r="BD250">
            <v>0</v>
          </cell>
          <cell r="BQ250">
            <v>0</v>
          </cell>
          <cell r="BR250">
            <v>0</v>
          </cell>
        </row>
        <row r="251">
          <cell r="A251" t="str">
            <v>2</v>
          </cell>
          <cell r="B251" t="str">
            <v>0206</v>
          </cell>
          <cell r="C251" t="str">
            <v>331</v>
          </cell>
          <cell r="D251" t="str">
            <v xml:space="preserve"> laboratory supplies</v>
          </cell>
          <cell r="Q251">
            <v>0</v>
          </cell>
          <cell r="AD251">
            <v>0</v>
          </cell>
          <cell r="AQ251">
            <v>0</v>
          </cell>
          <cell r="BD251">
            <v>0</v>
          </cell>
          <cell r="BQ251">
            <v>0</v>
          </cell>
          <cell r="BR251">
            <v>0</v>
          </cell>
        </row>
        <row r="252">
          <cell r="A252" t="str">
            <v>2</v>
          </cell>
          <cell r="B252" t="str">
            <v>0206</v>
          </cell>
          <cell r="C252" t="str">
            <v>342</v>
          </cell>
          <cell r="D252" t="str">
            <v xml:space="preserve"> consumables - general</v>
          </cell>
          <cell r="Q252">
            <v>0</v>
          </cell>
          <cell r="AD252">
            <v>0</v>
          </cell>
          <cell r="AQ252">
            <v>0</v>
          </cell>
          <cell r="BD252">
            <v>0</v>
          </cell>
          <cell r="BQ252">
            <v>0</v>
          </cell>
          <cell r="BR252">
            <v>0</v>
          </cell>
        </row>
        <row r="253">
          <cell r="A253" t="str">
            <v>2</v>
          </cell>
          <cell r="B253" t="str">
            <v>0206</v>
          </cell>
          <cell r="C253" t="str">
            <v>432</v>
          </cell>
          <cell r="D253" t="str">
            <v xml:space="preserve"> consumables - mechanical</v>
          </cell>
          <cell r="Q253">
            <v>0</v>
          </cell>
          <cell r="AD253">
            <v>0</v>
          </cell>
          <cell r="AQ253">
            <v>0</v>
          </cell>
          <cell r="BD253">
            <v>0</v>
          </cell>
          <cell r="BQ253">
            <v>0</v>
          </cell>
          <cell r="BR253">
            <v>0</v>
          </cell>
        </row>
        <row r="254">
          <cell r="A254" t="str">
            <v>2</v>
          </cell>
          <cell r="B254" t="str">
            <v>0206</v>
          </cell>
          <cell r="C254" t="str">
            <v>000</v>
          </cell>
          <cell r="D254" t="str">
            <v>Research - Untitled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</row>
        <row r="257">
          <cell r="D257" t="str">
            <v>Production Total</v>
          </cell>
          <cell r="E257">
            <v>2353952.162</v>
          </cell>
          <cell r="F257">
            <v>2317252.162</v>
          </cell>
          <cell r="G257">
            <v>2258663.5619999999</v>
          </cell>
          <cell r="H257">
            <v>2296457.3620000002</v>
          </cell>
          <cell r="I257">
            <v>2548698.8486000001</v>
          </cell>
          <cell r="J257">
            <v>2789581.2675999999</v>
          </cell>
          <cell r="K257">
            <v>2781381.2675999999</v>
          </cell>
          <cell r="L257">
            <v>2553891.5100000002</v>
          </cell>
          <cell r="M257">
            <v>2754681.2675999999</v>
          </cell>
          <cell r="N257">
            <v>2646035.1186000002</v>
          </cell>
          <cell r="O257">
            <v>2753681.2675999999</v>
          </cell>
          <cell r="P257">
            <v>2844591.3506</v>
          </cell>
          <cell r="Q257">
            <v>30898867.146200001</v>
          </cell>
          <cell r="R257">
            <v>1425033.385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1425033.385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0.33333333332848269</v>
          </cell>
          <cell r="AS257">
            <v>0.33333333332848269</v>
          </cell>
          <cell r="AT257">
            <v>0.33333333332848269</v>
          </cell>
          <cell r="AU257">
            <v>0.33333333332848269</v>
          </cell>
          <cell r="AV257">
            <v>0.33333333332848269</v>
          </cell>
          <cell r="AW257">
            <v>0.33333333332848269</v>
          </cell>
          <cell r="AX257">
            <v>0.33333333332848269</v>
          </cell>
          <cell r="AY257">
            <v>0.33333333332848269</v>
          </cell>
          <cell r="AZ257">
            <v>0.33333333332848269</v>
          </cell>
          <cell r="BA257">
            <v>0.33333333332848269</v>
          </cell>
          <cell r="BB257">
            <v>0.33333333332848269</v>
          </cell>
          <cell r="BC257">
            <v>0.33333333332848269</v>
          </cell>
          <cell r="BD257">
            <v>4.0000000001164153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32323904.531199999</v>
          </cell>
        </row>
        <row r="259">
          <cell r="E259">
            <v>1825303.162</v>
          </cell>
          <cell r="F259">
            <v>1788603.162</v>
          </cell>
          <cell r="G259">
            <v>1747167.5619999999</v>
          </cell>
          <cell r="H259">
            <v>1776385.3620000002</v>
          </cell>
          <cell r="I259">
            <v>2037202.8486000001</v>
          </cell>
          <cell r="J259">
            <v>2260932.2675999999</v>
          </cell>
          <cell r="K259">
            <v>2252732.2675999999</v>
          </cell>
          <cell r="L259">
            <v>2076701.5100000002</v>
          </cell>
          <cell r="M259">
            <v>2226032.2675999999</v>
          </cell>
          <cell r="N259">
            <v>2134539.1186000002</v>
          </cell>
          <cell r="O259">
            <v>2225032.2675999999</v>
          </cell>
          <cell r="P259">
            <v>2333095.3506</v>
          </cell>
          <cell r="Q259">
            <v>24683727.146200001</v>
          </cell>
          <cell r="R259">
            <v>1162789.385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1162789.385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25846516.531200003</v>
          </cell>
        </row>
        <row r="261">
          <cell r="E261">
            <v>5500</v>
          </cell>
          <cell r="F261">
            <v>5500</v>
          </cell>
          <cell r="G261">
            <v>5500</v>
          </cell>
          <cell r="H261">
            <v>5500</v>
          </cell>
          <cell r="I261">
            <v>5500</v>
          </cell>
          <cell r="J261">
            <v>5500</v>
          </cell>
          <cell r="K261">
            <v>5500</v>
          </cell>
          <cell r="L261">
            <v>5500</v>
          </cell>
          <cell r="M261">
            <v>5500</v>
          </cell>
          <cell r="N261">
            <v>5500</v>
          </cell>
          <cell r="O261">
            <v>5500</v>
          </cell>
          <cell r="P261">
            <v>5500</v>
          </cell>
          <cell r="Q261">
            <v>66000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FES"/>
      <sheetName val="Dictionari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KAZAK RECO ST 99"/>
      <sheetName val="Project Detail Inputs"/>
      <sheetName val="МодельППП (Свод)"/>
      <sheetName val="FS-97"/>
      <sheetName val="ВОЛС"/>
      <sheetName val="SA Procedures"/>
      <sheetName val="MetaData"/>
      <sheetName val="P9-BS by Co"/>
      <sheetName val="Catalogue"/>
      <sheetName val="2_2 ОтклОТМ"/>
      <sheetName val="1_3_2 ОТМ"/>
      <sheetName val="ОТиТБ"/>
      <sheetName val="объемные показатели с доходами"/>
      <sheetName val="XREF"/>
      <sheetName val="Пр2"/>
      <sheetName val="Info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MetaData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Links"/>
      <sheetName val="PIT&amp;PP(2)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PP&amp;E mvt for 2003"/>
      <sheetName val="Movements"/>
      <sheetName val="FA Movement "/>
      <sheetName val="Additions testing"/>
      <sheetName val="Movement schedule"/>
      <sheetName val="depreciation testing"/>
      <sheetName val="Приложение 1 KZT"/>
      <sheetName val="GAAP TB 31.12.01  detail p&amp;l"/>
      <sheetName val="FA Movement Kyrg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Notes IS"/>
      <sheetName val="C 25"/>
      <sheetName val="2005 Social"/>
      <sheetName val="Data-in"/>
      <sheetName val="Info"/>
      <sheetName val="Содержание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TB-KZT"/>
      <sheetName val="TB USD"/>
      <sheetName val="консолид Нурсат"/>
      <sheetName val="Interco payables&amp;receivables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Intercompany transactions"/>
      <sheetName val="MODEL500"/>
      <sheetName val="1НК_объемы"/>
      <sheetName val="Control"/>
      <sheetName val="Project Detail Inputs"/>
      <sheetName val="Dept"/>
      <sheetName val="$ IS"/>
      <sheetName val="Cur portion of L-t loans 2006"/>
      <sheetName val=""/>
      <sheetName val="1NK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Loans disclosure"/>
      <sheetName val="Movements"/>
      <sheetName val="% capitalization"/>
      <sheetName val="Cur portion of L-t loans calc"/>
      <sheetName val="Loans description"/>
      <sheetName val="Related parties"/>
      <sheetName val="Loan FX calc"/>
      <sheetName val="Sheet2"/>
      <sheetName val="Principal repayments test"/>
      <sheetName val="Principal withdrawals test"/>
      <sheetName val="Cash deposits &amp; cash curr acc's"/>
      <sheetName val="Bond withdrawals test"/>
      <sheetName val="Interest accruals"/>
      <sheetName val="Interest payable test"/>
      <sheetName val="Expected vs Actual"/>
      <sheetName val="Threshold Calc (2)"/>
      <sheetName val="Expected vs Actual (2)"/>
      <sheetName val="Transformation table"/>
      <sheetName val="Tickmarks"/>
      <sheetName val="Loans"/>
      <sheetName val="Movement"/>
      <sheetName val="Interest expense test"/>
      <sheetName val="Calculation of effective rate"/>
      <sheetName val="Calc amort discount expense"/>
      <sheetName val="Fair value"/>
      <sheetName val="Principal repayment test"/>
      <sheetName val="Expected vs Actual (3)"/>
      <sheetName val="Expected vs Actual (4)"/>
      <sheetName val="JBIC"/>
      <sheetName val="Spain"/>
      <sheetName val="54 units"/>
      <sheetName val="200 units"/>
      <sheetName val="Collaterals on loans"/>
      <sheetName val="XREF"/>
      <sheetName val="CMA testing"/>
      <sheetName val="ABN AMRO"/>
      <sheetName val="Movement (2)"/>
      <sheetName val="Collaterals on loans (2)"/>
      <sheetName val="Ex rates"/>
      <sheetName val="Собственный капитал"/>
      <sheetName val="PP&amp;E mvt for 2003"/>
      <sheetName val="Ñîáñòâåííûé êàïèòàë"/>
      <sheetName val="Capex"/>
      <sheetName val="Disclosure"/>
      <sheetName val="9-1"/>
      <sheetName val="4"/>
      <sheetName val="1-1"/>
      <sheetName val="1"/>
      <sheetName val="P&amp;L"/>
      <sheetName val="Provisions"/>
      <sheetName val="7"/>
      <sheetName val="10"/>
      <sheetName val="TOD of payments and receipts"/>
      <sheetName val="Interest recalculation"/>
      <sheetName val="breakdown"/>
      <sheetName val="FA depreciation"/>
      <sheetName val="Форма2"/>
      <sheetName val="Datasheet"/>
      <sheetName val="из сем"/>
      <sheetName val="Hidden"/>
      <sheetName val="Cur portion of L-t loans 2006"/>
      <sheetName val="Форма1"/>
      <sheetName val="ЦХЛ 2004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_старая форма"/>
      <sheetName val="ВД(П)"/>
      <sheetName val="ВД(Ф)"/>
      <sheetName val="КМ(КВЛ)"/>
      <sheetName val="МН(КВЛ)"/>
      <sheetName val="ОС"/>
      <sheetName val="V"/>
      <sheetName val="Тар"/>
      <sheetName val="В"/>
      <sheetName val="С"/>
      <sheetName val="КМ(Ф)"/>
      <sheetName val="МН(Ф)"/>
      <sheetName val="Ф"/>
      <sheetName val="НДС"/>
      <sheetName val="ОК"/>
      <sheetName val="PL"/>
      <sheetName val="CF"/>
      <sheetName val="SA"/>
      <sheetName val="Риск 1"/>
      <sheetName val="Риск 2"/>
      <sheetName val="Риск 3"/>
      <sheetName val="Риск 4"/>
      <sheetName val="Риск 5"/>
      <sheetName val="Риск 6"/>
      <sheetName val="Риск 7"/>
      <sheetName val="WACC"/>
      <sheetName val="Бюджет 2015"/>
      <sheetName val="Лист2"/>
      <sheetName val="Вагоны"/>
      <sheetName val="Простои"/>
      <sheetName val="Форма"/>
      <sheetName val="Valuation (5лет)"/>
      <sheetName val="Valuation (7лет)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>
        <row r="13">
          <cell r="D13">
            <v>0</v>
          </cell>
        </row>
      </sheetData>
      <sheetData sheetId="7" refreshError="1"/>
      <sheetData sheetId="8" refreshError="1"/>
      <sheetData sheetId="9">
        <row r="10">
          <cell r="C10">
            <v>1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60">
          <cell r="E60">
            <v>76805.987584519506</v>
          </cell>
        </row>
      </sheetData>
      <sheetData sheetId="29">
        <row r="35">
          <cell r="B35">
            <v>24</v>
          </cell>
        </row>
      </sheetData>
      <sheetData sheetId="30" refreshError="1"/>
      <sheetData sheetId="31" refreshError="1"/>
      <sheetData sheetId="3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_старая форма"/>
      <sheetName val="ВД(П)"/>
      <sheetName val="ВД(Ф)"/>
      <sheetName val="КМ(КВЛ)"/>
      <sheetName val="МН(КВЛ)"/>
      <sheetName val="ОС"/>
      <sheetName val="V"/>
      <sheetName val="Тар"/>
      <sheetName val="В"/>
      <sheetName val="С"/>
      <sheetName val="КМ(Ф)"/>
      <sheetName val="МН(Ф)"/>
      <sheetName val="Ф"/>
      <sheetName val="НДС"/>
      <sheetName val="ОК"/>
      <sheetName val="PL"/>
      <sheetName val="CF"/>
      <sheetName val="SA"/>
      <sheetName val="Риск 1"/>
      <sheetName val="Риск 2"/>
      <sheetName val="Риск 3"/>
      <sheetName val="Риск 4"/>
      <sheetName val="Риск 5"/>
      <sheetName val="Риск 6"/>
      <sheetName val="Риск 7"/>
      <sheetName val="WACC"/>
      <sheetName val="Бюджет 2015"/>
      <sheetName val="Лист2"/>
      <sheetName val="Вагоны"/>
      <sheetName val="Простои"/>
      <sheetName val="Форма"/>
      <sheetName val="Valuation (5лет)"/>
      <sheetName val="Valuation (7ле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1">
          <cell r="I41">
            <v>0</v>
          </cell>
        </row>
      </sheetData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ЦХЛ 2004"/>
      <sheetName val="2210900-Aug"/>
      <sheetName val="прочие поступл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BS"/>
      <sheetName val="WC"/>
      <sheetName val="CF"/>
      <sheetName val="адм"/>
      <sheetName val="SG&amp;A"/>
      <sheetName val="COS"/>
      <sheetName val="Financing"/>
      <sheetName val="FA"/>
      <sheetName val="ATI"/>
      <sheetName val="ATD"/>
      <sheetName val="Sales"/>
      <sheetName val="земля"/>
      <sheetName val="ШТАТКА (2)"/>
      <sheetName val="штатка"/>
      <sheetName val="VAT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Объемы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Материалы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61"/>
      <sheetName val="Проект &quot;Конверсия природног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МЗ"/>
      <sheetName val="ГРК"/>
      <sheetName val="ДЕМЕУ"/>
      <sheetName val="НАК"/>
      <sheetName val="ВГ"/>
      <sheetName val="ИВТ"/>
      <sheetName val="МАЭК"/>
      <sheetName val="ГЕОТЕХНОЛОГИЯ"/>
      <sheetName val="Заречное"/>
      <sheetName val="УКР ТВС"/>
      <sheetName val="Конс "/>
      <sheetName val="копия_отправка_ФХД"/>
      <sheetName val="отправка_дочерние"/>
      <sheetName val="отправка_план_развития"/>
      <sheetName val="налоги"/>
      <sheetName val="Ремонт ОС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ЯНВАРЬ"/>
      <sheetName val="АПК реформа"/>
      <sheetName val="Добыча_нефти41"/>
      <sheetName val="Добыча_нефти4"/>
      <sheetName val="Добыча_нефти42"/>
      <sheetName val="Б.мчас (П)"/>
      <sheetName val="Добычанефти4"/>
      <sheetName val="поставкасравн13"/>
      <sheetName val="из сем"/>
      <sheetName val="свод"/>
      <sheetName val="calc"/>
      <sheetName val="PP&amp;E mvt for 2003"/>
      <sheetName val="IS"/>
      <sheetName val="2008 ГСМ"/>
      <sheetName val="Плата за загрязнение "/>
      <sheetName val="Типограф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База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класс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прил№10"/>
      <sheetName val="Cashflow"/>
      <sheetName val="Info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K-800 Imp. test"/>
      <sheetName val="FA register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Служебный ФКРБ"/>
      <sheetName val="Источник финансирования"/>
      <sheetName val="Способ закупки"/>
      <sheetName val="Тип пункта плана"/>
      <sheetName val="коммун."/>
      <sheetName val="ТД РАП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заявка_на_произ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Loaded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2.2 ОтклОТМ"/>
      <sheetName val="1.3.2 ОТМ"/>
      <sheetName val="Предпр"/>
      <sheetName val="ЦентрЗатр"/>
      <sheetName val="ЕдИзм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Graph"/>
      <sheetName val="д.7.001"/>
      <sheetName val="-расчет налогов от ФОТ  на 2014"/>
      <sheetName val="misc"/>
      <sheetName val="Pbs_Wbs_ATC"/>
      <sheetName val="Non-Statistical Sampling Master"/>
      <sheetName val="Global Data"/>
      <sheetName val="SMSTemp"/>
      <sheetName val="GAAP TB 30.09.01  detail p&amp;l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2кв.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6"/>
      <sheetName val="Форма 7"/>
      <sheetName val="Форма 8"/>
      <sheetName val="Анализ"/>
      <sheetName val="Форма 5"/>
    </sheetNames>
    <sheetDataSet>
      <sheetData sheetId="0" refreshError="1"/>
      <sheetData sheetId="1" refreshError="1"/>
      <sheetData sheetId="2" refreshError="1">
        <row r="20">
          <cell r="C20">
            <v>6274</v>
          </cell>
          <cell r="E20">
            <v>1118</v>
          </cell>
        </row>
        <row r="21">
          <cell r="C21">
            <v>370</v>
          </cell>
        </row>
        <row r="27">
          <cell r="D27">
            <v>479</v>
          </cell>
          <cell r="F27">
            <v>543</v>
          </cell>
        </row>
        <row r="28">
          <cell r="D28">
            <v>48</v>
          </cell>
          <cell r="F28">
            <v>60</v>
          </cell>
        </row>
        <row r="35">
          <cell r="E35">
            <v>2096</v>
          </cell>
        </row>
        <row r="36">
          <cell r="C36">
            <v>5426</v>
          </cell>
          <cell r="E36">
            <v>1713</v>
          </cell>
        </row>
        <row r="37">
          <cell r="C37">
            <v>7106</v>
          </cell>
          <cell r="E37">
            <v>9392</v>
          </cell>
          <cell r="F37">
            <v>4592</v>
          </cell>
        </row>
        <row r="41">
          <cell r="F41">
            <v>803</v>
          </cell>
        </row>
        <row r="42">
          <cell r="D42">
            <v>189</v>
          </cell>
          <cell r="F42">
            <v>365</v>
          </cell>
        </row>
        <row r="43">
          <cell r="D43">
            <v>1000</v>
          </cell>
          <cell r="F43">
            <v>1323</v>
          </cell>
        </row>
        <row r="53">
          <cell r="C53">
            <v>31</v>
          </cell>
          <cell r="E53">
            <v>389</v>
          </cell>
          <cell r="F53">
            <v>418</v>
          </cell>
        </row>
        <row r="54">
          <cell r="E54">
            <v>349</v>
          </cell>
          <cell r="F54">
            <v>349</v>
          </cell>
        </row>
        <row r="56">
          <cell r="C56">
            <v>335</v>
          </cell>
          <cell r="E56">
            <v>6391</v>
          </cell>
          <cell r="F56">
            <v>4792</v>
          </cell>
        </row>
        <row r="60">
          <cell r="C60">
            <v>18183</v>
          </cell>
          <cell r="E60">
            <v>22974</v>
          </cell>
          <cell r="F60">
            <v>18183</v>
          </cell>
        </row>
        <row r="65">
          <cell r="E65">
            <v>20104</v>
          </cell>
          <cell r="F65">
            <v>1212</v>
          </cell>
        </row>
        <row r="69">
          <cell r="C69">
            <v>4789</v>
          </cell>
          <cell r="E69">
            <v>182237</v>
          </cell>
          <cell r="F69">
            <v>157607</v>
          </cell>
        </row>
        <row r="78">
          <cell r="E78">
            <v>8505</v>
          </cell>
          <cell r="F78">
            <v>8505</v>
          </cell>
        </row>
        <row r="80">
          <cell r="C80">
            <v>3123</v>
          </cell>
          <cell r="E80">
            <v>12697</v>
          </cell>
          <cell r="F80">
            <v>9784</v>
          </cell>
        </row>
        <row r="81">
          <cell r="E81">
            <v>40</v>
          </cell>
          <cell r="F81">
            <v>40</v>
          </cell>
        </row>
        <row r="85">
          <cell r="C85">
            <v>472</v>
          </cell>
          <cell r="E85">
            <v>2500</v>
          </cell>
          <cell r="F85">
            <v>2126</v>
          </cell>
        </row>
        <row r="87">
          <cell r="E87">
            <v>1051</v>
          </cell>
          <cell r="F87">
            <v>620</v>
          </cell>
        </row>
        <row r="88">
          <cell r="C88">
            <v>2569</v>
          </cell>
          <cell r="E88">
            <v>32762</v>
          </cell>
          <cell r="F88">
            <v>29247</v>
          </cell>
        </row>
        <row r="95">
          <cell r="E95">
            <v>25897</v>
          </cell>
          <cell r="F95">
            <v>25897</v>
          </cell>
        </row>
        <row r="98">
          <cell r="C98">
            <v>102</v>
          </cell>
          <cell r="E98">
            <v>3429</v>
          </cell>
          <cell r="F98">
            <v>3471</v>
          </cell>
        </row>
        <row r="100">
          <cell r="E100">
            <v>45000</v>
          </cell>
          <cell r="F100">
            <v>45000</v>
          </cell>
        </row>
        <row r="102">
          <cell r="E102">
            <v>27375</v>
          </cell>
          <cell r="F102">
            <v>27375</v>
          </cell>
        </row>
        <row r="104">
          <cell r="C104">
            <v>20352</v>
          </cell>
          <cell r="E104">
            <v>285450</v>
          </cell>
          <cell r="F104">
            <v>245105</v>
          </cell>
        </row>
        <row r="106">
          <cell r="C106">
            <v>18</v>
          </cell>
          <cell r="E106">
            <v>18154</v>
          </cell>
          <cell r="F106">
            <v>17999</v>
          </cell>
        </row>
        <row r="112">
          <cell r="D112">
            <v>43631</v>
          </cell>
        </row>
        <row r="113">
          <cell r="C113">
            <v>21795</v>
          </cell>
        </row>
        <row r="125">
          <cell r="D125">
            <v>-449</v>
          </cell>
        </row>
        <row r="126">
          <cell r="E126">
            <v>141746</v>
          </cell>
          <cell r="F126">
            <v>158124</v>
          </cell>
        </row>
        <row r="138">
          <cell r="E138">
            <v>789</v>
          </cell>
        </row>
        <row r="140">
          <cell r="D140">
            <v>1945</v>
          </cell>
          <cell r="E140">
            <v>22290</v>
          </cell>
          <cell r="F140">
            <v>25060</v>
          </cell>
        </row>
        <row r="156">
          <cell r="D156">
            <v>30400</v>
          </cell>
          <cell r="E156">
            <v>62716</v>
          </cell>
          <cell r="F156">
            <v>138741</v>
          </cell>
        </row>
        <row r="158">
          <cell r="D158">
            <v>7600</v>
          </cell>
          <cell r="E158">
            <v>68590</v>
          </cell>
          <cell r="F158">
            <v>68026</v>
          </cell>
        </row>
        <row r="161">
          <cell r="D161">
            <v>3078</v>
          </cell>
          <cell r="E161">
            <v>79999</v>
          </cell>
          <cell r="F161">
            <v>87143</v>
          </cell>
        </row>
        <row r="163">
          <cell r="E163">
            <v>1293</v>
          </cell>
          <cell r="F163">
            <v>1293</v>
          </cell>
        </row>
        <row r="166">
          <cell r="D166">
            <v>709</v>
          </cell>
          <cell r="E166">
            <v>7264</v>
          </cell>
          <cell r="F166">
            <v>7838</v>
          </cell>
        </row>
        <row r="167">
          <cell r="D167">
            <v>230</v>
          </cell>
          <cell r="E167">
            <v>2631</v>
          </cell>
          <cell r="F167">
            <v>2422</v>
          </cell>
        </row>
        <row r="170">
          <cell r="E170">
            <v>157007</v>
          </cell>
          <cell r="F170">
            <v>157007</v>
          </cell>
        </row>
        <row r="179">
          <cell r="E179">
            <v>138</v>
          </cell>
          <cell r="F179">
            <v>138</v>
          </cell>
        </row>
        <row r="180">
          <cell r="E180">
            <v>4</v>
          </cell>
          <cell r="F180">
            <v>4</v>
          </cell>
        </row>
        <row r="182">
          <cell r="E182">
            <v>975</v>
          </cell>
          <cell r="F182">
            <v>975</v>
          </cell>
        </row>
        <row r="185">
          <cell r="E185">
            <v>107318</v>
          </cell>
          <cell r="F185">
            <v>107318</v>
          </cell>
        </row>
        <row r="187">
          <cell r="E187">
            <v>33953</v>
          </cell>
          <cell r="F187">
            <v>33953</v>
          </cell>
        </row>
        <row r="193">
          <cell r="E193">
            <v>240</v>
          </cell>
          <cell r="F193">
            <v>240</v>
          </cell>
        </row>
        <row r="194">
          <cell r="E194">
            <v>267</v>
          </cell>
          <cell r="F194">
            <v>267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273</v>
          </cell>
          <cell r="F205">
            <v>273</v>
          </cell>
        </row>
        <row r="206">
          <cell r="E206">
            <v>67121</v>
          </cell>
          <cell r="F206">
            <v>67121</v>
          </cell>
        </row>
        <row r="207">
          <cell r="E207">
            <v>12782</v>
          </cell>
          <cell r="F207">
            <v>12782</v>
          </cell>
        </row>
        <row r="208">
          <cell r="E208">
            <v>22559</v>
          </cell>
          <cell r="F208">
            <v>22559</v>
          </cell>
        </row>
        <row r="209">
          <cell r="C209">
            <v>0</v>
          </cell>
          <cell r="E209">
            <v>0</v>
          </cell>
        </row>
        <row r="227">
          <cell r="E227">
            <v>2187</v>
          </cell>
          <cell r="F227">
            <v>2187</v>
          </cell>
        </row>
        <row r="230">
          <cell r="E230">
            <v>7825</v>
          </cell>
          <cell r="F230">
            <v>7825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1BO"/>
      <sheetName val="definitions"/>
      <sheetName val="101"/>
      <sheetName val="Sheet1"/>
      <sheetName val="Info"/>
      <sheetName val="form_электрон"/>
      <sheetName val="6 NK"/>
      <sheetName val="Предпр"/>
      <sheetName val="ОТиТБ"/>
      <sheetName val="Пр2"/>
      <sheetName val="ДС МЗК"/>
      <sheetName val="Титул1"/>
      <sheetName val="PP&amp;E mvt for 2003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из сем"/>
      <sheetName val="Б.мчас (П)"/>
      <sheetName val="1NK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cf forec."/>
      <sheetName val="инвест. бюджет"/>
      <sheetName val="Treatment Summary"/>
      <sheetName val="cash product. plan"/>
      <sheetName val="cash flow forec."/>
      <sheetName val="Actual Costs"/>
      <sheetName val="Capital Ex"/>
      <sheetName val="бюджет зап. и зак."/>
      <sheetName val="инвест. бюджет с исп."/>
      <sheetName val="STATISTICS"/>
      <sheetName val="COSTS BY TYPE"/>
      <sheetName val="MAN PROFIT &amp; LOSS"/>
      <sheetName val="FIN PROFIT &amp; LOSS"/>
      <sheetName val="Milling"/>
      <sheetName val="Total plant cost"/>
      <sheetName val="CASH FLOW"/>
      <sheetName val="Payroll sum"/>
      <sheetName val="Total site overhead cost"/>
      <sheetName val="Detailed Cost &amp; Stock"/>
      <sheetName val="Summary"/>
      <sheetName val="Revenue"/>
      <sheetName val="Depreciation"/>
      <sheetName val="Amortized cost"/>
      <sheetName val="Admin Semey &amp; Almaty"/>
      <sheetName val="Interest Calculation"/>
      <sheetName val="Taxes "/>
      <sheetName val="Mining General cost"/>
      <sheetName val="Mining Workshop"/>
      <sheetName val="Mining  sulphide"/>
      <sheetName val="Site General cost"/>
      <sheetName val="Pump station"/>
      <sheetName val="Power line"/>
      <sheetName val="Boiler house"/>
      <sheetName val="Stores"/>
      <sheetName val="Accomodation block"/>
      <sheetName val="Tot sulph direct project cost"/>
      <sheetName val="Plant General cost"/>
      <sheetName val="Gold Room"/>
      <sheetName val="Crushing"/>
      <sheetName val="Plant workshop"/>
      <sheetName val="Tailings Dam"/>
      <sheetName val="Reagents "/>
      <sheetName val="Elution Regeneration"/>
      <sheetName val="CIL"/>
      <sheetName val="BIOX"/>
      <sheetName val="Flotation"/>
      <sheetName val="Gravity"/>
      <sheetName val="Exploration &amp; Tests"/>
      <sheetName val="Capital cost"/>
      <sheetName val="Input page"/>
      <sheetName val="Assumptions "/>
      <sheetName val="EQUIP"/>
      <sheetName val="Total construction"/>
      <sheetName val="Temp 1"/>
    </sheetNames>
    <sheetDataSet>
      <sheetData sheetId="0"/>
      <sheetData sheetId="1"/>
      <sheetData sheetId="2">
        <row r="8"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Oct</v>
          </cell>
          <cell r="P8" t="str">
            <v>Nov</v>
          </cell>
          <cell r="Q8" t="str">
            <v>Dec</v>
          </cell>
          <cell r="R8" t="str">
            <v>TOTAL</v>
          </cell>
          <cell r="S8" t="str">
            <v>Jan</v>
          </cell>
          <cell r="T8" t="str">
            <v>Feb</v>
          </cell>
          <cell r="U8" t="str">
            <v>Mar</v>
          </cell>
          <cell r="V8" t="str">
            <v>Apr</v>
          </cell>
          <cell r="W8" t="str">
            <v>May</v>
          </cell>
          <cell r="X8" t="str">
            <v>Jun</v>
          </cell>
          <cell r="Y8" t="str">
            <v>Jul</v>
          </cell>
          <cell r="Z8" t="str">
            <v>Aug</v>
          </cell>
          <cell r="AA8" t="str">
            <v>Sep</v>
          </cell>
          <cell r="AB8" t="str">
            <v>Oct</v>
          </cell>
          <cell r="AC8" t="str">
            <v>Nov</v>
          </cell>
          <cell r="AD8" t="str">
            <v>Dec</v>
          </cell>
          <cell r="AE8" t="str">
            <v>TOTAL</v>
          </cell>
          <cell r="AF8" t="str">
            <v>TOTAL</v>
          </cell>
          <cell r="AG8" t="str">
            <v>TOTAL</v>
          </cell>
          <cell r="AH8" t="str">
            <v>TOTAL</v>
          </cell>
          <cell r="AI8" t="str">
            <v>TOTAL</v>
          </cell>
        </row>
        <row r="9">
          <cell r="F9">
            <v>2005</v>
          </cell>
          <cell r="G9">
            <v>2005</v>
          </cell>
          <cell r="H9">
            <v>2005</v>
          </cell>
          <cell r="I9">
            <v>2005</v>
          </cell>
          <cell r="J9">
            <v>2005</v>
          </cell>
          <cell r="K9">
            <v>2005</v>
          </cell>
          <cell r="L9">
            <v>2005</v>
          </cell>
          <cell r="M9">
            <v>2005</v>
          </cell>
          <cell r="N9">
            <v>2005</v>
          </cell>
          <cell r="O9">
            <v>2005</v>
          </cell>
          <cell r="P9">
            <v>2005</v>
          </cell>
          <cell r="Q9">
            <v>2005</v>
          </cell>
          <cell r="R9">
            <v>2005</v>
          </cell>
          <cell r="S9">
            <v>2006</v>
          </cell>
          <cell r="T9">
            <v>2006</v>
          </cell>
          <cell r="U9">
            <v>2006</v>
          </cell>
          <cell r="V9">
            <v>2006</v>
          </cell>
          <cell r="W9">
            <v>2006</v>
          </cell>
          <cell r="X9">
            <v>2006</v>
          </cell>
          <cell r="Y9">
            <v>2006</v>
          </cell>
          <cell r="Z9">
            <v>2006</v>
          </cell>
          <cell r="AA9">
            <v>2006</v>
          </cell>
          <cell r="AB9">
            <v>2006</v>
          </cell>
          <cell r="AC9">
            <v>2006</v>
          </cell>
          <cell r="AD9">
            <v>2006</v>
          </cell>
          <cell r="AE9">
            <v>2006</v>
          </cell>
          <cell r="AF9">
            <v>2007</v>
          </cell>
          <cell r="AG9">
            <v>2008</v>
          </cell>
          <cell r="AH9">
            <v>2009</v>
          </cell>
          <cell r="AI9">
            <v>2010</v>
          </cell>
        </row>
        <row r="11">
          <cell r="F11">
            <v>31</v>
          </cell>
          <cell r="G11">
            <v>28</v>
          </cell>
          <cell r="H11">
            <v>31</v>
          </cell>
          <cell r="I11">
            <v>30</v>
          </cell>
          <cell r="J11">
            <v>31</v>
          </cell>
          <cell r="K11">
            <v>30</v>
          </cell>
          <cell r="L11">
            <v>31</v>
          </cell>
          <cell r="M11">
            <v>31</v>
          </cell>
          <cell r="N11">
            <v>30</v>
          </cell>
          <cell r="O11">
            <v>31</v>
          </cell>
          <cell r="P11">
            <v>30</v>
          </cell>
          <cell r="Q11">
            <v>31</v>
          </cell>
          <cell r="R11">
            <v>365</v>
          </cell>
          <cell r="S11">
            <v>31</v>
          </cell>
          <cell r="T11">
            <v>28</v>
          </cell>
          <cell r="U11">
            <v>31</v>
          </cell>
          <cell r="V11">
            <v>30</v>
          </cell>
          <cell r="W11">
            <v>31</v>
          </cell>
          <cell r="X11">
            <v>30</v>
          </cell>
          <cell r="Y11">
            <v>31</v>
          </cell>
          <cell r="Z11">
            <v>31</v>
          </cell>
          <cell r="AA11">
            <v>30</v>
          </cell>
          <cell r="AB11">
            <v>31</v>
          </cell>
          <cell r="AC11">
            <v>30</v>
          </cell>
          <cell r="AD11">
            <v>31</v>
          </cell>
          <cell r="AE11">
            <v>365</v>
          </cell>
          <cell r="AF11">
            <v>365</v>
          </cell>
          <cell r="AG11">
            <v>366</v>
          </cell>
          <cell r="AH11">
            <v>365</v>
          </cell>
          <cell r="AI11">
            <v>365</v>
          </cell>
        </row>
        <row r="12">
          <cell r="F12">
            <v>0.35920000000000002</v>
          </cell>
          <cell r="G12">
            <v>0.75588</v>
          </cell>
          <cell r="H12">
            <v>0.82094</v>
          </cell>
          <cell r="I12">
            <v>0.8</v>
          </cell>
          <cell r="J12">
            <v>0.85</v>
          </cell>
          <cell r="K12">
            <v>0.9</v>
          </cell>
          <cell r="L12">
            <v>0.9</v>
          </cell>
          <cell r="M12">
            <v>0.9</v>
          </cell>
          <cell r="N12">
            <v>0.9</v>
          </cell>
          <cell r="O12">
            <v>0.9</v>
          </cell>
          <cell r="P12">
            <v>0.9</v>
          </cell>
          <cell r="Q12">
            <v>0.9</v>
          </cell>
          <cell r="R12">
            <v>0.82383500000000021</v>
          </cell>
          <cell r="S12">
            <v>0.9</v>
          </cell>
          <cell r="T12">
            <v>0.9</v>
          </cell>
          <cell r="U12">
            <v>0.9</v>
          </cell>
          <cell r="V12">
            <v>0.9</v>
          </cell>
          <cell r="W12">
            <v>0.9</v>
          </cell>
          <cell r="X12">
            <v>0.9</v>
          </cell>
          <cell r="Y12">
            <v>0.9</v>
          </cell>
          <cell r="Z12">
            <v>0.9</v>
          </cell>
          <cell r="AA12">
            <v>0.9</v>
          </cell>
          <cell r="AB12">
            <v>0.9</v>
          </cell>
          <cell r="AC12">
            <v>0.9</v>
          </cell>
          <cell r="AD12">
            <v>0.9</v>
          </cell>
          <cell r="AE12">
            <v>0.90000000000000024</v>
          </cell>
          <cell r="AF12">
            <v>0.9</v>
          </cell>
          <cell r="AG12">
            <v>0.9</v>
          </cell>
          <cell r="AH12">
            <v>0.9</v>
          </cell>
          <cell r="AI12">
            <v>0.9</v>
          </cell>
        </row>
        <row r="13">
          <cell r="F13">
            <v>3580</v>
          </cell>
          <cell r="G13">
            <v>5621.6</v>
          </cell>
          <cell r="H13">
            <v>7419.8</v>
          </cell>
          <cell r="I13">
            <v>5729.4</v>
          </cell>
          <cell r="J13">
            <v>6783</v>
          </cell>
          <cell r="K13">
            <v>9969</v>
          </cell>
          <cell r="L13">
            <v>10462</v>
          </cell>
          <cell r="M13">
            <v>13520</v>
          </cell>
          <cell r="N13">
            <v>20000</v>
          </cell>
          <cell r="O13">
            <v>23500</v>
          </cell>
          <cell r="P13">
            <v>23500</v>
          </cell>
          <cell r="Q13">
            <v>23500</v>
          </cell>
          <cell r="R13">
            <v>153584.79999999999</v>
          </cell>
          <cell r="S13">
            <v>23500</v>
          </cell>
          <cell r="T13">
            <v>23500</v>
          </cell>
          <cell r="U13">
            <v>23500</v>
          </cell>
          <cell r="V13">
            <v>23500</v>
          </cell>
          <cell r="W13">
            <v>23500</v>
          </cell>
          <cell r="X13">
            <v>23500</v>
          </cell>
          <cell r="Y13">
            <v>23500</v>
          </cell>
          <cell r="Z13">
            <v>23500</v>
          </cell>
          <cell r="AA13">
            <v>23500</v>
          </cell>
          <cell r="AB13">
            <v>23500</v>
          </cell>
          <cell r="AC13">
            <v>23500</v>
          </cell>
          <cell r="AD13">
            <v>23500</v>
          </cell>
          <cell r="AE13">
            <v>282000</v>
          </cell>
          <cell r="AF13">
            <v>282000</v>
          </cell>
          <cell r="AG13">
            <v>282000</v>
          </cell>
          <cell r="AH13">
            <v>282000</v>
          </cell>
          <cell r="AI13">
            <v>282000</v>
          </cell>
        </row>
        <row r="14">
          <cell r="F14">
            <v>13.395957564001243</v>
          </cell>
          <cell r="G14">
            <v>11.06720139503121</v>
          </cell>
          <cell r="H14">
            <v>12.148085685148233</v>
          </cell>
          <cell r="I14">
            <v>9.9468749999999986</v>
          </cell>
          <cell r="J14">
            <v>10.725806451612904</v>
          </cell>
          <cell r="K14">
            <v>15.38425925925926</v>
          </cell>
          <cell r="L14">
            <v>15.624253285543608</v>
          </cell>
          <cell r="M14">
            <v>20.191158900836321</v>
          </cell>
          <cell r="N14">
            <v>30.864197530864192</v>
          </cell>
          <cell r="O14">
            <v>35.095579450418164</v>
          </cell>
          <cell r="P14">
            <v>36.265432098765437</v>
          </cell>
          <cell r="Q14">
            <v>35.095579450418164</v>
          </cell>
          <cell r="R14">
            <v>21.281581160699783</v>
          </cell>
          <cell r="S14">
            <v>35.095579450418164</v>
          </cell>
          <cell r="T14">
            <v>38.855820105820108</v>
          </cell>
          <cell r="U14">
            <v>35.095579450418164</v>
          </cell>
          <cell r="V14">
            <v>36.265432098765437</v>
          </cell>
          <cell r="W14">
            <v>35.095579450418164</v>
          </cell>
          <cell r="X14">
            <v>36.265432098765437</v>
          </cell>
          <cell r="Y14">
            <v>35.095579450418164</v>
          </cell>
          <cell r="Z14">
            <v>35.095579450418164</v>
          </cell>
          <cell r="AA14">
            <v>36.265432098765437</v>
          </cell>
          <cell r="AB14">
            <v>35.095579450418164</v>
          </cell>
          <cell r="AC14">
            <v>36.265432098765437</v>
          </cell>
          <cell r="AD14">
            <v>35.095579450418164</v>
          </cell>
          <cell r="AE14">
            <v>35.768645357686445</v>
          </cell>
          <cell r="AF14">
            <v>35.768645357686452</v>
          </cell>
          <cell r="AG14">
            <v>35.670916818457805</v>
          </cell>
          <cell r="AH14">
            <v>35.768645357686452</v>
          </cell>
          <cell r="AI14">
            <v>35.768645357686452</v>
          </cell>
        </row>
        <row r="15">
          <cell r="F15">
            <v>6.0866145251396651</v>
          </cell>
          <cell r="G15">
            <v>7.9200227693183427</v>
          </cell>
          <cell r="H15">
            <v>9.0400010781961768</v>
          </cell>
          <cell r="I15">
            <v>8.8200335113624462</v>
          </cell>
          <cell r="J15">
            <v>8.64</v>
          </cell>
          <cell r="K15">
            <v>8.5</v>
          </cell>
          <cell r="L15">
            <v>8.84</v>
          </cell>
          <cell r="M15">
            <v>9.9899999999999984</v>
          </cell>
          <cell r="N15">
            <v>11</v>
          </cell>
          <cell r="O15">
            <v>11</v>
          </cell>
          <cell r="P15">
            <v>11</v>
          </cell>
          <cell r="Q15">
            <v>11</v>
          </cell>
          <cell r="R15">
            <v>10.094177809262376</v>
          </cell>
          <cell r="S15">
            <v>12.69</v>
          </cell>
          <cell r="T15">
            <v>12.69</v>
          </cell>
          <cell r="U15">
            <v>13.85</v>
          </cell>
          <cell r="V15">
            <v>13.85</v>
          </cell>
          <cell r="W15">
            <v>13.85</v>
          </cell>
          <cell r="X15">
            <v>15</v>
          </cell>
          <cell r="Y15">
            <v>15</v>
          </cell>
          <cell r="Z15">
            <v>15</v>
          </cell>
          <cell r="AA15">
            <v>15</v>
          </cell>
          <cell r="AB15">
            <v>15</v>
          </cell>
          <cell r="AC15">
            <v>15</v>
          </cell>
          <cell r="AD15">
            <v>15</v>
          </cell>
          <cell r="AE15">
            <v>14.327500000000001</v>
          </cell>
          <cell r="AF15">
            <v>13</v>
          </cell>
          <cell r="AG15">
            <v>13</v>
          </cell>
          <cell r="AH15">
            <v>11</v>
          </cell>
          <cell r="AI15">
            <v>8</v>
          </cell>
        </row>
        <row r="16">
          <cell r="F16">
            <v>21790.080000000002</v>
          </cell>
          <cell r="G16">
            <v>44523.199999999997</v>
          </cell>
          <cell r="H16">
            <v>67075</v>
          </cell>
          <cell r="I16">
            <v>50533.499999999993</v>
          </cell>
          <cell r="J16">
            <v>58605.120000000003</v>
          </cell>
          <cell r="K16">
            <v>84736.5</v>
          </cell>
          <cell r="L16">
            <v>92484.08</v>
          </cell>
          <cell r="M16">
            <v>135064.79999999999</v>
          </cell>
          <cell r="N16">
            <v>220000</v>
          </cell>
          <cell r="O16">
            <v>258500</v>
          </cell>
          <cell r="P16">
            <v>258500</v>
          </cell>
          <cell r="Q16">
            <v>258500</v>
          </cell>
          <cell r="R16">
            <v>1550312.28</v>
          </cell>
          <cell r="S16">
            <v>298215</v>
          </cell>
          <cell r="T16">
            <v>298215</v>
          </cell>
          <cell r="U16">
            <v>325475</v>
          </cell>
          <cell r="V16">
            <v>325475</v>
          </cell>
          <cell r="W16">
            <v>325475</v>
          </cell>
          <cell r="X16">
            <v>352500</v>
          </cell>
          <cell r="Y16">
            <v>352500</v>
          </cell>
          <cell r="Z16">
            <v>352500</v>
          </cell>
          <cell r="AA16">
            <v>352500</v>
          </cell>
          <cell r="AB16">
            <v>352500</v>
          </cell>
          <cell r="AC16">
            <v>352500</v>
          </cell>
          <cell r="AD16">
            <v>352500</v>
          </cell>
          <cell r="AE16">
            <v>4040355</v>
          </cell>
          <cell r="AF16">
            <v>3666000</v>
          </cell>
          <cell r="AG16">
            <v>3666000</v>
          </cell>
          <cell r="AH16">
            <v>3102000</v>
          </cell>
          <cell r="AI16">
            <v>2256000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0.02</v>
          </cell>
          <cell r="J19">
            <v>0.02</v>
          </cell>
          <cell r="K19">
            <v>0.02</v>
          </cell>
          <cell r="L19">
            <v>0.02</v>
          </cell>
          <cell r="M19">
            <v>0.02</v>
          </cell>
          <cell r="N19">
            <v>0.02</v>
          </cell>
          <cell r="O19">
            <v>0.02</v>
          </cell>
          <cell r="P19">
            <v>0.02</v>
          </cell>
          <cell r="Q19">
            <v>0.02</v>
          </cell>
          <cell r="R19">
            <v>1.827920759293734E-2</v>
          </cell>
          <cell r="S19">
            <v>0.02</v>
          </cell>
          <cell r="T19">
            <v>0.02</v>
          </cell>
          <cell r="U19">
            <v>0.02</v>
          </cell>
          <cell r="V19">
            <v>0.02</v>
          </cell>
          <cell r="W19">
            <v>0.02</v>
          </cell>
          <cell r="X19">
            <v>0.02</v>
          </cell>
          <cell r="Y19">
            <v>0.02</v>
          </cell>
          <cell r="Z19">
            <v>0.02</v>
          </cell>
          <cell r="AA19">
            <v>0.02</v>
          </cell>
          <cell r="AB19">
            <v>0.02</v>
          </cell>
          <cell r="AC19">
            <v>0.02</v>
          </cell>
          <cell r="AD19">
            <v>0.02</v>
          </cell>
          <cell r="AE19">
            <v>0.02</v>
          </cell>
          <cell r="AF19">
            <v>0.02</v>
          </cell>
          <cell r="AG19">
            <v>0.02</v>
          </cell>
          <cell r="AH19">
            <v>0.02</v>
          </cell>
          <cell r="AI19">
            <v>0.02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1010.6699999999998</v>
          </cell>
          <cell r="J20">
            <v>1172.1024</v>
          </cell>
          <cell r="K20">
            <v>1694.73</v>
          </cell>
          <cell r="L20">
            <v>1849.6816000000001</v>
          </cell>
          <cell r="M20">
            <v>2701.2959999999998</v>
          </cell>
          <cell r="N20">
            <v>4400</v>
          </cell>
          <cell r="O20">
            <v>5170</v>
          </cell>
          <cell r="P20">
            <v>5170</v>
          </cell>
          <cell r="Q20">
            <v>5170</v>
          </cell>
          <cell r="R20">
            <v>28338.48</v>
          </cell>
          <cell r="S20">
            <v>5964.3</v>
          </cell>
          <cell r="T20">
            <v>5964.3</v>
          </cell>
          <cell r="U20">
            <v>6509.5</v>
          </cell>
          <cell r="V20">
            <v>6509.5</v>
          </cell>
          <cell r="W20">
            <v>6509.5</v>
          </cell>
          <cell r="X20">
            <v>7050</v>
          </cell>
          <cell r="Y20">
            <v>7050</v>
          </cell>
          <cell r="Z20">
            <v>7050</v>
          </cell>
          <cell r="AA20">
            <v>7050</v>
          </cell>
          <cell r="AB20">
            <v>7050</v>
          </cell>
          <cell r="AC20">
            <v>7050</v>
          </cell>
          <cell r="AD20">
            <v>7050</v>
          </cell>
          <cell r="AE20">
            <v>80807.100000000006</v>
          </cell>
          <cell r="AF20">
            <v>73320</v>
          </cell>
          <cell r="AG20">
            <v>73320</v>
          </cell>
          <cell r="AH20">
            <v>62040</v>
          </cell>
          <cell r="AI20">
            <v>45120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32.493791691476318</v>
          </cell>
          <cell r="J21">
            <v>37.683963337864441</v>
          </cell>
          <cell r="K21">
            <v>54.486829126515744</v>
          </cell>
          <cell r="L21">
            <v>59.468638235978744</v>
          </cell>
          <cell r="M21">
            <v>86.848674167649392</v>
          </cell>
          <cell r="N21">
            <v>141.46327034788391</v>
          </cell>
          <cell r="O21">
            <v>166.21934265876357</v>
          </cell>
          <cell r="P21">
            <v>166.21934265876357</v>
          </cell>
          <cell r="Q21">
            <v>166.21934265876357</v>
          </cell>
          <cell r="R21">
            <v>911.10319488365928</v>
          </cell>
          <cell r="S21">
            <v>191.75667803088271</v>
          </cell>
          <cell r="T21">
            <v>191.75667803088271</v>
          </cell>
          <cell r="U21">
            <v>209.28526325671595</v>
          </cell>
          <cell r="V21">
            <v>209.28526325671595</v>
          </cell>
          <cell r="W21">
            <v>209.28526325671595</v>
          </cell>
          <cell r="X21">
            <v>226.66273998922307</v>
          </cell>
          <cell r="Y21">
            <v>226.66273998922307</v>
          </cell>
          <cell r="Z21">
            <v>226.66273998922307</v>
          </cell>
          <cell r="AA21">
            <v>226.66273998922307</v>
          </cell>
          <cell r="AB21">
            <v>226.66273998922307</v>
          </cell>
          <cell r="AC21">
            <v>226.66273998922307</v>
          </cell>
          <cell r="AD21">
            <v>226.66273998922307</v>
          </cell>
          <cell r="AE21">
            <v>2598.0083257564752</v>
          </cell>
          <cell r="AF21">
            <v>2357.2924958879198</v>
          </cell>
          <cell r="AG21">
            <v>2357.2924958879198</v>
          </cell>
          <cell r="AH21">
            <v>1994.6321119051629</v>
          </cell>
          <cell r="AI21">
            <v>1450.6415359310276</v>
          </cell>
        </row>
        <row r="25">
          <cell r="F25">
            <v>21790.080000000002</v>
          </cell>
          <cell r="G25">
            <v>44523.199999999997</v>
          </cell>
          <cell r="H25">
            <v>67075</v>
          </cell>
          <cell r="I25">
            <v>49522.829999999994</v>
          </cell>
          <cell r="J25">
            <v>57433.017599999999</v>
          </cell>
          <cell r="K25">
            <v>83041.77</v>
          </cell>
          <cell r="L25">
            <v>90634.398400000005</v>
          </cell>
          <cell r="M25">
            <v>132363.50399999999</v>
          </cell>
          <cell r="N25">
            <v>215600</v>
          </cell>
          <cell r="O25">
            <v>253330</v>
          </cell>
          <cell r="P25">
            <v>253330</v>
          </cell>
          <cell r="Q25">
            <v>253330</v>
          </cell>
          <cell r="R25">
            <v>1521973.7999999998</v>
          </cell>
          <cell r="S25">
            <v>292250.7</v>
          </cell>
          <cell r="T25">
            <v>292250.7</v>
          </cell>
          <cell r="U25">
            <v>318965.5</v>
          </cell>
          <cell r="V25">
            <v>318965.5</v>
          </cell>
          <cell r="W25">
            <v>318965.5</v>
          </cell>
          <cell r="X25">
            <v>345450</v>
          </cell>
          <cell r="Y25">
            <v>345450</v>
          </cell>
          <cell r="Z25">
            <v>345450</v>
          </cell>
          <cell r="AA25">
            <v>345450</v>
          </cell>
          <cell r="AB25">
            <v>345450</v>
          </cell>
          <cell r="AC25">
            <v>345450</v>
          </cell>
          <cell r="AD25">
            <v>345450</v>
          </cell>
          <cell r="AE25">
            <v>3959547.9</v>
          </cell>
          <cell r="AF25">
            <v>3592680</v>
          </cell>
          <cell r="AG25">
            <v>3592680</v>
          </cell>
          <cell r="AH25">
            <v>3039960</v>
          </cell>
          <cell r="AI25">
            <v>2210880</v>
          </cell>
        </row>
        <row r="26">
          <cell r="F26">
            <v>6.0866145251396651</v>
          </cell>
          <cell r="G26">
            <v>7.9200227693183427</v>
          </cell>
          <cell r="H26">
            <v>9.0400010781961768</v>
          </cell>
          <cell r="I26">
            <v>8.6436328411351973</v>
          </cell>
          <cell r="J26">
            <v>8.4672000000000001</v>
          </cell>
          <cell r="K26">
            <v>8.33</v>
          </cell>
          <cell r="L26">
            <v>8.6631999999999998</v>
          </cell>
          <cell r="M26">
            <v>9.7901999999999987</v>
          </cell>
          <cell r="N26">
            <v>10.78</v>
          </cell>
          <cell r="O26">
            <v>10.78</v>
          </cell>
          <cell r="P26">
            <v>10.78</v>
          </cell>
          <cell r="Q26">
            <v>10.78</v>
          </cell>
          <cell r="R26">
            <v>9.9096642376068456</v>
          </cell>
          <cell r="S26">
            <v>12.436200000000001</v>
          </cell>
          <cell r="T26">
            <v>12.436200000000001</v>
          </cell>
          <cell r="U26">
            <v>13.573</v>
          </cell>
          <cell r="V26">
            <v>13.573</v>
          </cell>
          <cell r="W26">
            <v>13.573</v>
          </cell>
          <cell r="X26">
            <v>14.7</v>
          </cell>
          <cell r="Y26">
            <v>14.7</v>
          </cell>
          <cell r="Z26">
            <v>14.7</v>
          </cell>
          <cell r="AA26">
            <v>14.7</v>
          </cell>
          <cell r="AB26">
            <v>14.7</v>
          </cell>
          <cell r="AC26">
            <v>14.7</v>
          </cell>
          <cell r="AD26">
            <v>14.7</v>
          </cell>
          <cell r="AE26">
            <v>14.04095</v>
          </cell>
          <cell r="AF26">
            <v>12.74</v>
          </cell>
          <cell r="AG26">
            <v>12.74</v>
          </cell>
          <cell r="AH26">
            <v>10.78</v>
          </cell>
          <cell r="AI26">
            <v>7.84</v>
          </cell>
        </row>
        <row r="29">
          <cell r="F29">
            <v>5.6293000000000003E-2</v>
          </cell>
          <cell r="G29">
            <v>9.4670599999999994E-2</v>
          </cell>
          <cell r="H29">
            <v>0.10954999999999999</v>
          </cell>
          <cell r="I29">
            <v>0.1410584</v>
          </cell>
          <cell r="J29">
            <v>0.17</v>
          </cell>
          <cell r="K29">
            <v>0.2</v>
          </cell>
          <cell r="L29">
            <v>0.2</v>
          </cell>
          <cell r="M29">
            <v>0.2</v>
          </cell>
          <cell r="N29">
            <v>0.2</v>
          </cell>
          <cell r="O29">
            <v>0.2</v>
          </cell>
          <cell r="P29">
            <v>0.2</v>
          </cell>
          <cell r="Q29">
            <v>0.2</v>
          </cell>
          <cell r="R29">
            <v>0.18490148941770279</v>
          </cell>
          <cell r="S29">
            <v>0.2</v>
          </cell>
          <cell r="T29">
            <v>0.2</v>
          </cell>
          <cell r="U29">
            <v>0.2</v>
          </cell>
          <cell r="V29">
            <v>0.2</v>
          </cell>
          <cell r="W29">
            <v>0.2</v>
          </cell>
          <cell r="X29">
            <v>0.2</v>
          </cell>
          <cell r="Y29">
            <v>0.2</v>
          </cell>
          <cell r="Z29">
            <v>0.2</v>
          </cell>
          <cell r="AA29">
            <v>0.2</v>
          </cell>
          <cell r="AB29">
            <v>0.2</v>
          </cell>
          <cell r="AC29">
            <v>0.2</v>
          </cell>
          <cell r="AD29">
            <v>0.2</v>
          </cell>
          <cell r="AE29">
            <v>0.2</v>
          </cell>
          <cell r="AF29">
            <v>0.2</v>
          </cell>
          <cell r="AG29">
            <v>0.2</v>
          </cell>
          <cell r="AH29">
            <v>0.2</v>
          </cell>
          <cell r="AI29">
            <v>0.2</v>
          </cell>
        </row>
        <row r="30">
          <cell r="F30">
            <v>201.52894000000001</v>
          </cell>
          <cell r="G30">
            <v>532.20024495999996</v>
          </cell>
          <cell r="H30">
            <v>812.83908999999994</v>
          </cell>
          <cell r="I30">
            <v>808.17999695999993</v>
          </cell>
          <cell r="J30">
            <v>1153.1100000000001</v>
          </cell>
          <cell r="K30">
            <v>1993.8000000000002</v>
          </cell>
          <cell r="L30">
            <v>2092.4</v>
          </cell>
          <cell r="M30">
            <v>2704</v>
          </cell>
          <cell r="N30">
            <v>4000</v>
          </cell>
          <cell r="O30">
            <v>4700</v>
          </cell>
          <cell r="P30">
            <v>4700</v>
          </cell>
          <cell r="Q30">
            <v>4700</v>
          </cell>
          <cell r="R30">
            <v>28398.058271919999</v>
          </cell>
          <cell r="S30">
            <v>4700</v>
          </cell>
          <cell r="T30">
            <v>4700</v>
          </cell>
          <cell r="U30">
            <v>4700</v>
          </cell>
          <cell r="V30">
            <v>4700</v>
          </cell>
          <cell r="W30">
            <v>4700</v>
          </cell>
          <cell r="X30">
            <v>4700</v>
          </cell>
          <cell r="Y30">
            <v>4700</v>
          </cell>
          <cell r="Z30">
            <v>4700</v>
          </cell>
          <cell r="AA30">
            <v>4700</v>
          </cell>
          <cell r="AB30">
            <v>4700</v>
          </cell>
          <cell r="AC30">
            <v>4700</v>
          </cell>
          <cell r="AD30">
            <v>4700</v>
          </cell>
          <cell r="AE30">
            <v>56400</v>
          </cell>
          <cell r="AF30">
            <v>56400</v>
          </cell>
          <cell r="AG30">
            <v>56400</v>
          </cell>
          <cell r="AH30">
            <v>56400</v>
          </cell>
          <cell r="AI30">
            <v>56400</v>
          </cell>
        </row>
        <row r="31">
          <cell r="F31">
            <v>0.75409863915032216</v>
          </cell>
          <cell r="G31">
            <v>1.0477385963884416</v>
          </cell>
          <cell r="H31">
            <v>1.3308227868079889</v>
          </cell>
          <cell r="I31">
            <v>1.4030902724999998</v>
          </cell>
          <cell r="J31">
            <v>1.8233870967741939</v>
          </cell>
          <cell r="K31">
            <v>3.0768518518518522</v>
          </cell>
          <cell r="L31">
            <v>3.1248506571087216</v>
          </cell>
          <cell r="M31">
            <v>4.0382317801672638</v>
          </cell>
          <cell r="N31">
            <v>6.1728395061728394</v>
          </cell>
          <cell r="O31">
            <v>7.0191158900836319</v>
          </cell>
          <cell r="P31">
            <v>7.2530864197530862</v>
          </cell>
          <cell r="Q31">
            <v>7.0191158900836319</v>
          </cell>
          <cell r="R31">
            <v>3.9349960537771147</v>
          </cell>
          <cell r="S31">
            <v>7.0191158900836319</v>
          </cell>
          <cell r="T31">
            <v>7.7711640211640205</v>
          </cell>
          <cell r="U31">
            <v>7.0191158900836319</v>
          </cell>
          <cell r="V31">
            <v>7.2530864197530862</v>
          </cell>
          <cell r="W31">
            <v>7.0191158900836319</v>
          </cell>
          <cell r="X31">
            <v>7.2530864197530862</v>
          </cell>
          <cell r="Y31">
            <v>7.0191158900836319</v>
          </cell>
          <cell r="Z31">
            <v>7.0191158900836319</v>
          </cell>
          <cell r="AA31">
            <v>7.2530864197530862</v>
          </cell>
          <cell r="AB31">
            <v>7.0191158900836319</v>
          </cell>
          <cell r="AC31">
            <v>7.2530864197530862</v>
          </cell>
          <cell r="AD31">
            <v>7.0191158900836319</v>
          </cell>
          <cell r="AE31">
            <v>7.1537290715372892</v>
          </cell>
          <cell r="AF31">
            <v>7.153729071537291</v>
          </cell>
          <cell r="AG31">
            <v>7.1341833636915597</v>
          </cell>
          <cell r="AH31">
            <v>7.153729071537291</v>
          </cell>
          <cell r="AI31">
            <v>7.153729071537291</v>
          </cell>
        </row>
        <row r="34">
          <cell r="F34">
            <v>0.54531144399999998</v>
          </cell>
          <cell r="G34">
            <v>0.60984000000000005</v>
          </cell>
          <cell r="H34">
            <v>0.71274000000000004</v>
          </cell>
          <cell r="I34">
            <v>0.7</v>
          </cell>
          <cell r="J34">
            <v>0.75</v>
          </cell>
          <cell r="K34">
            <v>0.75</v>
          </cell>
          <cell r="L34">
            <v>0.75</v>
          </cell>
          <cell r="M34">
            <v>0.75</v>
          </cell>
          <cell r="N34">
            <v>0.75</v>
          </cell>
          <cell r="O34">
            <v>0.80183999999999989</v>
          </cell>
          <cell r="P34">
            <v>0.80520000000000003</v>
          </cell>
          <cell r="Q34">
            <v>0.81336000000000008</v>
          </cell>
          <cell r="R34">
            <v>0.76806307327870926</v>
          </cell>
          <cell r="S34">
            <v>0.82200000000000006</v>
          </cell>
          <cell r="T34">
            <v>0.82200000000000006</v>
          </cell>
          <cell r="U34">
            <v>0.84600000000000009</v>
          </cell>
          <cell r="V34">
            <v>0.84600000000000009</v>
          </cell>
          <cell r="W34">
            <v>0.84600000000000009</v>
          </cell>
          <cell r="X34">
            <v>0.87</v>
          </cell>
          <cell r="Y34">
            <v>0.87</v>
          </cell>
          <cell r="Z34">
            <v>0.87</v>
          </cell>
          <cell r="AA34">
            <v>0.87</v>
          </cell>
          <cell r="AB34">
            <v>0.87</v>
          </cell>
          <cell r="AC34">
            <v>0.87</v>
          </cell>
          <cell r="AD34">
            <v>0.87</v>
          </cell>
          <cell r="AE34">
            <v>0.85711429069970346</v>
          </cell>
          <cell r="AF34">
            <v>0.85</v>
          </cell>
          <cell r="AG34">
            <v>0.85</v>
          </cell>
          <cell r="AH34">
            <v>0.85</v>
          </cell>
          <cell r="AI34">
            <v>0.85</v>
          </cell>
        </row>
        <row r="35">
          <cell r="F35">
            <v>11882.379989675521</v>
          </cell>
          <cell r="G35">
            <v>27152.028288000001</v>
          </cell>
          <cell r="H35">
            <v>47807.035500000005</v>
          </cell>
          <cell r="I35">
            <v>34665.980999999992</v>
          </cell>
          <cell r="J35">
            <v>43074.763200000001</v>
          </cell>
          <cell r="K35">
            <v>62281.327499999999</v>
          </cell>
          <cell r="L35">
            <v>67975.798800000004</v>
          </cell>
          <cell r="M35">
            <v>99272.627999999997</v>
          </cell>
          <cell r="N35">
            <v>161700</v>
          </cell>
          <cell r="O35">
            <v>203130.12719999996</v>
          </cell>
          <cell r="P35">
            <v>203981.31600000002</v>
          </cell>
          <cell r="Q35">
            <v>206048.48880000002</v>
          </cell>
          <cell r="R35">
            <v>1168971.8742776755</v>
          </cell>
          <cell r="S35">
            <v>240230.07540000003</v>
          </cell>
          <cell r="T35">
            <v>240230.07540000003</v>
          </cell>
          <cell r="U35">
            <v>269844.81300000002</v>
          </cell>
          <cell r="V35">
            <v>269844.81300000002</v>
          </cell>
          <cell r="W35">
            <v>269844.81300000002</v>
          </cell>
          <cell r="X35">
            <v>300541.5</v>
          </cell>
          <cell r="Y35">
            <v>300541.5</v>
          </cell>
          <cell r="Z35">
            <v>300541.5</v>
          </cell>
          <cell r="AA35">
            <v>300541.5</v>
          </cell>
          <cell r="AB35">
            <v>300541.5</v>
          </cell>
          <cell r="AC35">
            <v>300541.5</v>
          </cell>
          <cell r="AD35">
            <v>300541.5</v>
          </cell>
          <cell r="AE35">
            <v>3393785.0898000002</v>
          </cell>
          <cell r="AF35">
            <v>3053778</v>
          </cell>
          <cell r="AG35">
            <v>3053778</v>
          </cell>
          <cell r="AH35">
            <v>2583966</v>
          </cell>
          <cell r="AI35">
            <v>1879248</v>
          </cell>
        </row>
        <row r="36">
          <cell r="F36">
            <v>58.961159571799072</v>
          </cell>
          <cell r="G36">
            <v>51.018443800304418</v>
          </cell>
          <cell r="H36">
            <v>58.814882414181149</v>
          </cell>
          <cell r="I36">
            <v>42.893886424308214</v>
          </cell>
          <cell r="J36">
            <v>37.355294117647055</v>
          </cell>
          <cell r="K36">
            <v>31.237499999999997</v>
          </cell>
          <cell r="L36">
            <v>32.487000000000002</v>
          </cell>
          <cell r="M36">
            <v>36.713250000000002</v>
          </cell>
          <cell r="N36">
            <v>40.424999999999997</v>
          </cell>
          <cell r="O36">
            <v>43.21917599999999</v>
          </cell>
          <cell r="P36">
            <v>43.400280000000002</v>
          </cell>
          <cell r="Q36">
            <v>43.840104000000004</v>
          </cell>
          <cell r="R36">
            <v>41.163795886479846</v>
          </cell>
          <cell r="S36">
            <v>51.11278200000001</v>
          </cell>
          <cell r="T36">
            <v>51.11278200000001</v>
          </cell>
          <cell r="U36">
            <v>57.413790000000006</v>
          </cell>
          <cell r="V36">
            <v>57.413790000000006</v>
          </cell>
          <cell r="W36">
            <v>57.413790000000006</v>
          </cell>
          <cell r="X36">
            <v>63.945</v>
          </cell>
          <cell r="Y36">
            <v>63.945</v>
          </cell>
          <cell r="Z36">
            <v>63.945</v>
          </cell>
          <cell r="AA36">
            <v>63.945</v>
          </cell>
          <cell r="AB36">
            <v>63.945</v>
          </cell>
          <cell r="AC36">
            <v>63.945</v>
          </cell>
          <cell r="AD36">
            <v>63.945</v>
          </cell>
          <cell r="AE36">
            <v>60.173494500000004</v>
          </cell>
          <cell r="AF36">
            <v>54.145000000000003</v>
          </cell>
          <cell r="AG36">
            <v>54.145000000000003</v>
          </cell>
          <cell r="AH36">
            <v>45.814999999999998</v>
          </cell>
          <cell r="AI36">
            <v>33.32</v>
          </cell>
        </row>
        <row r="38">
          <cell r="F38">
            <v>0.54531144399999998</v>
          </cell>
          <cell r="G38">
            <v>0.60984000000000005</v>
          </cell>
          <cell r="H38">
            <v>0.71274000000000004</v>
          </cell>
          <cell r="I38">
            <v>0.70599999999999996</v>
          </cell>
          <cell r="J38">
            <v>0.755</v>
          </cell>
          <cell r="K38">
            <v>0.755</v>
          </cell>
          <cell r="L38">
            <v>0.755</v>
          </cell>
          <cell r="M38">
            <v>0.755</v>
          </cell>
          <cell r="N38">
            <v>0.755</v>
          </cell>
          <cell r="O38">
            <v>0.80580319999999983</v>
          </cell>
          <cell r="P38">
            <v>0.80909600000000004</v>
          </cell>
          <cell r="Q38">
            <v>0.81709280000000006</v>
          </cell>
          <cell r="R38">
            <v>0.77230269651071559</v>
          </cell>
          <cell r="S38">
            <v>0.82556000000000007</v>
          </cell>
          <cell r="T38">
            <v>0.82556000000000007</v>
          </cell>
          <cell r="U38">
            <v>0.84908000000000006</v>
          </cell>
          <cell r="V38">
            <v>0.84908000000000006</v>
          </cell>
          <cell r="W38">
            <v>0.84908000000000006</v>
          </cell>
          <cell r="X38">
            <v>0.87260000000000004</v>
          </cell>
          <cell r="Y38">
            <v>0.87260000000000004</v>
          </cell>
          <cell r="Z38">
            <v>0.87260000000000004</v>
          </cell>
          <cell r="AA38">
            <v>0.87260000000000004</v>
          </cell>
          <cell r="AB38">
            <v>0.87260000000000004</v>
          </cell>
          <cell r="AC38">
            <v>0.87260000000000004</v>
          </cell>
          <cell r="AD38">
            <v>0.87260000000000004</v>
          </cell>
          <cell r="AE38">
            <v>0.85997200488570935</v>
          </cell>
          <cell r="AF38">
            <v>0.85299999999999998</v>
          </cell>
          <cell r="AG38">
            <v>0.85299999999999998</v>
          </cell>
          <cell r="AH38">
            <v>0.85299999999999998</v>
          </cell>
          <cell r="AI38">
            <v>0.85299999999999998</v>
          </cell>
        </row>
        <row r="41">
          <cell r="F41">
            <v>88.7</v>
          </cell>
          <cell r="G41">
            <v>383.17599999999999</v>
          </cell>
          <cell r="H41">
            <v>395.67899999999997</v>
          </cell>
          <cell r="I41">
            <v>390</v>
          </cell>
          <cell r="J41">
            <v>390</v>
          </cell>
          <cell r="R41">
            <v>1647.5549999999998</v>
          </cell>
        </row>
        <row r="42">
          <cell r="F42">
            <v>52.164599774520852</v>
          </cell>
          <cell r="G42">
            <v>51.846015930016499</v>
          </cell>
          <cell r="H42">
            <v>57.36781583050908</v>
          </cell>
          <cell r="I42">
            <v>52</v>
          </cell>
          <cell r="J42">
            <v>52</v>
          </cell>
          <cell r="R42">
            <v>53.26219094354969</v>
          </cell>
        </row>
        <row r="43">
          <cell r="F43">
            <v>4627</v>
          </cell>
          <cell r="G43">
            <v>19866.149000000001</v>
          </cell>
          <cell r="H43">
            <v>22699.24</v>
          </cell>
          <cell r="I43">
            <v>20280</v>
          </cell>
          <cell r="J43">
            <v>20280</v>
          </cell>
          <cell r="R43">
            <v>87752.388999999996</v>
          </cell>
        </row>
        <row r="44">
          <cell r="F44">
            <v>148.76148906810428</v>
          </cell>
          <cell r="G44">
            <v>638.71145608144172</v>
          </cell>
          <cell r="H44">
            <v>729.79743745715916</v>
          </cell>
          <cell r="I44">
            <v>652.01707333070124</v>
          </cell>
          <cell r="J44">
            <v>652.01707333070124</v>
          </cell>
          <cell r="R44">
            <v>2821.3045292681077</v>
          </cell>
        </row>
        <row r="46">
          <cell r="F46">
            <v>112.82894</v>
          </cell>
          <cell r="G46">
            <v>261.85318495999996</v>
          </cell>
          <cell r="H46">
            <v>679.01327495999988</v>
          </cell>
          <cell r="I46">
            <v>917.19327191999992</v>
          </cell>
          <cell r="J46">
            <v>280.30327192000004</v>
          </cell>
          <cell r="K46">
            <v>-660.69672807999996</v>
          </cell>
          <cell r="L46">
            <v>-1601.69672808</v>
          </cell>
        </row>
        <row r="47">
          <cell r="F47">
            <v>64.304246673553081</v>
          </cell>
          <cell r="G47">
            <v>55.532107733945679</v>
          </cell>
          <cell r="H47">
            <v>58.392164394740618</v>
          </cell>
          <cell r="I47">
            <v>51.063431461543246</v>
          </cell>
          <cell r="J47">
            <v>48.625186871045607</v>
          </cell>
          <cell r="K47">
            <v>56.100173418501441</v>
          </cell>
        </row>
        <row r="48">
          <cell r="F48">
            <v>7255.3799896755208</v>
          </cell>
          <cell r="G48">
            <v>14541.259277675523</v>
          </cell>
          <cell r="H48">
            <v>39649.054777675527</v>
          </cell>
          <cell r="I48">
            <v>46835.035777675512</v>
          </cell>
          <cell r="J48">
            <v>13629.798977675513</v>
          </cell>
          <cell r="K48">
            <v>-37065.201022324487</v>
          </cell>
          <cell r="L48">
            <v>-87760.201022324487</v>
          </cell>
        </row>
        <row r="51">
          <cell r="I51">
            <v>180</v>
          </cell>
          <cell r="J51">
            <v>1400</v>
          </cell>
          <cell r="K51">
            <v>2934.8</v>
          </cell>
          <cell r="L51">
            <v>3033.4</v>
          </cell>
          <cell r="M51">
            <v>2704</v>
          </cell>
          <cell r="N51">
            <v>4000</v>
          </cell>
          <cell r="O51">
            <v>4700</v>
          </cell>
          <cell r="P51">
            <v>4700</v>
          </cell>
          <cell r="Q51">
            <v>4700</v>
          </cell>
          <cell r="R51">
            <v>28352.2</v>
          </cell>
          <cell r="S51">
            <v>4700</v>
          </cell>
          <cell r="T51">
            <v>4700</v>
          </cell>
          <cell r="U51">
            <v>4700</v>
          </cell>
          <cell r="V51">
            <v>4700</v>
          </cell>
          <cell r="W51">
            <v>4700</v>
          </cell>
          <cell r="X51">
            <v>4700</v>
          </cell>
          <cell r="Y51">
            <v>4700</v>
          </cell>
          <cell r="Z51">
            <v>4700</v>
          </cell>
          <cell r="AA51">
            <v>4700</v>
          </cell>
          <cell r="AB51">
            <v>4700</v>
          </cell>
          <cell r="AC51">
            <v>4700</v>
          </cell>
          <cell r="AD51">
            <v>4700</v>
          </cell>
          <cell r="AE51">
            <v>56400</v>
          </cell>
          <cell r="AF51">
            <v>56400</v>
          </cell>
          <cell r="AG51">
            <v>56400</v>
          </cell>
          <cell r="AH51">
            <v>56400</v>
          </cell>
          <cell r="AI51">
            <v>56400</v>
          </cell>
        </row>
        <row r="52">
          <cell r="I52">
            <v>40</v>
          </cell>
          <cell r="J52">
            <v>40</v>
          </cell>
          <cell r="K52">
            <v>38.495409397573937</v>
          </cell>
          <cell r="L52">
            <v>39.121381552053798</v>
          </cell>
          <cell r="M52">
            <v>36.713250000000002</v>
          </cell>
          <cell r="N52">
            <v>40.424999999999997</v>
          </cell>
          <cell r="O52">
            <v>43.21917599999999</v>
          </cell>
          <cell r="P52">
            <v>43.400280000000002</v>
          </cell>
          <cell r="Q52">
            <v>43.840104000000004</v>
          </cell>
          <cell r="R52">
            <v>41.23065181185234</v>
          </cell>
          <cell r="S52">
            <v>51.11278200000001</v>
          </cell>
          <cell r="T52">
            <v>51.11278200000001</v>
          </cell>
          <cell r="U52">
            <v>57.413790000000006</v>
          </cell>
          <cell r="V52">
            <v>57.413790000000006</v>
          </cell>
          <cell r="W52">
            <v>57.413790000000006</v>
          </cell>
          <cell r="X52">
            <v>63.945</v>
          </cell>
          <cell r="Y52">
            <v>63.945</v>
          </cell>
          <cell r="Z52">
            <v>63.945</v>
          </cell>
          <cell r="AA52">
            <v>63.945</v>
          </cell>
          <cell r="AB52">
            <v>63.945</v>
          </cell>
          <cell r="AC52">
            <v>63.945</v>
          </cell>
          <cell r="AD52">
            <v>63.945</v>
          </cell>
          <cell r="AE52">
            <v>60.173494500000004</v>
          </cell>
          <cell r="AF52">
            <v>54.145000000000003</v>
          </cell>
          <cell r="AG52">
            <v>54.145000000000003</v>
          </cell>
          <cell r="AH52">
            <v>45.814999999999998</v>
          </cell>
          <cell r="AI52">
            <v>33.32</v>
          </cell>
        </row>
        <row r="53">
          <cell r="I53">
            <v>7200</v>
          </cell>
          <cell r="J53">
            <v>56000</v>
          </cell>
          <cell r="K53">
            <v>112976.3275</v>
          </cell>
          <cell r="L53">
            <v>118670.7988</v>
          </cell>
          <cell r="M53">
            <v>99272.627999999997</v>
          </cell>
          <cell r="N53">
            <v>161700</v>
          </cell>
          <cell r="O53">
            <v>203130.12719999996</v>
          </cell>
          <cell r="P53">
            <v>203981.31600000002</v>
          </cell>
          <cell r="Q53">
            <v>206048.48880000002</v>
          </cell>
          <cell r="R53">
            <v>1168979.6862999999</v>
          </cell>
          <cell r="S53">
            <v>240230.07540000003</v>
          </cell>
          <cell r="T53">
            <v>240230.07540000003</v>
          </cell>
          <cell r="U53">
            <v>269844.81300000002</v>
          </cell>
          <cell r="V53">
            <v>269844.81300000002</v>
          </cell>
          <cell r="W53">
            <v>269844.81300000002</v>
          </cell>
          <cell r="X53">
            <v>300541.5</v>
          </cell>
          <cell r="Y53">
            <v>300541.5</v>
          </cell>
          <cell r="Z53">
            <v>300541.5</v>
          </cell>
          <cell r="AA53">
            <v>300541.5</v>
          </cell>
          <cell r="AB53">
            <v>300541.5</v>
          </cell>
          <cell r="AC53">
            <v>300541.5</v>
          </cell>
          <cell r="AD53">
            <v>300541.5</v>
          </cell>
          <cell r="AE53">
            <v>3393785.0898000002</v>
          </cell>
          <cell r="AF53">
            <v>3053778</v>
          </cell>
          <cell r="AG53">
            <v>3053778</v>
          </cell>
          <cell r="AH53">
            <v>2583966</v>
          </cell>
          <cell r="AI53">
            <v>1879248</v>
          </cell>
        </row>
        <row r="54">
          <cell r="I54">
            <v>0.25</v>
          </cell>
          <cell r="J54">
            <v>1.881720430107527</v>
          </cell>
          <cell r="K54">
            <v>4.0761111111111115</v>
          </cell>
          <cell r="L54">
            <v>4.0771505376344086</v>
          </cell>
          <cell r="M54">
            <v>3.6344086021505375</v>
          </cell>
          <cell r="N54">
            <v>5.5555555555555554</v>
          </cell>
          <cell r="O54">
            <v>6.317204301075269</v>
          </cell>
          <cell r="P54">
            <v>6.5277777777777777</v>
          </cell>
          <cell r="Q54">
            <v>6.317204301075269</v>
          </cell>
          <cell r="R54">
            <v>3.2365525114155251</v>
          </cell>
          <cell r="S54">
            <v>6.317204301075269</v>
          </cell>
          <cell r="T54">
            <v>6.9940476190476186</v>
          </cell>
          <cell r="U54">
            <v>6.317204301075269</v>
          </cell>
          <cell r="V54">
            <v>6.5277777777777777</v>
          </cell>
          <cell r="W54">
            <v>6.317204301075269</v>
          </cell>
          <cell r="X54">
            <v>6.5277777777777777</v>
          </cell>
          <cell r="Y54">
            <v>6.317204301075269</v>
          </cell>
          <cell r="Z54">
            <v>6.317204301075269</v>
          </cell>
          <cell r="AA54">
            <v>6.5277777777777777</v>
          </cell>
          <cell r="AB54">
            <v>6.317204301075269</v>
          </cell>
          <cell r="AC54">
            <v>6.5277777777777777</v>
          </cell>
          <cell r="AD54">
            <v>6.317204301075269</v>
          </cell>
          <cell r="AE54">
            <v>6.4383561643835616</v>
          </cell>
          <cell r="AF54">
            <v>6.4383561643835616</v>
          </cell>
          <cell r="AG54">
            <v>6.4207650273224042</v>
          </cell>
          <cell r="AH54">
            <v>6.4383561643835616</v>
          </cell>
          <cell r="AI54">
            <v>6.4383561643835616</v>
          </cell>
        </row>
        <row r="56">
          <cell r="J56">
            <v>180</v>
          </cell>
          <cell r="K56">
            <v>1400</v>
          </cell>
          <cell r="L56">
            <v>2934.8</v>
          </cell>
          <cell r="M56">
            <v>3033.4</v>
          </cell>
          <cell r="N56">
            <v>2704</v>
          </cell>
          <cell r="O56">
            <v>4000</v>
          </cell>
          <cell r="P56">
            <v>4700</v>
          </cell>
          <cell r="Q56">
            <v>4700</v>
          </cell>
          <cell r="R56">
            <v>23652.2</v>
          </cell>
          <cell r="S56">
            <v>4700</v>
          </cell>
          <cell r="T56">
            <v>4700</v>
          </cell>
          <cell r="U56">
            <v>4700</v>
          </cell>
          <cell r="V56">
            <v>4700</v>
          </cell>
          <cell r="W56">
            <v>4700</v>
          </cell>
          <cell r="X56">
            <v>4700</v>
          </cell>
          <cell r="Y56">
            <v>4700</v>
          </cell>
          <cell r="Z56">
            <v>4700</v>
          </cell>
          <cell r="AA56">
            <v>4700</v>
          </cell>
          <cell r="AB56">
            <v>4700</v>
          </cell>
          <cell r="AC56">
            <v>4700</v>
          </cell>
          <cell r="AD56">
            <v>4700</v>
          </cell>
          <cell r="AE56">
            <v>56400</v>
          </cell>
          <cell r="AF56">
            <v>56400</v>
          </cell>
          <cell r="AG56">
            <v>56400</v>
          </cell>
          <cell r="AH56">
            <v>56400</v>
          </cell>
          <cell r="AI56">
            <v>56400</v>
          </cell>
        </row>
        <row r="57">
          <cell r="J57">
            <v>40</v>
          </cell>
          <cell r="K57">
            <v>40</v>
          </cell>
          <cell r="L57">
            <v>38.495409397573937</v>
          </cell>
          <cell r="M57">
            <v>39.121381552053798</v>
          </cell>
          <cell r="N57">
            <v>36.713250000000002</v>
          </cell>
          <cell r="O57">
            <v>40.424999999999997</v>
          </cell>
          <cell r="P57">
            <v>43.21917599999999</v>
          </cell>
          <cell r="Q57">
            <v>43.400280000000002</v>
          </cell>
          <cell r="R57">
            <v>40.71211969711063</v>
          </cell>
          <cell r="S57">
            <v>51.11278200000001</v>
          </cell>
          <cell r="T57">
            <v>51.11278200000001</v>
          </cell>
          <cell r="U57">
            <v>57.413790000000006</v>
          </cell>
          <cell r="V57">
            <v>57.413790000000006</v>
          </cell>
          <cell r="W57">
            <v>57.413790000000006</v>
          </cell>
          <cell r="X57">
            <v>63.945</v>
          </cell>
          <cell r="Y57">
            <v>63.945</v>
          </cell>
          <cell r="Z57">
            <v>63.945</v>
          </cell>
          <cell r="AA57">
            <v>63.945</v>
          </cell>
          <cell r="AB57">
            <v>63.945</v>
          </cell>
          <cell r="AC57">
            <v>63.945</v>
          </cell>
          <cell r="AD57">
            <v>63.945</v>
          </cell>
          <cell r="AE57">
            <v>60.173494500000004</v>
          </cell>
          <cell r="AF57">
            <v>54.145000000000003</v>
          </cell>
          <cell r="AG57">
            <v>54.145000000000003</v>
          </cell>
          <cell r="AH57">
            <v>45.814999999999998</v>
          </cell>
          <cell r="AI57">
            <v>33.32</v>
          </cell>
        </row>
        <row r="58">
          <cell r="J58">
            <v>7200</v>
          </cell>
          <cell r="K58">
            <v>56000</v>
          </cell>
          <cell r="L58">
            <v>112976.3275</v>
          </cell>
          <cell r="M58">
            <v>118670.7988</v>
          </cell>
          <cell r="N58">
            <v>99272.627999999997</v>
          </cell>
          <cell r="O58">
            <v>161700</v>
          </cell>
          <cell r="P58">
            <v>203130.12719999996</v>
          </cell>
          <cell r="Q58">
            <v>203981.31600000002</v>
          </cell>
          <cell r="R58">
            <v>962931.19750000001</v>
          </cell>
          <cell r="S58">
            <v>240230.07540000003</v>
          </cell>
          <cell r="T58">
            <v>240230.07540000003</v>
          </cell>
          <cell r="U58">
            <v>269844.81300000002</v>
          </cell>
          <cell r="V58">
            <v>269844.81300000002</v>
          </cell>
          <cell r="W58">
            <v>269844.81300000002</v>
          </cell>
          <cell r="X58">
            <v>300541.5</v>
          </cell>
          <cell r="Y58">
            <v>300541.5</v>
          </cell>
          <cell r="Z58">
            <v>300541.5</v>
          </cell>
          <cell r="AA58">
            <v>300541.5</v>
          </cell>
          <cell r="AB58">
            <v>300541.5</v>
          </cell>
          <cell r="AC58">
            <v>300541.5</v>
          </cell>
          <cell r="AD58">
            <v>300541.5</v>
          </cell>
          <cell r="AE58">
            <v>3393785.0898000002</v>
          </cell>
          <cell r="AF58">
            <v>3053778</v>
          </cell>
          <cell r="AG58">
            <v>3053778</v>
          </cell>
          <cell r="AH58">
            <v>2583966</v>
          </cell>
          <cell r="AI58">
            <v>1879248</v>
          </cell>
        </row>
        <row r="60">
          <cell r="J60">
            <v>0.89100000000000001</v>
          </cell>
          <cell r="K60">
            <v>0.89100000000000001</v>
          </cell>
          <cell r="L60">
            <v>0.89100000000000001</v>
          </cell>
          <cell r="M60">
            <v>0.89100000000000001</v>
          </cell>
          <cell r="N60">
            <v>0.89100000000000001</v>
          </cell>
          <cell r="O60">
            <v>0.89100000000000001</v>
          </cell>
          <cell r="P60">
            <v>0.89100000000000001</v>
          </cell>
          <cell r="Q60">
            <v>0.89100000000000001</v>
          </cell>
          <cell r="R60">
            <v>0.89100000000000001</v>
          </cell>
          <cell r="S60">
            <v>0.89100000000000001</v>
          </cell>
          <cell r="T60">
            <v>0.89100000000000001</v>
          </cell>
          <cell r="U60">
            <v>0.89100000000000001</v>
          </cell>
          <cell r="V60">
            <v>0.89100000000000001</v>
          </cell>
          <cell r="W60">
            <v>0.89100000000000001</v>
          </cell>
          <cell r="X60">
            <v>0.89100000000000001</v>
          </cell>
          <cell r="Y60">
            <v>0.89100000000000001</v>
          </cell>
          <cell r="Z60">
            <v>0.89100000000000001</v>
          </cell>
          <cell r="AA60">
            <v>0.89100000000000001</v>
          </cell>
          <cell r="AB60">
            <v>0.89100000000000001</v>
          </cell>
          <cell r="AC60">
            <v>0.89100000000000001</v>
          </cell>
          <cell r="AD60">
            <v>0.89100000000000001</v>
          </cell>
          <cell r="AE60">
            <v>0.89099999999999979</v>
          </cell>
          <cell r="AF60">
            <v>0.89100000000000001</v>
          </cell>
          <cell r="AG60">
            <v>0.89100000000000001</v>
          </cell>
          <cell r="AH60">
            <v>0.89100000000000001</v>
          </cell>
          <cell r="AI60">
            <v>0.89100000000000001</v>
          </cell>
        </row>
        <row r="61">
          <cell r="J61">
            <v>35.64</v>
          </cell>
          <cell r="K61">
            <v>35.64</v>
          </cell>
          <cell r="L61">
            <v>34.299409773238381</v>
          </cell>
          <cell r="M61">
            <v>34.857150962879935</v>
          </cell>
          <cell r="N61">
            <v>32.711505750000001</v>
          </cell>
          <cell r="O61">
            <v>36.018675000000002</v>
          </cell>
          <cell r="P61">
            <v>38.50828581599999</v>
          </cell>
          <cell r="Q61">
            <v>38.669649480000004</v>
          </cell>
          <cell r="R61">
            <v>36.274498650125572</v>
          </cell>
          <cell r="S61">
            <v>45.541488762</v>
          </cell>
          <cell r="T61">
            <v>45.541488762</v>
          </cell>
          <cell r="U61">
            <v>51.155686890000005</v>
          </cell>
          <cell r="V61">
            <v>51.155686890000005</v>
          </cell>
          <cell r="W61">
            <v>51.155686890000005</v>
          </cell>
          <cell r="X61">
            <v>56.974995</v>
          </cell>
          <cell r="Y61">
            <v>56.974995</v>
          </cell>
          <cell r="Z61">
            <v>56.974995</v>
          </cell>
          <cell r="AA61">
            <v>56.974995</v>
          </cell>
          <cell r="AB61">
            <v>56.974995</v>
          </cell>
          <cell r="AC61">
            <v>56.974995</v>
          </cell>
          <cell r="AD61">
            <v>56.974995</v>
          </cell>
          <cell r="AE61">
            <v>53.614583599499994</v>
          </cell>
          <cell r="AF61">
            <v>48.243195</v>
          </cell>
          <cell r="AG61">
            <v>48.243195</v>
          </cell>
          <cell r="AH61">
            <v>40.821165000000008</v>
          </cell>
          <cell r="AI61">
            <v>29.688120000000001</v>
          </cell>
        </row>
        <row r="62">
          <cell r="J62">
            <v>6415.2</v>
          </cell>
          <cell r="K62">
            <v>49896</v>
          </cell>
          <cell r="L62">
            <v>100661.90780250001</v>
          </cell>
          <cell r="M62">
            <v>105735.6817308</v>
          </cell>
          <cell r="N62">
            <v>88451.911548000004</v>
          </cell>
          <cell r="O62">
            <v>144074.70000000001</v>
          </cell>
          <cell r="P62">
            <v>180988.94333519996</v>
          </cell>
          <cell r="Q62">
            <v>181747.35255600003</v>
          </cell>
          <cell r="R62">
            <v>857971.69697250007</v>
          </cell>
          <cell r="S62">
            <v>214044.99718140002</v>
          </cell>
          <cell r="T62">
            <v>214044.99718140002</v>
          </cell>
          <cell r="U62">
            <v>240431.72838300004</v>
          </cell>
          <cell r="V62">
            <v>240431.72838300004</v>
          </cell>
          <cell r="W62">
            <v>240431.72838300004</v>
          </cell>
          <cell r="X62">
            <v>267782.47649999999</v>
          </cell>
          <cell r="Y62">
            <v>267782.47649999999</v>
          </cell>
          <cell r="Z62">
            <v>267782.47649999999</v>
          </cell>
          <cell r="AA62">
            <v>267782.47649999999</v>
          </cell>
          <cell r="AB62">
            <v>267782.47649999999</v>
          </cell>
          <cell r="AC62">
            <v>267782.47649999999</v>
          </cell>
          <cell r="AD62">
            <v>267782.47649999999</v>
          </cell>
          <cell r="AE62">
            <v>3023862.5150117995</v>
          </cell>
          <cell r="AF62">
            <v>2720916.1979999999</v>
          </cell>
          <cell r="AG62">
            <v>2720916.1979999999</v>
          </cell>
          <cell r="AH62">
            <v>2302313.7060000002</v>
          </cell>
          <cell r="AI62">
            <v>1674409.9680000001</v>
          </cell>
        </row>
        <row r="63">
          <cell r="J63">
            <v>206.25344816721471</v>
          </cell>
          <cell r="K63">
            <v>1604.1934857450035</v>
          </cell>
          <cell r="L63">
            <v>3236.355153908823</v>
          </cell>
          <cell r="M63">
            <v>3399.4807568413567</v>
          </cell>
          <cell r="N63">
            <v>2843.7946991140543</v>
          </cell>
          <cell r="O63">
            <v>4632.1086900886976</v>
          </cell>
          <cell r="P63">
            <v>5818.9290502284621</v>
          </cell>
          <cell r="Q63">
            <v>5843.3124703730909</v>
          </cell>
          <cell r="R63">
            <v>27584.427754466706</v>
          </cell>
          <cell r="S63">
            <v>6881.7057506555539</v>
          </cell>
          <cell r="T63">
            <v>6881.7057506555539</v>
          </cell>
          <cell r="U63">
            <v>7730.058771012119</v>
          </cell>
          <cell r="V63">
            <v>7730.058771012119</v>
          </cell>
          <cell r="W63">
            <v>7730.058771012119</v>
          </cell>
          <cell r="X63">
            <v>8609.4056517148565</v>
          </cell>
          <cell r="Y63">
            <v>8609.4056517148565</v>
          </cell>
          <cell r="Z63">
            <v>8609.4056517148565</v>
          </cell>
          <cell r="AA63">
            <v>8609.4056517148565</v>
          </cell>
          <cell r="AB63">
            <v>8609.4056517148565</v>
          </cell>
          <cell r="AC63">
            <v>8609.4056517148565</v>
          </cell>
          <cell r="AD63">
            <v>8609.4056517148565</v>
          </cell>
          <cell r="AE63">
            <v>97219.427376351436</v>
          </cell>
          <cell r="AF63">
            <v>87479.478116275088</v>
          </cell>
          <cell r="AG63">
            <v>87479.478116275088</v>
          </cell>
          <cell r="AH63">
            <v>74021.096867617394</v>
          </cell>
          <cell r="AI63">
            <v>53833.524994630825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1010.6699999999998</v>
          </cell>
          <cell r="J66">
            <v>7587.3023999999996</v>
          </cell>
          <cell r="K66">
            <v>51590.73</v>
          </cell>
          <cell r="L66">
            <v>102511.5894025</v>
          </cell>
          <cell r="M66">
            <v>108436.9777308</v>
          </cell>
          <cell r="N66">
            <v>92851.911548000004</v>
          </cell>
          <cell r="O66">
            <v>149244.70000000001</v>
          </cell>
          <cell r="P66">
            <v>186158.94333519996</v>
          </cell>
          <cell r="Q66">
            <v>186917.35255600003</v>
          </cell>
          <cell r="R66">
            <v>886310.17697250005</v>
          </cell>
          <cell r="S66">
            <v>220009.2971814</v>
          </cell>
          <cell r="T66">
            <v>220009.2971814</v>
          </cell>
          <cell r="U66">
            <v>246941.22838300004</v>
          </cell>
          <cell r="V66">
            <v>246941.22838300004</v>
          </cell>
          <cell r="W66">
            <v>246941.22838300004</v>
          </cell>
          <cell r="X66">
            <v>274832.47649999999</v>
          </cell>
          <cell r="Y66">
            <v>274832.47649999999</v>
          </cell>
          <cell r="Z66">
            <v>274832.47649999999</v>
          </cell>
          <cell r="AA66">
            <v>274832.47649999999</v>
          </cell>
          <cell r="AB66">
            <v>274832.47649999999</v>
          </cell>
          <cell r="AC66">
            <v>274832.47649999999</v>
          </cell>
          <cell r="AD66">
            <v>274832.47649999999</v>
          </cell>
          <cell r="AE66">
            <v>3104669.6150117991</v>
          </cell>
          <cell r="AF66">
            <v>2794236.1979999999</v>
          </cell>
          <cell r="AG66">
            <v>2794236.1979999999</v>
          </cell>
          <cell r="AH66">
            <v>2364353.7060000002</v>
          </cell>
          <cell r="AI66">
            <v>1719529.9680000001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0.17640067022724892</v>
          </cell>
          <cell r="J67">
            <v>1.1185762052189296</v>
          </cell>
          <cell r="K67">
            <v>5.175115859163407</v>
          </cell>
          <cell r="L67">
            <v>9.798469642754732</v>
          </cell>
          <cell r="M67">
            <v>8.020486518550296</v>
          </cell>
          <cell r="N67">
            <v>4.6425955773999998</v>
          </cell>
          <cell r="O67">
            <v>6.3508382978723406</v>
          </cell>
          <cell r="P67">
            <v>7.9216571631999981</v>
          </cell>
          <cell r="Q67">
            <v>7.9539298960000009</v>
          </cell>
          <cell r="R67">
            <v>5.7708196186894805</v>
          </cell>
          <cell r="S67">
            <v>9.3620977524000004</v>
          </cell>
          <cell r="T67">
            <v>9.3620977524000004</v>
          </cell>
          <cell r="U67">
            <v>10.508137378000002</v>
          </cell>
          <cell r="V67">
            <v>10.508137378000002</v>
          </cell>
          <cell r="W67">
            <v>10.508137378000002</v>
          </cell>
          <cell r="X67">
            <v>11.694998999999999</v>
          </cell>
          <cell r="Y67">
            <v>11.694998999999999</v>
          </cell>
          <cell r="Z67">
            <v>11.694998999999999</v>
          </cell>
          <cell r="AA67">
            <v>11.694998999999999</v>
          </cell>
          <cell r="AB67">
            <v>11.694998999999999</v>
          </cell>
          <cell r="AC67">
            <v>11.694998999999999</v>
          </cell>
          <cell r="AD67">
            <v>11.694998999999999</v>
          </cell>
          <cell r="AE67">
            <v>11.009466719899997</v>
          </cell>
          <cell r="AF67">
            <v>9.9086389999999991</v>
          </cell>
          <cell r="AG67">
            <v>9.9086389999999991</v>
          </cell>
          <cell r="AH67">
            <v>8.384233</v>
          </cell>
          <cell r="AI67">
            <v>6.0976240000000006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0.02</v>
          </cell>
          <cell r="J68">
            <v>0.12946483856700575</v>
          </cell>
          <cell r="K68">
            <v>0.60883715990157727</v>
          </cell>
          <cell r="L68">
            <v>1.1084241677324356</v>
          </cell>
          <cell r="M68">
            <v>0.80285150335838806</v>
          </cell>
          <cell r="N68">
            <v>0.42205414340000003</v>
          </cell>
          <cell r="O68">
            <v>0.57734893617021277</v>
          </cell>
          <cell r="P68">
            <v>0.72015065119999988</v>
          </cell>
          <cell r="Q68">
            <v>0.72308453600000011</v>
          </cell>
          <cell r="R68">
            <v>0.57169783688515974</v>
          </cell>
          <cell r="S68">
            <v>0.73775396000000004</v>
          </cell>
          <cell r="T68">
            <v>0.73775396000000004</v>
          </cell>
          <cell r="U68">
            <v>0.75871028000000007</v>
          </cell>
          <cell r="V68">
            <v>0.75871028000000007</v>
          </cell>
          <cell r="W68">
            <v>0.75871028000000007</v>
          </cell>
          <cell r="X68">
            <v>0.77966659999999999</v>
          </cell>
          <cell r="Y68">
            <v>0.77966659999999999</v>
          </cell>
          <cell r="Z68">
            <v>0.77966659999999999</v>
          </cell>
          <cell r="AA68">
            <v>0.77966659999999999</v>
          </cell>
          <cell r="AB68">
            <v>0.77966659999999999</v>
          </cell>
          <cell r="AC68">
            <v>0.77966659999999999</v>
          </cell>
          <cell r="AD68">
            <v>0.77966659999999999</v>
          </cell>
          <cell r="AE68">
            <v>0.76841505635316676</v>
          </cell>
          <cell r="AF68">
            <v>0.76220299999999996</v>
          </cell>
          <cell r="AG68">
            <v>0.76220299999999996</v>
          </cell>
          <cell r="AH68">
            <v>0.76220300000000007</v>
          </cell>
          <cell r="AI68">
            <v>0.76220300000000007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32.493791691476318</v>
          </cell>
          <cell r="J69">
            <v>243.93741150507915</v>
          </cell>
          <cell r="K69">
            <v>1658.6803148715192</v>
          </cell>
          <cell r="L69">
            <v>3295.8237921448017</v>
          </cell>
          <cell r="M69">
            <v>3486.3294310090059</v>
          </cell>
          <cell r="N69">
            <v>2985.257969461938</v>
          </cell>
          <cell r="O69">
            <v>4798.3280327474613</v>
          </cell>
          <cell r="P69">
            <v>5985.1483928872249</v>
          </cell>
          <cell r="Q69">
            <v>6009.5318130318547</v>
          </cell>
          <cell r="R69">
            <v>28495.530949350363</v>
          </cell>
          <cell r="S69">
            <v>7073.4624286864364</v>
          </cell>
          <cell r="T69">
            <v>7073.4624286864364</v>
          </cell>
          <cell r="U69">
            <v>7939.3440342688355</v>
          </cell>
          <cell r="V69">
            <v>7939.3440342688355</v>
          </cell>
          <cell r="W69">
            <v>7939.3440342688355</v>
          </cell>
          <cell r="X69">
            <v>8836.0683917040787</v>
          </cell>
          <cell r="Y69">
            <v>8836.0683917040787</v>
          </cell>
          <cell r="Z69">
            <v>8836.0683917040787</v>
          </cell>
          <cell r="AA69">
            <v>8836.0683917040787</v>
          </cell>
          <cell r="AB69">
            <v>8836.0683917040787</v>
          </cell>
          <cell r="AC69">
            <v>8836.0683917040787</v>
          </cell>
          <cell r="AD69">
            <v>8836.0683917040787</v>
          </cell>
          <cell r="AE69">
            <v>99817.435702107905</v>
          </cell>
          <cell r="AF69">
            <v>89836.770612163004</v>
          </cell>
          <cell r="AG69">
            <v>89836.770612163004</v>
          </cell>
          <cell r="AH69">
            <v>76015.728979522552</v>
          </cell>
          <cell r="AI69">
            <v>55284.166530561852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0.80189999999999995</v>
          </cell>
          <cell r="K71">
            <v>6.2370000000000001</v>
          </cell>
          <cell r="L71">
            <v>12.582738475312501</v>
          </cell>
          <cell r="M71">
            <v>13.21696021635</v>
          </cell>
          <cell r="N71">
            <v>11.0564889435</v>
          </cell>
          <cell r="O71">
            <v>18.009337500000001</v>
          </cell>
          <cell r="P71">
            <v>22.623617916899995</v>
          </cell>
          <cell r="Q71">
            <v>22.718419069500005</v>
          </cell>
          <cell r="R71">
            <v>107.24646212156249</v>
          </cell>
          <cell r="S71">
            <v>26.755624647675003</v>
          </cell>
          <cell r="T71">
            <v>26.755624647675003</v>
          </cell>
          <cell r="U71">
            <v>30.053966047875004</v>
          </cell>
          <cell r="V71">
            <v>30.053966047875004</v>
          </cell>
          <cell r="W71">
            <v>30.053966047875004</v>
          </cell>
          <cell r="X71">
            <v>33.472809562499997</v>
          </cell>
          <cell r="Y71">
            <v>33.472809562499997</v>
          </cell>
          <cell r="Z71">
            <v>33.472809562499997</v>
          </cell>
          <cell r="AA71">
            <v>33.472809562499997</v>
          </cell>
          <cell r="AB71">
            <v>33.472809562499997</v>
          </cell>
          <cell r="AC71">
            <v>33.472809562499997</v>
          </cell>
          <cell r="AD71">
            <v>33.472809562499997</v>
          </cell>
          <cell r="AE71">
            <v>377.98281437647501</v>
          </cell>
          <cell r="AF71">
            <v>340.11452474999999</v>
          </cell>
          <cell r="AG71">
            <v>340.11452474999999</v>
          </cell>
          <cell r="AH71">
            <v>287.78921325000005</v>
          </cell>
          <cell r="AI71">
            <v>209.30124600000002</v>
          </cell>
        </row>
        <row r="73">
          <cell r="F73">
            <v>0.05</v>
          </cell>
          <cell r="G73">
            <v>0.05</v>
          </cell>
          <cell r="H73">
            <v>0.05</v>
          </cell>
          <cell r="I73">
            <v>0.05</v>
          </cell>
          <cell r="J73">
            <v>0.05</v>
          </cell>
          <cell r="K73">
            <v>0.05</v>
          </cell>
          <cell r="L73">
            <v>0.05</v>
          </cell>
          <cell r="M73">
            <v>0.05</v>
          </cell>
          <cell r="N73">
            <v>0.05</v>
          </cell>
          <cell r="O73">
            <v>0.05</v>
          </cell>
          <cell r="P73">
            <v>0.05</v>
          </cell>
          <cell r="Q73">
            <v>0.05</v>
          </cell>
          <cell r="R73">
            <v>4.9999999999999913E-2</v>
          </cell>
          <cell r="S73">
            <v>0.05</v>
          </cell>
          <cell r="T73">
            <v>0.05</v>
          </cell>
          <cell r="U73">
            <v>0.05</v>
          </cell>
          <cell r="V73">
            <v>0.05</v>
          </cell>
          <cell r="W73">
            <v>0.05</v>
          </cell>
          <cell r="X73">
            <v>0.05</v>
          </cell>
          <cell r="Y73">
            <v>0.05</v>
          </cell>
          <cell r="Z73">
            <v>0.05</v>
          </cell>
          <cell r="AA73">
            <v>0.05</v>
          </cell>
          <cell r="AB73">
            <v>0.05</v>
          </cell>
          <cell r="AC73">
            <v>0.05</v>
          </cell>
          <cell r="AD73">
            <v>0.05</v>
          </cell>
          <cell r="AE73">
            <v>5.0000000000000343E-2</v>
          </cell>
          <cell r="AF73">
            <v>0.05</v>
          </cell>
          <cell r="AG73">
            <v>0.05</v>
          </cell>
          <cell r="AH73">
            <v>0.05</v>
          </cell>
          <cell r="AI73">
            <v>0.05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34.203991254185603</v>
          </cell>
          <cell r="J74">
            <v>256.77622263692541</v>
          </cell>
          <cell r="K74">
            <v>1745.9792788121256</v>
          </cell>
          <cell r="L74">
            <v>3469.288202257686</v>
          </cell>
          <cell r="M74">
            <v>3669.8204536936905</v>
          </cell>
          <cell r="N74">
            <v>3142.3768099599351</v>
          </cell>
          <cell r="O74">
            <v>5050.8716134183805</v>
          </cell>
          <cell r="P74">
            <v>6300.1562030391842</v>
          </cell>
          <cell r="Q74">
            <v>6325.8229610861626</v>
          </cell>
          <cell r="R74">
            <v>29995.295736158274</v>
          </cell>
          <cell r="S74">
            <v>7445.7499249330913</v>
          </cell>
          <cell r="T74">
            <v>7445.7499249330913</v>
          </cell>
          <cell r="U74">
            <v>8357.2042465987743</v>
          </cell>
          <cell r="V74">
            <v>8357.2042465987743</v>
          </cell>
          <cell r="W74">
            <v>8357.2042465987743</v>
          </cell>
          <cell r="X74">
            <v>9301.1246228463988</v>
          </cell>
          <cell r="Y74">
            <v>9301.1246228463988</v>
          </cell>
          <cell r="Z74">
            <v>9301.1246228463988</v>
          </cell>
          <cell r="AA74">
            <v>9301.1246228463988</v>
          </cell>
          <cell r="AB74">
            <v>9301.1246228463988</v>
          </cell>
          <cell r="AC74">
            <v>9301.1246228463988</v>
          </cell>
          <cell r="AD74">
            <v>9301.1246228463988</v>
          </cell>
          <cell r="AE74">
            <v>105070.98494958731</v>
          </cell>
          <cell r="AF74">
            <v>94565.021697013697</v>
          </cell>
          <cell r="AG74">
            <v>94565.021697013697</v>
          </cell>
          <cell r="AH74">
            <v>80016.55682055006</v>
          </cell>
          <cell r="AI74">
            <v>58193.859505854583</v>
          </cell>
        </row>
        <row r="78">
          <cell r="F78">
            <v>3378.4710599999999</v>
          </cell>
          <cell r="G78">
            <v>5089.3997550399999</v>
          </cell>
          <cell r="H78">
            <v>6606.9609099999998</v>
          </cell>
          <cell r="I78">
            <v>4921.2200030399999</v>
          </cell>
          <cell r="J78">
            <v>5629.8899999999994</v>
          </cell>
          <cell r="K78">
            <v>7975.2</v>
          </cell>
          <cell r="L78">
            <v>8369.6</v>
          </cell>
          <cell r="M78">
            <v>10816</v>
          </cell>
          <cell r="N78">
            <v>16000</v>
          </cell>
          <cell r="O78">
            <v>18800</v>
          </cell>
          <cell r="P78">
            <v>18800</v>
          </cell>
          <cell r="Q78">
            <v>18800</v>
          </cell>
          <cell r="R78">
            <v>125186.74172808</v>
          </cell>
          <cell r="S78">
            <v>18800</v>
          </cell>
          <cell r="T78">
            <v>18800</v>
          </cell>
          <cell r="U78">
            <v>18800</v>
          </cell>
          <cell r="V78">
            <v>18800</v>
          </cell>
          <cell r="W78">
            <v>18800</v>
          </cell>
          <cell r="X78">
            <v>18800</v>
          </cell>
          <cell r="Y78">
            <v>18800</v>
          </cell>
          <cell r="Z78">
            <v>18800</v>
          </cell>
          <cell r="AA78">
            <v>18800</v>
          </cell>
          <cell r="AB78">
            <v>18800</v>
          </cell>
          <cell r="AC78">
            <v>18800</v>
          </cell>
          <cell r="AD78">
            <v>18800</v>
          </cell>
          <cell r="AE78">
            <v>225600</v>
          </cell>
          <cell r="AF78">
            <v>225600</v>
          </cell>
          <cell r="AG78">
            <v>225600</v>
          </cell>
          <cell r="AH78">
            <v>225600</v>
          </cell>
          <cell r="AI78">
            <v>225600</v>
          </cell>
        </row>
        <row r="79">
          <cell r="F79">
            <v>2.9325987508457394</v>
          </cell>
          <cell r="G79">
            <v>3.4132063795533916</v>
          </cell>
          <cell r="H79">
            <v>2.9163127741283996</v>
          </cell>
          <cell r="I79">
            <v>3.0189361562422401</v>
          </cell>
          <cell r="J79">
            <v>2.5503614457831323</v>
          </cell>
          <cell r="K79">
            <v>2.6031249999999999</v>
          </cell>
          <cell r="L79">
            <v>2.7072500000000002</v>
          </cell>
          <cell r="M79">
            <v>3.0594374999999991</v>
          </cell>
          <cell r="N79">
            <v>3.3687499999999999</v>
          </cell>
          <cell r="O79">
            <v>2.6702060000000021</v>
          </cell>
          <cell r="P79">
            <v>2.6249299999999991</v>
          </cell>
          <cell r="Q79">
            <v>2.5149739999999987</v>
          </cell>
          <cell r="R79">
            <v>2.8198028069864236</v>
          </cell>
          <cell r="S79">
            <v>2.7670544999999991</v>
          </cell>
          <cell r="T79">
            <v>2.7670544999999991</v>
          </cell>
          <cell r="U79">
            <v>2.6128024999999986</v>
          </cell>
          <cell r="V79">
            <v>2.6128024999999986</v>
          </cell>
          <cell r="W79">
            <v>2.6128024999999986</v>
          </cell>
          <cell r="X79">
            <v>2.3887499999999999</v>
          </cell>
          <cell r="Y79">
            <v>2.3887499999999999</v>
          </cell>
          <cell r="Z79">
            <v>2.3887499999999999</v>
          </cell>
          <cell r="AA79">
            <v>2.3887499999999999</v>
          </cell>
          <cell r="AB79">
            <v>2.3887499999999999</v>
          </cell>
          <cell r="AC79">
            <v>2.3887499999999999</v>
          </cell>
          <cell r="AD79">
            <v>2.3887499999999999</v>
          </cell>
          <cell r="AE79">
            <v>2.5078138749999996</v>
          </cell>
          <cell r="AF79">
            <v>2.3887499999999999</v>
          </cell>
          <cell r="AG79">
            <v>2.3887499999999999</v>
          </cell>
          <cell r="AH79">
            <v>2.0212500000000002</v>
          </cell>
          <cell r="AI79">
            <v>1.47</v>
          </cell>
        </row>
        <row r="80">
          <cell r="F80">
            <v>9907.7000103244809</v>
          </cell>
          <cell r="G80">
            <v>17371.171711999996</v>
          </cell>
          <cell r="H80">
            <v>19267.964499999995</v>
          </cell>
          <cell r="I80">
            <v>14856.849000000002</v>
          </cell>
          <cell r="J80">
            <v>14358.254399999998</v>
          </cell>
          <cell r="K80">
            <v>20760.442499999997</v>
          </cell>
          <cell r="L80">
            <v>22658.599600000001</v>
          </cell>
          <cell r="M80">
            <v>33090.875999999989</v>
          </cell>
          <cell r="N80">
            <v>53900</v>
          </cell>
          <cell r="O80">
            <v>50199.872800000041</v>
          </cell>
          <cell r="P80">
            <v>49348.683999999979</v>
          </cell>
          <cell r="Q80">
            <v>47281.511199999979</v>
          </cell>
          <cell r="R80">
            <v>353001.92572232441</v>
          </cell>
          <cell r="S80">
            <v>52020.624599999981</v>
          </cell>
          <cell r="T80">
            <v>52020.624599999981</v>
          </cell>
          <cell r="U80">
            <v>49120.686999999976</v>
          </cell>
          <cell r="V80">
            <v>49120.686999999976</v>
          </cell>
          <cell r="W80">
            <v>49120.686999999976</v>
          </cell>
          <cell r="X80">
            <v>44908.5</v>
          </cell>
          <cell r="Y80">
            <v>44908.5</v>
          </cell>
          <cell r="Z80">
            <v>44908.5</v>
          </cell>
          <cell r="AA80">
            <v>44908.5</v>
          </cell>
          <cell r="AB80">
            <v>44908.5</v>
          </cell>
          <cell r="AC80">
            <v>44908.5</v>
          </cell>
          <cell r="AD80">
            <v>44908.5</v>
          </cell>
          <cell r="AE80">
            <v>565762.81019999995</v>
          </cell>
          <cell r="AF80">
            <v>538902</v>
          </cell>
          <cell r="AG80">
            <v>538902</v>
          </cell>
          <cell r="AH80">
            <v>455994</v>
          </cell>
          <cell r="AI80">
            <v>331632</v>
          </cell>
        </row>
        <row r="82">
          <cell r="J82">
            <v>180</v>
          </cell>
          <cell r="K82">
            <v>1400</v>
          </cell>
          <cell r="L82">
            <v>2934.8</v>
          </cell>
          <cell r="M82">
            <v>3033.4</v>
          </cell>
          <cell r="N82">
            <v>2704</v>
          </cell>
          <cell r="O82">
            <v>4000</v>
          </cell>
          <cell r="P82">
            <v>4700</v>
          </cell>
          <cell r="Q82">
            <v>4700</v>
          </cell>
          <cell r="R82">
            <v>23652.2</v>
          </cell>
          <cell r="S82">
            <v>4700</v>
          </cell>
          <cell r="T82">
            <v>4700</v>
          </cell>
          <cell r="U82">
            <v>4700</v>
          </cell>
          <cell r="V82">
            <v>4700</v>
          </cell>
          <cell r="W82">
            <v>4700</v>
          </cell>
          <cell r="X82">
            <v>4700</v>
          </cell>
          <cell r="Y82">
            <v>4700</v>
          </cell>
          <cell r="Z82">
            <v>4700</v>
          </cell>
          <cell r="AA82">
            <v>4700</v>
          </cell>
          <cell r="AB82">
            <v>4700</v>
          </cell>
          <cell r="AC82">
            <v>4700</v>
          </cell>
          <cell r="AD82">
            <v>4700</v>
          </cell>
          <cell r="AE82">
            <v>56400</v>
          </cell>
          <cell r="AF82">
            <v>56400</v>
          </cell>
          <cell r="AG82">
            <v>56400</v>
          </cell>
          <cell r="AH82">
            <v>56400</v>
          </cell>
          <cell r="AI82">
            <v>56400</v>
          </cell>
        </row>
        <row r="83">
          <cell r="J83">
            <v>4.3600000000000012</v>
          </cell>
          <cell r="K83">
            <v>4.3600000000000003</v>
          </cell>
          <cell r="L83">
            <v>4.1959996243355571</v>
          </cell>
          <cell r="M83">
            <v>4.2642305891738648</v>
          </cell>
          <cell r="N83">
            <v>4.0017442499999971</v>
          </cell>
          <cell r="O83">
            <v>4.4063249999999972</v>
          </cell>
          <cell r="P83">
            <v>4.7108901839999993</v>
          </cell>
          <cell r="Q83">
            <v>4.7306305199999983</v>
          </cell>
          <cell r="R83">
            <v>4.4376210469850568</v>
          </cell>
          <cell r="S83">
            <v>5.5712932380000026</v>
          </cell>
          <cell r="T83">
            <v>5.5712932380000026</v>
          </cell>
          <cell r="U83">
            <v>6.2581031099999969</v>
          </cell>
          <cell r="V83">
            <v>6.2581031099999969</v>
          </cell>
          <cell r="W83">
            <v>6.2581031099999969</v>
          </cell>
          <cell r="X83">
            <v>6.9700050000000022</v>
          </cell>
          <cell r="Y83">
            <v>6.9700050000000022</v>
          </cell>
          <cell r="Z83">
            <v>6.9700050000000022</v>
          </cell>
          <cell r="AA83">
            <v>6.9700050000000022</v>
          </cell>
          <cell r="AB83">
            <v>6.9700050000000022</v>
          </cell>
          <cell r="AC83">
            <v>6.9700050000000022</v>
          </cell>
          <cell r="AD83">
            <v>6.9700050000000022</v>
          </cell>
          <cell r="AE83">
            <v>6.5589109005000017</v>
          </cell>
          <cell r="AF83">
            <v>5.9018050000000022</v>
          </cell>
          <cell r="AG83">
            <v>5.9018050000000022</v>
          </cell>
          <cell r="AH83">
            <v>4.9938349999999954</v>
          </cell>
          <cell r="AI83">
            <v>3.631879999999998</v>
          </cell>
        </row>
        <row r="84">
          <cell r="J84">
            <v>784.80000000000018</v>
          </cell>
          <cell r="K84">
            <v>6104</v>
          </cell>
          <cell r="L84">
            <v>12314.419697499994</v>
          </cell>
          <cell r="M84">
            <v>12935.117069200001</v>
          </cell>
          <cell r="N84">
            <v>10820.716451999993</v>
          </cell>
          <cell r="O84">
            <v>17625.299999999988</v>
          </cell>
          <cell r="P84">
            <v>22141.183864799998</v>
          </cell>
          <cell r="Q84">
            <v>22233.963443999994</v>
          </cell>
          <cell r="R84">
            <v>104959.50052749997</v>
          </cell>
          <cell r="S84">
            <v>26185.078218600014</v>
          </cell>
          <cell r="T84">
            <v>26185.078218600014</v>
          </cell>
          <cell r="U84">
            <v>29413.084616999986</v>
          </cell>
          <cell r="V84">
            <v>29413.084616999986</v>
          </cell>
          <cell r="W84">
            <v>29413.084616999986</v>
          </cell>
          <cell r="X84">
            <v>32759.02350000001</v>
          </cell>
          <cell r="Y84">
            <v>32759.02350000001</v>
          </cell>
          <cell r="Z84">
            <v>32759.02350000001</v>
          </cell>
          <cell r="AA84">
            <v>32759.02350000001</v>
          </cell>
          <cell r="AB84">
            <v>32759.02350000001</v>
          </cell>
          <cell r="AC84">
            <v>32759.02350000001</v>
          </cell>
          <cell r="AD84">
            <v>32759.02350000001</v>
          </cell>
          <cell r="AE84">
            <v>369922.57478820009</v>
          </cell>
          <cell r="AF84">
            <v>332861.80200000014</v>
          </cell>
          <cell r="AG84">
            <v>332861.80200000014</v>
          </cell>
          <cell r="AH84">
            <v>281652.29399999976</v>
          </cell>
          <cell r="AI84">
            <v>204838.03199999989</v>
          </cell>
        </row>
        <row r="86">
          <cell r="F86">
            <v>3378.4710599999999</v>
          </cell>
          <cell r="G86">
            <v>5089.3997550399999</v>
          </cell>
          <cell r="H86">
            <v>6606.9609099999998</v>
          </cell>
          <cell r="I86">
            <v>4921.2200030399999</v>
          </cell>
          <cell r="J86">
            <v>5809.8899999999994</v>
          </cell>
          <cell r="K86">
            <v>9375.2000000000007</v>
          </cell>
          <cell r="L86">
            <v>11304.400000000001</v>
          </cell>
          <cell r="M86">
            <v>13849.4</v>
          </cell>
          <cell r="N86">
            <v>18704</v>
          </cell>
          <cell r="O86">
            <v>22800</v>
          </cell>
          <cell r="P86">
            <v>23500</v>
          </cell>
          <cell r="Q86">
            <v>23500</v>
          </cell>
          <cell r="R86">
            <v>148838.94172807998</v>
          </cell>
          <cell r="S86">
            <v>23500</v>
          </cell>
          <cell r="T86">
            <v>23500</v>
          </cell>
          <cell r="U86">
            <v>23500</v>
          </cell>
          <cell r="V86">
            <v>23500</v>
          </cell>
          <cell r="W86">
            <v>23500</v>
          </cell>
          <cell r="X86">
            <v>23500</v>
          </cell>
          <cell r="Y86">
            <v>23500</v>
          </cell>
          <cell r="Z86">
            <v>23500</v>
          </cell>
          <cell r="AA86">
            <v>23500</v>
          </cell>
          <cell r="AB86">
            <v>23500</v>
          </cell>
          <cell r="AC86">
            <v>23500</v>
          </cell>
          <cell r="AD86">
            <v>23500</v>
          </cell>
          <cell r="AE86">
            <v>282000</v>
          </cell>
          <cell r="AF86">
            <v>282000</v>
          </cell>
          <cell r="AG86">
            <v>282000</v>
          </cell>
          <cell r="AH86">
            <v>282000</v>
          </cell>
          <cell r="AI86">
            <v>282000</v>
          </cell>
        </row>
        <row r="87">
          <cell r="F87">
            <v>2.9325987508457394</v>
          </cell>
          <cell r="G87">
            <v>3.4132063795533916</v>
          </cell>
          <cell r="H87">
            <v>2.9163127741283996</v>
          </cell>
          <cell r="I87">
            <v>3.0189361562422401</v>
          </cell>
          <cell r="J87">
            <v>2.6064270407873469</v>
          </cell>
          <cell r="K87">
            <v>2.8654794031060664</v>
          </cell>
          <cell r="L87">
            <v>3.0937528128427862</v>
          </cell>
          <cell r="M87">
            <v>3.3233203654454337</v>
          </cell>
          <cell r="N87">
            <v>3.4602607170658679</v>
          </cell>
          <cell r="O87">
            <v>2.9747882807017558</v>
          </cell>
          <cell r="P87">
            <v>3.042122036799999</v>
          </cell>
          <cell r="Q87">
            <v>2.9581053039999987</v>
          </cell>
          <cell r="R87">
            <v>3.0768925184008169</v>
          </cell>
          <cell r="S87">
            <v>3.3279022476</v>
          </cell>
          <cell r="T87">
            <v>3.3279022476</v>
          </cell>
          <cell r="U87">
            <v>3.3418626219999985</v>
          </cell>
          <cell r="V87">
            <v>3.3418626219999985</v>
          </cell>
          <cell r="W87">
            <v>3.3418626219999985</v>
          </cell>
          <cell r="X87">
            <v>3.3050010000000003</v>
          </cell>
          <cell r="Y87">
            <v>3.3050010000000003</v>
          </cell>
          <cell r="Z87">
            <v>3.3050010000000003</v>
          </cell>
          <cell r="AA87">
            <v>3.3050010000000003</v>
          </cell>
          <cell r="AB87">
            <v>3.3050010000000003</v>
          </cell>
          <cell r="AC87">
            <v>3.3050010000000003</v>
          </cell>
          <cell r="AD87">
            <v>3.3050010000000003</v>
          </cell>
          <cell r="AE87">
            <v>3.3180332800999999</v>
          </cell>
          <cell r="AF87">
            <v>3.0913610000000005</v>
          </cell>
          <cell r="AG87">
            <v>3.0913610000000005</v>
          </cell>
          <cell r="AH87">
            <v>2.6157669999999991</v>
          </cell>
          <cell r="AI87">
            <v>1.9023759999999996</v>
          </cell>
        </row>
        <row r="88">
          <cell r="F88">
            <v>9907.7000103244809</v>
          </cell>
          <cell r="G88">
            <v>17371.171711999996</v>
          </cell>
          <cell r="H88">
            <v>19267.964499999995</v>
          </cell>
          <cell r="I88">
            <v>14856.849000000002</v>
          </cell>
          <cell r="J88">
            <v>15143.054399999997</v>
          </cell>
          <cell r="K88">
            <v>26864.442499999997</v>
          </cell>
          <cell r="L88">
            <v>34973.019297499995</v>
          </cell>
          <cell r="M88">
            <v>46025.993069199991</v>
          </cell>
          <cell r="N88">
            <v>64720.716451999993</v>
          </cell>
          <cell r="O88">
            <v>67825.172800000029</v>
          </cell>
          <cell r="P88">
            <v>71489.867864799977</v>
          </cell>
          <cell r="Q88">
            <v>69515.474643999973</v>
          </cell>
          <cell r="R88">
            <v>457961.42624982446</v>
          </cell>
          <cell r="S88">
            <v>78205.702818599995</v>
          </cell>
          <cell r="T88">
            <v>78205.702818599995</v>
          </cell>
          <cell r="U88">
            <v>78533.771616999962</v>
          </cell>
          <cell r="V88">
            <v>78533.771616999962</v>
          </cell>
          <cell r="W88">
            <v>78533.771616999962</v>
          </cell>
          <cell r="X88">
            <v>77667.52350000001</v>
          </cell>
          <cell r="Y88">
            <v>77667.52350000001</v>
          </cell>
          <cell r="Z88">
            <v>77667.52350000001</v>
          </cell>
          <cell r="AA88">
            <v>77667.52350000001</v>
          </cell>
          <cell r="AB88">
            <v>77667.52350000001</v>
          </cell>
          <cell r="AC88">
            <v>77667.52350000001</v>
          </cell>
          <cell r="AD88">
            <v>77667.52350000001</v>
          </cell>
          <cell r="AE88">
            <v>935685.38498819992</v>
          </cell>
          <cell r="AF88">
            <v>871763.80200000014</v>
          </cell>
          <cell r="AG88">
            <v>871763.80200000014</v>
          </cell>
          <cell r="AH88">
            <v>737646.29399999976</v>
          </cell>
          <cell r="AI88">
            <v>536470.03199999989</v>
          </cell>
        </row>
        <row r="93">
          <cell r="F93">
            <v>10325.796923076923</v>
          </cell>
          <cell r="G93">
            <v>13031.959230769231</v>
          </cell>
          <cell r="H93">
            <v>16424.972307692307</v>
          </cell>
          <cell r="I93">
            <v>20078.2176</v>
          </cell>
          <cell r="J93">
            <v>27108.345599999997</v>
          </cell>
          <cell r="K93">
            <v>30242.419199999997</v>
          </cell>
          <cell r="L93">
            <v>31953.599999999999</v>
          </cell>
          <cell r="M93">
            <v>32065.420799999996</v>
          </cell>
          <cell r="N93">
            <v>33600</v>
          </cell>
          <cell r="O93">
            <v>50400</v>
          </cell>
          <cell r="P93">
            <v>84000</v>
          </cell>
          <cell r="Q93">
            <v>117600</v>
          </cell>
          <cell r="R93">
            <v>466830.73166153848</v>
          </cell>
          <cell r="S93">
            <v>117600</v>
          </cell>
          <cell r="T93">
            <v>117600</v>
          </cell>
          <cell r="U93">
            <v>100800</v>
          </cell>
          <cell r="V93">
            <v>67200</v>
          </cell>
          <cell r="W93">
            <v>50400</v>
          </cell>
          <cell r="X93">
            <v>50400</v>
          </cell>
          <cell r="Y93">
            <v>50400</v>
          </cell>
          <cell r="Z93">
            <v>50400</v>
          </cell>
          <cell r="AA93">
            <v>50400</v>
          </cell>
          <cell r="AB93">
            <v>67200</v>
          </cell>
          <cell r="AC93">
            <v>100800</v>
          </cell>
          <cell r="AD93">
            <v>117600</v>
          </cell>
          <cell r="AE93">
            <v>940800</v>
          </cell>
          <cell r="AF93">
            <v>940800</v>
          </cell>
          <cell r="AG93">
            <v>940800</v>
          </cell>
          <cell r="AH93">
            <v>940800</v>
          </cell>
          <cell r="AI93">
            <v>940800</v>
          </cell>
        </row>
        <row r="94">
          <cell r="F94">
            <v>2746.97696</v>
          </cell>
          <cell r="G94">
            <v>2887.2762464000002</v>
          </cell>
          <cell r="H94">
            <v>1967.7309600000001</v>
          </cell>
          <cell r="I94">
            <v>1519.43688</v>
          </cell>
          <cell r="J94">
            <v>1798.8516</v>
          </cell>
          <cell r="K94">
            <v>2643.7788</v>
          </cell>
          <cell r="L94">
            <v>2774.5223999999998</v>
          </cell>
          <cell r="M94">
            <v>3585.5039999999999</v>
          </cell>
          <cell r="N94">
            <v>5304</v>
          </cell>
          <cell r="O94">
            <v>6232.2</v>
          </cell>
          <cell r="P94">
            <v>6232.2</v>
          </cell>
          <cell r="Q94">
            <v>6232.2</v>
          </cell>
          <cell r="R94">
            <v>43924.677846399994</v>
          </cell>
          <cell r="S94">
            <v>6232.2</v>
          </cell>
          <cell r="T94">
            <v>6232.2</v>
          </cell>
          <cell r="U94">
            <v>6232.2</v>
          </cell>
          <cell r="V94">
            <v>6232.2</v>
          </cell>
          <cell r="W94">
            <v>6232.2</v>
          </cell>
          <cell r="X94">
            <v>6232.2</v>
          </cell>
          <cell r="Y94">
            <v>6232.2</v>
          </cell>
          <cell r="Z94">
            <v>6232.2</v>
          </cell>
          <cell r="AA94">
            <v>6232.2</v>
          </cell>
          <cell r="AB94">
            <v>6232.2</v>
          </cell>
          <cell r="AC94">
            <v>6232.2</v>
          </cell>
          <cell r="AD94">
            <v>6232.2</v>
          </cell>
          <cell r="AE94">
            <v>74786.39999999998</v>
          </cell>
          <cell r="AF94">
            <v>74786.399999999994</v>
          </cell>
          <cell r="AG94">
            <v>74786.399999999994</v>
          </cell>
          <cell r="AH94">
            <v>74786.399999999994</v>
          </cell>
          <cell r="AI94">
            <v>74786.399999999994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F96">
            <v>4688.0243200000004</v>
          </cell>
          <cell r="G96">
            <v>7122.7246048000015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11810.748924800002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F97">
            <v>0</v>
          </cell>
          <cell r="G97">
            <v>0</v>
          </cell>
          <cell r="H97">
            <v>5765.1846000000005</v>
          </cell>
          <cell r="I97">
            <v>4451.7437999999993</v>
          </cell>
          <cell r="J97">
            <v>5270.3909999999996</v>
          </cell>
          <cell r="K97">
            <v>7745.9129999999996</v>
          </cell>
          <cell r="L97">
            <v>8128.9740000000002</v>
          </cell>
          <cell r="M97">
            <v>10505.04</v>
          </cell>
          <cell r="N97">
            <v>15540</v>
          </cell>
          <cell r="O97">
            <v>0</v>
          </cell>
          <cell r="P97">
            <v>0</v>
          </cell>
          <cell r="Q97">
            <v>0</v>
          </cell>
          <cell r="R97">
            <v>57407.246400000004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18259.5</v>
          </cell>
          <cell r="P98">
            <v>18259.5</v>
          </cell>
          <cell r="Q98">
            <v>18259.5</v>
          </cell>
          <cell r="R98">
            <v>54778.5</v>
          </cell>
          <cell r="S98">
            <v>18259.5</v>
          </cell>
          <cell r="T98">
            <v>18259.5</v>
          </cell>
          <cell r="U98">
            <v>18259.5</v>
          </cell>
          <cell r="V98">
            <v>18259.5</v>
          </cell>
          <cell r="W98">
            <v>18259.5</v>
          </cell>
          <cell r="X98">
            <v>18259.5</v>
          </cell>
          <cell r="Y98">
            <v>18259.5</v>
          </cell>
          <cell r="Z98">
            <v>18259.5</v>
          </cell>
          <cell r="AA98">
            <v>18259.5</v>
          </cell>
          <cell r="AB98">
            <v>18259.5</v>
          </cell>
          <cell r="AC98">
            <v>18259.5</v>
          </cell>
          <cell r="AD98">
            <v>18259.5</v>
          </cell>
          <cell r="AE98">
            <v>219114</v>
          </cell>
          <cell r="AF98">
            <v>219114</v>
          </cell>
          <cell r="AG98">
            <v>219114</v>
          </cell>
          <cell r="AH98">
            <v>219114</v>
          </cell>
          <cell r="AI98">
            <v>219114</v>
          </cell>
        </row>
        <row r="99">
          <cell r="F99">
            <v>0</v>
          </cell>
          <cell r="G99">
            <v>983.47081200000002</v>
          </cell>
          <cell r="H99">
            <v>793.91859999999997</v>
          </cell>
          <cell r="I99">
            <v>613.04579999999987</v>
          </cell>
          <cell r="J99">
            <v>725.78100000000006</v>
          </cell>
          <cell r="K99">
            <v>1066.6830000000002</v>
          </cell>
          <cell r="L99">
            <v>1119.434</v>
          </cell>
          <cell r="M99">
            <v>1446.64</v>
          </cell>
          <cell r="N99">
            <v>2140</v>
          </cell>
          <cell r="O99">
            <v>4400.375</v>
          </cell>
          <cell r="P99">
            <v>4400.375</v>
          </cell>
          <cell r="Q99">
            <v>4400.375</v>
          </cell>
          <cell r="R99">
            <v>22090.098212000001</v>
          </cell>
          <cell r="S99">
            <v>4400.375</v>
          </cell>
          <cell r="T99">
            <v>4400.375</v>
          </cell>
          <cell r="U99">
            <v>4400.375</v>
          </cell>
          <cell r="V99">
            <v>4400.375</v>
          </cell>
          <cell r="W99">
            <v>4400.375</v>
          </cell>
          <cell r="X99">
            <v>4400.375</v>
          </cell>
          <cell r="Y99">
            <v>4400.375</v>
          </cell>
          <cell r="Z99">
            <v>4400.375</v>
          </cell>
          <cell r="AA99">
            <v>4400.375</v>
          </cell>
          <cell r="AB99">
            <v>4400.375</v>
          </cell>
          <cell r="AC99">
            <v>4400.375</v>
          </cell>
          <cell r="AD99">
            <v>4400.375</v>
          </cell>
          <cell r="AE99">
            <v>52804.5</v>
          </cell>
          <cell r="AF99">
            <v>52804.5</v>
          </cell>
          <cell r="AG99">
            <v>52804.5</v>
          </cell>
          <cell r="AH99">
            <v>52804.5</v>
          </cell>
          <cell r="AI99">
            <v>52804.5</v>
          </cell>
        </row>
        <row r="100">
          <cell r="F100">
            <v>9295.9067599999998</v>
          </cell>
          <cell r="G100">
            <v>0</v>
          </cell>
          <cell r="H100">
            <v>10654.239216</v>
          </cell>
          <cell r="I100">
            <v>8226.960047999999</v>
          </cell>
          <cell r="J100">
            <v>9739.8453599999993</v>
          </cell>
          <cell r="K100">
            <v>14314.68648</v>
          </cell>
          <cell r="L100">
            <v>15022.595040000002</v>
          </cell>
          <cell r="M100">
            <v>19413.6384</v>
          </cell>
          <cell r="N100">
            <v>28718.399999999998</v>
          </cell>
          <cell r="O100">
            <v>14060.050000000001</v>
          </cell>
          <cell r="P100">
            <v>14060.050000000001</v>
          </cell>
          <cell r="Q100">
            <v>14060.050000000001</v>
          </cell>
          <cell r="R100">
            <v>157566.42130399999</v>
          </cell>
          <cell r="S100">
            <v>14060.050000000001</v>
          </cell>
          <cell r="T100">
            <v>14060.050000000001</v>
          </cell>
          <cell r="U100">
            <v>14060.050000000001</v>
          </cell>
          <cell r="V100">
            <v>14060.050000000001</v>
          </cell>
          <cell r="W100">
            <v>14060.050000000001</v>
          </cell>
          <cell r="X100">
            <v>14060.050000000001</v>
          </cell>
          <cell r="Y100">
            <v>14060.050000000001</v>
          </cell>
          <cell r="Z100">
            <v>14060.050000000001</v>
          </cell>
          <cell r="AA100">
            <v>14060.050000000001</v>
          </cell>
          <cell r="AB100">
            <v>14060.050000000001</v>
          </cell>
          <cell r="AC100">
            <v>14060.050000000001</v>
          </cell>
          <cell r="AD100">
            <v>14060.050000000001</v>
          </cell>
          <cell r="AE100">
            <v>168720.59999999998</v>
          </cell>
          <cell r="AF100">
            <v>168720.6</v>
          </cell>
          <cell r="AG100">
            <v>168720.6</v>
          </cell>
          <cell r="AH100">
            <v>168720.6</v>
          </cell>
          <cell r="AI100">
            <v>168720.6</v>
          </cell>
        </row>
        <row r="101">
          <cell r="F101">
            <v>0</v>
          </cell>
          <cell r="G101">
            <v>1469.2613759999999</v>
          </cell>
          <cell r="H101">
            <v>2585.6519040000003</v>
          </cell>
          <cell r="I101">
            <v>1996.581312</v>
          </cell>
          <cell r="J101">
            <v>2363.7398400000002</v>
          </cell>
          <cell r="K101">
            <v>3473.99712</v>
          </cell>
          <cell r="L101">
            <v>3645.7977600000004</v>
          </cell>
          <cell r="M101">
            <v>4711.4495999999999</v>
          </cell>
          <cell r="N101">
            <v>6969.6</v>
          </cell>
          <cell r="O101">
            <v>10236.6</v>
          </cell>
          <cell r="P101">
            <v>10236.6</v>
          </cell>
          <cell r="Q101">
            <v>10236.6</v>
          </cell>
          <cell r="R101">
            <v>57925.878912</v>
          </cell>
          <cell r="S101">
            <v>10236.6</v>
          </cell>
          <cell r="T101">
            <v>10236.6</v>
          </cell>
          <cell r="U101">
            <v>10236.6</v>
          </cell>
          <cell r="V101">
            <v>10236.6</v>
          </cell>
          <cell r="W101">
            <v>10236.6</v>
          </cell>
          <cell r="X101">
            <v>10236.6</v>
          </cell>
          <cell r="Y101">
            <v>10236.6</v>
          </cell>
          <cell r="Z101">
            <v>10236.6</v>
          </cell>
          <cell r="AA101">
            <v>10236.6</v>
          </cell>
          <cell r="AB101">
            <v>10236.6</v>
          </cell>
          <cell r="AC101">
            <v>10236.6</v>
          </cell>
          <cell r="AD101">
            <v>10236.6</v>
          </cell>
          <cell r="AE101">
            <v>122839.20000000003</v>
          </cell>
          <cell r="AF101">
            <v>122839.2</v>
          </cell>
          <cell r="AG101">
            <v>122839.2</v>
          </cell>
          <cell r="AH101">
            <v>122839.2</v>
          </cell>
          <cell r="AI101">
            <v>122839.2</v>
          </cell>
        </row>
        <row r="102">
          <cell r="F102">
            <v>0</v>
          </cell>
          <cell r="G102">
            <v>3838.7995056</v>
          </cell>
          <cell r="H102">
            <v>3293.3057892571433</v>
          </cell>
          <cell r="I102">
            <v>2543.0154706285716</v>
          </cell>
          <cell r="J102">
            <v>3010.659744</v>
          </cell>
          <cell r="K102">
            <v>4424.7776777142863</v>
          </cell>
          <cell r="L102">
            <v>4643.5975588571428</v>
          </cell>
          <cell r="M102">
            <v>6000.9022171428569</v>
          </cell>
          <cell r="N102">
            <v>8877.0742857142868</v>
          </cell>
          <cell r="O102">
            <v>9066.3000000000011</v>
          </cell>
          <cell r="P102">
            <v>9066.3000000000011</v>
          </cell>
          <cell r="Q102">
            <v>9066.3000000000011</v>
          </cell>
          <cell r="R102">
            <v>63831.0322489143</v>
          </cell>
          <cell r="S102">
            <v>9066.3000000000011</v>
          </cell>
          <cell r="T102">
            <v>9066.3000000000011</v>
          </cell>
          <cell r="U102">
            <v>9066.3000000000011</v>
          </cell>
          <cell r="V102">
            <v>9066.3000000000011</v>
          </cell>
          <cell r="W102">
            <v>9066.3000000000011</v>
          </cell>
          <cell r="X102">
            <v>9066.3000000000011</v>
          </cell>
          <cell r="Y102">
            <v>9066.3000000000011</v>
          </cell>
          <cell r="Z102">
            <v>9066.3000000000011</v>
          </cell>
          <cell r="AA102">
            <v>9066.3000000000011</v>
          </cell>
          <cell r="AB102">
            <v>9066.3000000000011</v>
          </cell>
          <cell r="AC102">
            <v>9066.3000000000011</v>
          </cell>
          <cell r="AD102">
            <v>9066.3000000000011</v>
          </cell>
          <cell r="AE102">
            <v>108795.60000000002</v>
          </cell>
          <cell r="AF102">
            <v>108795.59999999999</v>
          </cell>
          <cell r="AG102">
            <v>108795.59999999999</v>
          </cell>
          <cell r="AH102">
            <v>108795.59999999999</v>
          </cell>
          <cell r="AI102">
            <v>108795.59999999999</v>
          </cell>
        </row>
        <row r="103">
          <cell r="F103">
            <v>0</v>
          </cell>
          <cell r="G103">
            <v>7191.1169904000017</v>
          </cell>
          <cell r="H103">
            <v>4757.5757599999997</v>
          </cell>
          <cell r="I103">
            <v>3673.6912799999991</v>
          </cell>
          <cell r="J103">
            <v>4349.2596000000003</v>
          </cell>
          <cell r="K103">
            <v>6392.122800000001</v>
          </cell>
          <cell r="L103">
            <v>6708.2344000000003</v>
          </cell>
          <cell r="M103">
            <v>8669.0240000000013</v>
          </cell>
          <cell r="N103">
            <v>12824</v>
          </cell>
          <cell r="O103">
            <v>15068.2</v>
          </cell>
          <cell r="P103">
            <v>15068.2</v>
          </cell>
          <cell r="Q103">
            <v>15068.2</v>
          </cell>
          <cell r="R103">
            <v>99769.624830399989</v>
          </cell>
          <cell r="S103">
            <v>15068.2</v>
          </cell>
          <cell r="T103">
            <v>15068.2</v>
          </cell>
          <cell r="U103">
            <v>15068.2</v>
          </cell>
          <cell r="V103">
            <v>15068.2</v>
          </cell>
          <cell r="W103">
            <v>15068.2</v>
          </cell>
          <cell r="X103">
            <v>15068.2</v>
          </cell>
          <cell r="Y103">
            <v>15068.2</v>
          </cell>
          <cell r="Z103">
            <v>15068.2</v>
          </cell>
          <cell r="AA103">
            <v>15068.2</v>
          </cell>
          <cell r="AB103">
            <v>15068.2</v>
          </cell>
          <cell r="AC103">
            <v>15068.2</v>
          </cell>
          <cell r="AD103">
            <v>15068.2</v>
          </cell>
          <cell r="AE103">
            <v>180818.40000000002</v>
          </cell>
          <cell r="AF103">
            <v>180818.4</v>
          </cell>
          <cell r="AG103">
            <v>180818.4</v>
          </cell>
          <cell r="AH103">
            <v>180818.4</v>
          </cell>
          <cell r="AI103">
            <v>180818.4</v>
          </cell>
        </row>
        <row r="104">
          <cell r="F104">
            <v>0</v>
          </cell>
          <cell r="G104">
            <v>0</v>
          </cell>
          <cell r="H104">
            <v>2073.7150864079995</v>
          </cell>
          <cell r="I104">
            <v>2061.8288082443519</v>
          </cell>
          <cell r="J104">
            <v>2941.8142320000006</v>
          </cell>
          <cell r="K104">
            <v>5086.5825600000007</v>
          </cell>
          <cell r="L104">
            <v>5338.1308800000006</v>
          </cell>
          <cell r="M104">
            <v>6898.4448000000011</v>
          </cell>
          <cell r="N104">
            <v>10204.800000000001</v>
          </cell>
          <cell r="O104">
            <v>11990.64</v>
          </cell>
          <cell r="P104">
            <v>11990.64</v>
          </cell>
          <cell r="Q104">
            <v>11990.64</v>
          </cell>
          <cell r="R104">
            <v>70577.23636665236</v>
          </cell>
          <cell r="S104">
            <v>11990.64</v>
          </cell>
          <cell r="T104">
            <v>11990.64</v>
          </cell>
          <cell r="U104">
            <v>11990.64</v>
          </cell>
          <cell r="V104">
            <v>11990.64</v>
          </cell>
          <cell r="W104">
            <v>11990.64</v>
          </cell>
          <cell r="X104">
            <v>11990.64</v>
          </cell>
          <cell r="Y104">
            <v>11990.64</v>
          </cell>
          <cell r="Z104">
            <v>11990.64</v>
          </cell>
          <cell r="AA104">
            <v>11990.64</v>
          </cell>
          <cell r="AB104">
            <v>11990.64</v>
          </cell>
          <cell r="AC104">
            <v>11990.64</v>
          </cell>
          <cell r="AD104">
            <v>11990.64</v>
          </cell>
          <cell r="AE104">
            <v>143887.67999999999</v>
          </cell>
          <cell r="AF104">
            <v>143887.67999999999</v>
          </cell>
          <cell r="AG104">
            <v>143887.67999999999</v>
          </cell>
          <cell r="AH104">
            <v>143887.67999999999</v>
          </cell>
          <cell r="AI104">
            <v>143887.67999999999</v>
          </cell>
        </row>
        <row r="105">
          <cell r="F105">
            <v>0</v>
          </cell>
          <cell r="G105">
            <v>6803.3109144000009</v>
          </cell>
          <cell r="H105">
            <v>2633.2870199999998</v>
          </cell>
          <cell r="I105">
            <v>2033.3640599999997</v>
          </cell>
          <cell r="J105">
            <v>2407.2867000000001</v>
          </cell>
          <cell r="K105">
            <v>3537.9981000000002</v>
          </cell>
          <cell r="L105">
            <v>3712.9638</v>
          </cell>
          <cell r="M105">
            <v>4798.2480000000005</v>
          </cell>
          <cell r="N105">
            <v>7098</v>
          </cell>
          <cell r="O105">
            <v>8340.15</v>
          </cell>
          <cell r="P105">
            <v>8340.15</v>
          </cell>
          <cell r="Q105">
            <v>8340.15</v>
          </cell>
          <cell r="R105">
            <v>58044.908594400003</v>
          </cell>
          <cell r="S105">
            <v>8340.15</v>
          </cell>
          <cell r="T105">
            <v>8340.15</v>
          </cell>
          <cell r="U105">
            <v>8340.15</v>
          </cell>
          <cell r="V105">
            <v>8340.15</v>
          </cell>
          <cell r="W105">
            <v>8340.15</v>
          </cell>
          <cell r="X105">
            <v>8340.15</v>
          </cell>
          <cell r="Y105">
            <v>8340.15</v>
          </cell>
          <cell r="Z105">
            <v>8340.15</v>
          </cell>
          <cell r="AA105">
            <v>8340.15</v>
          </cell>
          <cell r="AB105">
            <v>8340.15</v>
          </cell>
          <cell r="AC105">
            <v>8340.15</v>
          </cell>
          <cell r="AD105">
            <v>8340.15</v>
          </cell>
          <cell r="AE105">
            <v>100081.79999999997</v>
          </cell>
          <cell r="AF105">
            <v>100081.8</v>
          </cell>
          <cell r="AG105">
            <v>100081.8</v>
          </cell>
          <cell r="AH105">
            <v>100081.8</v>
          </cell>
          <cell r="AI105">
            <v>100081.8</v>
          </cell>
        </row>
        <row r="106">
          <cell r="F106">
            <v>0</v>
          </cell>
          <cell r="G106">
            <v>728.62896897179644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728.62896897179644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1018.3067961695998</v>
          </cell>
          <cell r="J107">
            <v>1452.9186000000002</v>
          </cell>
          <cell r="K107">
            <v>2512.1880000000006</v>
          </cell>
          <cell r="L107">
            <v>2636.424</v>
          </cell>
          <cell r="M107">
            <v>3407.04</v>
          </cell>
          <cell r="N107">
            <v>5040</v>
          </cell>
          <cell r="O107">
            <v>5922</v>
          </cell>
          <cell r="P107">
            <v>5922</v>
          </cell>
          <cell r="Q107">
            <v>5922</v>
          </cell>
          <cell r="R107">
            <v>33832.877396169599</v>
          </cell>
          <cell r="S107">
            <v>5922</v>
          </cell>
          <cell r="T107">
            <v>5922</v>
          </cell>
          <cell r="U107">
            <v>5922</v>
          </cell>
          <cell r="V107">
            <v>5922</v>
          </cell>
          <cell r="W107">
            <v>5922</v>
          </cell>
          <cell r="X107">
            <v>5922</v>
          </cell>
          <cell r="Y107">
            <v>5922</v>
          </cell>
          <cell r="Z107">
            <v>5922</v>
          </cell>
          <cell r="AA107">
            <v>5922</v>
          </cell>
          <cell r="AB107">
            <v>5922</v>
          </cell>
          <cell r="AC107">
            <v>5922</v>
          </cell>
          <cell r="AD107">
            <v>5922</v>
          </cell>
          <cell r="AE107">
            <v>71064</v>
          </cell>
          <cell r="AF107">
            <v>71064</v>
          </cell>
          <cell r="AG107">
            <v>71064</v>
          </cell>
          <cell r="AH107">
            <v>71064</v>
          </cell>
          <cell r="AI107">
            <v>71064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66.517604999999989</v>
          </cell>
          <cell r="K108">
            <v>517.35915</v>
          </cell>
          <cell r="L108">
            <v>1043.7381565271721</v>
          </cell>
          <cell r="M108">
            <v>1096.3468499462324</v>
          </cell>
          <cell r="N108">
            <v>917.13575786332513</v>
          </cell>
          <cell r="O108">
            <v>4268.212987500001</v>
          </cell>
          <cell r="P108">
            <v>5361.7974463052979</v>
          </cell>
          <cell r="Q108">
            <v>5384.2653194715012</v>
          </cell>
          <cell r="R108">
            <v>18655.373272613531</v>
          </cell>
          <cell r="S108">
            <v>6341.0830414989759</v>
          </cell>
          <cell r="T108">
            <v>6341.0830414989759</v>
          </cell>
          <cell r="U108">
            <v>7122.7899533463769</v>
          </cell>
          <cell r="V108">
            <v>7122.7899533463769</v>
          </cell>
          <cell r="W108">
            <v>7122.7899533463769</v>
          </cell>
          <cell r="X108">
            <v>7933.0558663124993</v>
          </cell>
          <cell r="Y108">
            <v>7933.0558663124993</v>
          </cell>
          <cell r="Z108">
            <v>7933.0558663124993</v>
          </cell>
          <cell r="AA108">
            <v>7933.0558663124993</v>
          </cell>
          <cell r="AB108">
            <v>7933.0558663124993</v>
          </cell>
          <cell r="AC108">
            <v>7933.0558663124993</v>
          </cell>
          <cell r="AD108">
            <v>7933.0558663124993</v>
          </cell>
          <cell r="AE108">
            <v>89581.927007224571</v>
          </cell>
          <cell r="AF108">
            <v>80607.142365749998</v>
          </cell>
          <cell r="AG108">
            <v>80607.142365749998</v>
          </cell>
          <cell r="AH108">
            <v>68206.043540250001</v>
          </cell>
          <cell r="AI108">
            <v>49604.395302000004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7807.0187706336001</v>
          </cell>
          <cell r="J109">
            <v>11139.042600000002</v>
          </cell>
          <cell r="K109">
            <v>19260.108000000004</v>
          </cell>
          <cell r="L109">
            <v>20212.583999999999</v>
          </cell>
          <cell r="M109">
            <v>26120.640000000003</v>
          </cell>
          <cell r="N109">
            <v>38640</v>
          </cell>
          <cell r="O109">
            <v>45402</v>
          </cell>
          <cell r="P109">
            <v>45402</v>
          </cell>
          <cell r="Q109">
            <v>45402</v>
          </cell>
          <cell r="R109">
            <v>259385.3933706336</v>
          </cell>
          <cell r="S109">
            <v>45402</v>
          </cell>
          <cell r="T109">
            <v>45402</v>
          </cell>
          <cell r="U109">
            <v>45402</v>
          </cell>
          <cell r="V109">
            <v>45402</v>
          </cell>
          <cell r="W109">
            <v>45402</v>
          </cell>
          <cell r="X109">
            <v>45402</v>
          </cell>
          <cell r="Y109">
            <v>45402</v>
          </cell>
          <cell r="Z109">
            <v>45402</v>
          </cell>
          <cell r="AA109">
            <v>45402</v>
          </cell>
          <cell r="AB109">
            <v>45402</v>
          </cell>
          <cell r="AC109">
            <v>45402</v>
          </cell>
          <cell r="AD109">
            <v>45402</v>
          </cell>
          <cell r="AE109">
            <v>544824</v>
          </cell>
          <cell r="AF109">
            <v>544824</v>
          </cell>
          <cell r="AG109">
            <v>544824</v>
          </cell>
          <cell r="AH109">
            <v>544824</v>
          </cell>
          <cell r="AI109">
            <v>544824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13375.378949687998</v>
          </cell>
          <cell r="J110">
            <v>19083.970500000003</v>
          </cell>
          <cell r="K110">
            <v>32997.39</v>
          </cell>
          <cell r="L110">
            <v>34629.22</v>
          </cell>
          <cell r="M110">
            <v>44751.199999999997</v>
          </cell>
          <cell r="N110">
            <v>66200</v>
          </cell>
          <cell r="O110">
            <v>116677.5</v>
          </cell>
          <cell r="P110">
            <v>116677.5</v>
          </cell>
          <cell r="Q110">
            <v>116677.5</v>
          </cell>
          <cell r="R110">
            <v>561069.65944968793</v>
          </cell>
          <cell r="S110">
            <v>116677.5</v>
          </cell>
          <cell r="T110">
            <v>116677.5</v>
          </cell>
          <cell r="U110">
            <v>116677.5</v>
          </cell>
          <cell r="V110">
            <v>116677.5</v>
          </cell>
          <cell r="W110">
            <v>116677.5</v>
          </cell>
          <cell r="X110">
            <v>116677.5</v>
          </cell>
          <cell r="Y110">
            <v>116677.5</v>
          </cell>
          <cell r="Z110">
            <v>116677.5</v>
          </cell>
          <cell r="AA110">
            <v>116677.5</v>
          </cell>
          <cell r="AB110">
            <v>116677.5</v>
          </cell>
          <cell r="AC110">
            <v>116677.5</v>
          </cell>
          <cell r="AD110">
            <v>116677.5</v>
          </cell>
          <cell r="AE110">
            <v>1400130</v>
          </cell>
          <cell r="AF110">
            <v>1400130</v>
          </cell>
          <cell r="AG110">
            <v>1400130</v>
          </cell>
          <cell r="AH110">
            <v>1400130</v>
          </cell>
          <cell r="AI110">
            <v>1400130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5866.8904393956873</v>
          </cell>
          <cell r="L111">
            <v>6155.4578939093471</v>
          </cell>
          <cell r="M111">
            <v>8923.7076923076911</v>
          </cell>
          <cell r="N111">
            <v>8635.8461538461543</v>
          </cell>
          <cell r="O111">
            <v>8923.7076923076911</v>
          </cell>
          <cell r="P111">
            <v>8635.8461538461543</v>
          </cell>
          <cell r="Q111">
            <v>8923.7076923076911</v>
          </cell>
          <cell r="R111">
            <v>56065.163717920419</v>
          </cell>
          <cell r="S111">
            <v>8923.7076923076911</v>
          </cell>
          <cell r="T111">
            <v>8060.1230769230779</v>
          </cell>
          <cell r="U111">
            <v>8923.7076923076911</v>
          </cell>
          <cell r="V111">
            <v>8635.8461538461543</v>
          </cell>
          <cell r="W111">
            <v>8923.7076923076911</v>
          </cell>
          <cell r="X111">
            <v>8635.8461538461543</v>
          </cell>
          <cell r="Y111">
            <v>8923.7076923076911</v>
          </cell>
          <cell r="Z111">
            <v>8923.7076923076911</v>
          </cell>
          <cell r="AA111">
            <v>8635.8461538461543</v>
          </cell>
          <cell r="AB111">
            <v>8923.7076923076911</v>
          </cell>
          <cell r="AC111">
            <v>8635.8461538461543</v>
          </cell>
          <cell r="AD111">
            <v>8923.7076923076911</v>
          </cell>
          <cell r="AE111">
            <v>105069.46153846155</v>
          </cell>
          <cell r="AF111">
            <v>105069.46153846152</v>
          </cell>
          <cell r="AG111">
            <v>105069.46153846152</v>
          </cell>
          <cell r="AH111">
            <v>105069.46153846152</v>
          </cell>
          <cell r="AI111">
            <v>105069.46153846152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40.213681199999996</v>
          </cell>
          <cell r="K112">
            <v>312.773076</v>
          </cell>
          <cell r="L112">
            <v>630.99916905997134</v>
          </cell>
          <cell r="M112">
            <v>662.80412092951974</v>
          </cell>
          <cell r="N112">
            <v>554.46080753863805</v>
          </cell>
          <cell r="O112">
            <v>3583.8581625000002</v>
          </cell>
          <cell r="P112">
            <v>4502.0999654630987</v>
          </cell>
          <cell r="Q112">
            <v>4520.9653948305013</v>
          </cell>
          <cell r="R112">
            <v>14808.174377521729</v>
          </cell>
          <cell r="S112">
            <v>5324.3693048873256</v>
          </cell>
          <cell r="T112">
            <v>5324.3693048873256</v>
          </cell>
          <cell r="U112">
            <v>5980.7392435271258</v>
          </cell>
          <cell r="V112">
            <v>5980.7392435271258</v>
          </cell>
          <cell r="W112">
            <v>5980.7392435271258</v>
          </cell>
          <cell r="X112">
            <v>6661.0891029374998</v>
          </cell>
          <cell r="Y112">
            <v>6661.0891029374998</v>
          </cell>
          <cell r="Z112">
            <v>6661.0891029374998</v>
          </cell>
          <cell r="AA112">
            <v>6661.0891029374998</v>
          </cell>
          <cell r="AB112">
            <v>6661.0891029374998</v>
          </cell>
          <cell r="AC112">
            <v>6661.0891029374998</v>
          </cell>
          <cell r="AD112">
            <v>6661.0891029374998</v>
          </cell>
          <cell r="AE112">
            <v>75218.580060918524</v>
          </cell>
          <cell r="AF112">
            <v>67682.790425250001</v>
          </cell>
          <cell r="AG112">
            <v>67682.790425250001</v>
          </cell>
          <cell r="AH112">
            <v>57270.053436750008</v>
          </cell>
          <cell r="AI112">
            <v>41650.947954000003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140.28388387231678</v>
          </cell>
          <cell r="J113">
            <v>200.15683380000002</v>
          </cell>
          <cell r="K113">
            <v>346.08380399999999</v>
          </cell>
          <cell r="L113">
            <v>363.19879199999997</v>
          </cell>
          <cell r="M113">
            <v>469.36031999999989</v>
          </cell>
          <cell r="N113">
            <v>694.31999999999994</v>
          </cell>
          <cell r="O113">
            <v>815.82599999999991</v>
          </cell>
          <cell r="P113">
            <v>815.82599999999991</v>
          </cell>
          <cell r="Q113">
            <v>815.82599999999991</v>
          </cell>
          <cell r="R113">
            <v>4660.8816336723166</v>
          </cell>
          <cell r="S113">
            <v>815.82599999999991</v>
          </cell>
          <cell r="T113">
            <v>815.82599999999991</v>
          </cell>
          <cell r="U113">
            <v>815.82599999999991</v>
          </cell>
          <cell r="V113">
            <v>815.82599999999991</v>
          </cell>
          <cell r="W113">
            <v>815.82599999999991</v>
          </cell>
          <cell r="X113">
            <v>815.82599999999991</v>
          </cell>
          <cell r="Y113">
            <v>815.82599999999991</v>
          </cell>
          <cell r="Z113">
            <v>815.82599999999991</v>
          </cell>
          <cell r="AA113">
            <v>815.82599999999991</v>
          </cell>
          <cell r="AB113">
            <v>815.82599999999991</v>
          </cell>
          <cell r="AC113">
            <v>815.82599999999991</v>
          </cell>
          <cell r="AD113">
            <v>815.82599999999991</v>
          </cell>
          <cell r="AE113">
            <v>9789.9119999999984</v>
          </cell>
          <cell r="AF113">
            <v>9789.9120000000003</v>
          </cell>
          <cell r="AG113">
            <v>9789.9120000000003</v>
          </cell>
          <cell r="AH113">
            <v>9789.9120000000003</v>
          </cell>
          <cell r="AI113">
            <v>9789.9120000000003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35.882413714285711</v>
          </cell>
          <cell r="J114">
            <v>42.480960000000003</v>
          </cell>
          <cell r="K114">
            <v>62.434422857142856</v>
          </cell>
          <cell r="L114">
            <v>65.522011428571432</v>
          </cell>
          <cell r="M114">
            <v>84.673828571428572</v>
          </cell>
          <cell r="N114">
            <v>125.25714285714285</v>
          </cell>
          <cell r="O114">
            <v>257.56</v>
          </cell>
          <cell r="P114">
            <v>257.56</v>
          </cell>
          <cell r="Q114">
            <v>257.56</v>
          </cell>
          <cell r="R114">
            <v>1188.9307794285714</v>
          </cell>
          <cell r="S114">
            <v>257.56</v>
          </cell>
          <cell r="T114">
            <v>257.56</v>
          </cell>
          <cell r="U114">
            <v>257.56</v>
          </cell>
          <cell r="V114">
            <v>257.56</v>
          </cell>
          <cell r="W114">
            <v>257.56</v>
          </cell>
          <cell r="X114">
            <v>257.56</v>
          </cell>
          <cell r="Y114">
            <v>257.56</v>
          </cell>
          <cell r="Z114">
            <v>257.56</v>
          </cell>
          <cell r="AA114">
            <v>257.56</v>
          </cell>
          <cell r="AB114">
            <v>257.56</v>
          </cell>
          <cell r="AC114">
            <v>257.56</v>
          </cell>
          <cell r="AD114">
            <v>257.56</v>
          </cell>
          <cell r="AE114">
            <v>3090.72</v>
          </cell>
          <cell r="AF114">
            <v>3090.72</v>
          </cell>
          <cell r="AG114">
            <v>3090.72</v>
          </cell>
          <cell r="AH114">
            <v>3090.72</v>
          </cell>
          <cell r="AI114">
            <v>3090.72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11.995726628571427</v>
          </cell>
          <cell r="J115">
            <v>14.201664000000003</v>
          </cell>
          <cell r="K115">
            <v>20.872237714285713</v>
          </cell>
          <cell r="L115">
            <v>21.904438857142857</v>
          </cell>
          <cell r="M115">
            <v>28.307017142857145</v>
          </cell>
          <cell r="N115">
            <v>41.874285714285712</v>
          </cell>
          <cell r="O115">
            <v>49.202285714285715</v>
          </cell>
          <cell r="P115">
            <v>49.202285714285715</v>
          </cell>
          <cell r="Q115">
            <v>49.202285714285715</v>
          </cell>
          <cell r="R115">
            <v>286.76222720000004</v>
          </cell>
          <cell r="S115">
            <v>49.202285714285715</v>
          </cell>
          <cell r="T115">
            <v>49.202285714285715</v>
          </cell>
          <cell r="U115">
            <v>49.202285714285715</v>
          </cell>
          <cell r="V115">
            <v>49.202285714285715</v>
          </cell>
          <cell r="W115">
            <v>49.202285714285715</v>
          </cell>
          <cell r="X115">
            <v>49.202285714285715</v>
          </cell>
          <cell r="Y115">
            <v>49.202285714285715</v>
          </cell>
          <cell r="Z115">
            <v>49.202285714285715</v>
          </cell>
          <cell r="AA115">
            <v>49.202285714285715</v>
          </cell>
          <cell r="AB115">
            <v>49.202285714285715</v>
          </cell>
          <cell r="AC115">
            <v>49.202285714285715</v>
          </cell>
          <cell r="AD115">
            <v>49.202285714285715</v>
          </cell>
          <cell r="AE115">
            <v>590.42742857142855</v>
          </cell>
          <cell r="AF115">
            <v>590.42742857142866</v>
          </cell>
          <cell r="AG115">
            <v>590.42742857142866</v>
          </cell>
          <cell r="AH115">
            <v>590.42742857142866</v>
          </cell>
          <cell r="AI115">
            <v>590.42742857142866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9.9920735999999994</v>
          </cell>
          <cell r="J116">
            <v>11.829552000000001</v>
          </cell>
          <cell r="K116">
            <v>17.385936000000001</v>
          </cell>
          <cell r="L116">
            <v>18.245728</v>
          </cell>
          <cell r="M116">
            <v>23.578880000000002</v>
          </cell>
          <cell r="N116">
            <v>34.880000000000003</v>
          </cell>
          <cell r="O116">
            <v>143.44399999999999</v>
          </cell>
          <cell r="P116">
            <v>143.44399999999999</v>
          </cell>
          <cell r="Q116">
            <v>143.44399999999999</v>
          </cell>
          <cell r="R116">
            <v>546.24416959999996</v>
          </cell>
          <cell r="S116">
            <v>143.44399999999999</v>
          </cell>
          <cell r="T116">
            <v>143.44399999999999</v>
          </cell>
          <cell r="U116">
            <v>143.44399999999999</v>
          </cell>
          <cell r="V116">
            <v>143.44399999999999</v>
          </cell>
          <cell r="W116">
            <v>143.44399999999999</v>
          </cell>
          <cell r="X116">
            <v>143.44399999999999</v>
          </cell>
          <cell r="Y116">
            <v>143.44399999999999</v>
          </cell>
          <cell r="Z116">
            <v>143.44399999999999</v>
          </cell>
          <cell r="AA116">
            <v>143.44399999999999</v>
          </cell>
          <cell r="AB116">
            <v>143.44399999999999</v>
          </cell>
          <cell r="AC116">
            <v>143.44399999999999</v>
          </cell>
          <cell r="AD116">
            <v>143.44399999999999</v>
          </cell>
          <cell r="AE116">
            <v>1721.3279999999997</v>
          </cell>
          <cell r="AF116">
            <v>1721.3279999999997</v>
          </cell>
          <cell r="AG116">
            <v>1721.3279999999997</v>
          </cell>
          <cell r="AH116">
            <v>1721.3279999999997</v>
          </cell>
          <cell r="AI116">
            <v>1721.3279999999997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3.2870386285714281</v>
          </cell>
          <cell r="J117">
            <v>3.8915040000000007</v>
          </cell>
          <cell r="K117">
            <v>5.7193577142857146</v>
          </cell>
          <cell r="L117">
            <v>6.0021988571428571</v>
          </cell>
          <cell r="M117">
            <v>7.7566171428571433</v>
          </cell>
          <cell r="N117">
            <v>11.474285714285715</v>
          </cell>
          <cell r="O117">
            <v>13.482285714285714</v>
          </cell>
          <cell r="P117">
            <v>13.482285714285714</v>
          </cell>
          <cell r="Q117">
            <v>13.482285714285714</v>
          </cell>
          <cell r="R117">
            <v>78.577859199999992</v>
          </cell>
          <cell r="S117">
            <v>13.482285714285714</v>
          </cell>
          <cell r="T117">
            <v>13.482285714285714</v>
          </cell>
          <cell r="U117">
            <v>13.482285714285714</v>
          </cell>
          <cell r="V117">
            <v>13.482285714285714</v>
          </cell>
          <cell r="W117">
            <v>13.482285714285714</v>
          </cell>
          <cell r="X117">
            <v>13.482285714285714</v>
          </cell>
          <cell r="Y117">
            <v>13.482285714285714</v>
          </cell>
          <cell r="Z117">
            <v>13.482285714285714</v>
          </cell>
          <cell r="AA117">
            <v>13.482285714285714</v>
          </cell>
          <cell r="AB117">
            <v>13.482285714285714</v>
          </cell>
          <cell r="AC117">
            <v>13.482285714285714</v>
          </cell>
          <cell r="AD117">
            <v>13.482285714285714</v>
          </cell>
          <cell r="AE117">
            <v>161.78742857142856</v>
          </cell>
          <cell r="AF117">
            <v>161.78742857142859</v>
          </cell>
          <cell r="AG117">
            <v>161.78742857142859</v>
          </cell>
          <cell r="AH117">
            <v>161.78742857142859</v>
          </cell>
          <cell r="AI117">
            <v>161.78742857142859</v>
          </cell>
        </row>
        <row r="118">
          <cell r="F118">
            <v>0</v>
          </cell>
          <cell r="G118">
            <v>0.47898022046399991</v>
          </cell>
          <cell r="H118">
            <v>0.73155518099999994</v>
          </cell>
          <cell r="I118">
            <v>727.36199726400002</v>
          </cell>
          <cell r="J118">
            <v>1037.799</v>
          </cell>
          <cell r="K118">
            <v>1794.4200000000003</v>
          </cell>
          <cell r="L118">
            <v>1883.16</v>
          </cell>
          <cell r="M118">
            <v>2433.6000000000004</v>
          </cell>
          <cell r="N118">
            <v>3600</v>
          </cell>
          <cell r="O118">
            <v>4230</v>
          </cell>
          <cell r="P118">
            <v>4230</v>
          </cell>
          <cell r="Q118">
            <v>4230</v>
          </cell>
          <cell r="R118">
            <v>24167.551532665464</v>
          </cell>
          <cell r="S118">
            <v>4230</v>
          </cell>
          <cell r="T118">
            <v>4230</v>
          </cell>
          <cell r="U118">
            <v>4230</v>
          </cell>
          <cell r="V118">
            <v>4230</v>
          </cell>
          <cell r="W118">
            <v>4230</v>
          </cell>
          <cell r="X118">
            <v>4230</v>
          </cell>
          <cell r="Y118">
            <v>4230</v>
          </cell>
          <cell r="Z118">
            <v>4230</v>
          </cell>
          <cell r="AA118">
            <v>4230</v>
          </cell>
          <cell r="AB118">
            <v>4230</v>
          </cell>
          <cell r="AC118">
            <v>4230</v>
          </cell>
          <cell r="AD118">
            <v>4230</v>
          </cell>
          <cell r="AE118">
            <v>50760</v>
          </cell>
          <cell r="AF118">
            <v>50760</v>
          </cell>
          <cell r="AG118">
            <v>50760</v>
          </cell>
          <cell r="AH118">
            <v>50760</v>
          </cell>
          <cell r="AI118">
            <v>50760</v>
          </cell>
        </row>
        <row r="119">
          <cell r="F119">
            <v>0</v>
          </cell>
          <cell r="G119">
            <v>0.40606878690447995</v>
          </cell>
          <cell r="H119">
            <v>0.62019622566999999</v>
          </cell>
          <cell r="I119">
            <v>820.13297911503832</v>
          </cell>
          <cell r="J119">
            <v>1170.1644969000004</v>
          </cell>
          <cell r="K119">
            <v>2023.2883020000004</v>
          </cell>
          <cell r="L119">
            <v>2123.3465960000003</v>
          </cell>
          <cell r="M119">
            <v>2743.9921599999998</v>
          </cell>
          <cell r="N119">
            <v>4059.1600000000003</v>
          </cell>
          <cell r="O119">
            <v>4769.5129999999999</v>
          </cell>
          <cell r="P119">
            <v>4769.5129999999999</v>
          </cell>
          <cell r="Q119">
            <v>4769.5129999999999</v>
          </cell>
          <cell r="R119">
            <v>27249.649799027611</v>
          </cell>
          <cell r="S119">
            <v>4769.5129999999999</v>
          </cell>
          <cell r="T119">
            <v>4769.5129999999999</v>
          </cell>
          <cell r="U119">
            <v>4769.5129999999999</v>
          </cell>
          <cell r="V119">
            <v>4769.5129999999999</v>
          </cell>
          <cell r="W119">
            <v>4769.5129999999999</v>
          </cell>
          <cell r="X119">
            <v>4769.5129999999999</v>
          </cell>
          <cell r="Y119">
            <v>4769.5129999999999</v>
          </cell>
          <cell r="Z119">
            <v>4769.5129999999999</v>
          </cell>
          <cell r="AA119">
            <v>4769.5129999999999</v>
          </cell>
          <cell r="AB119">
            <v>4769.5129999999999</v>
          </cell>
          <cell r="AC119">
            <v>4769.5129999999999</v>
          </cell>
          <cell r="AD119">
            <v>4769.5129999999999</v>
          </cell>
          <cell r="AE119">
            <v>57234.155999999995</v>
          </cell>
          <cell r="AF119">
            <v>57234.156000000003</v>
          </cell>
          <cell r="AG119">
            <v>57234.156000000003</v>
          </cell>
          <cell r="AH119">
            <v>57234.156000000003</v>
          </cell>
          <cell r="AI119">
            <v>57234.156000000003</v>
          </cell>
        </row>
        <row r="120">
          <cell r="F120">
            <v>0</v>
          </cell>
          <cell r="G120">
            <v>1.0319362749774399</v>
          </cell>
          <cell r="H120">
            <v>1.5760949955099999</v>
          </cell>
          <cell r="I120">
            <v>1710.3351639665088</v>
          </cell>
          <cell r="J120">
            <v>2440.3036308000005</v>
          </cell>
          <cell r="K120">
            <v>4219.4390640000001</v>
          </cell>
          <cell r="L120">
            <v>4428.1042719999996</v>
          </cell>
          <cell r="M120">
            <v>5722.4211199999991</v>
          </cell>
          <cell r="N120">
            <v>8465.119999999999</v>
          </cell>
          <cell r="O120">
            <v>9946.5159999999996</v>
          </cell>
          <cell r="P120">
            <v>9946.5159999999996</v>
          </cell>
          <cell r="Q120">
            <v>9946.5159999999996</v>
          </cell>
          <cell r="R120">
            <v>56827.879282037</v>
          </cell>
          <cell r="S120">
            <v>9946.5159999999996</v>
          </cell>
          <cell r="T120">
            <v>9946.5159999999996</v>
          </cell>
          <cell r="U120">
            <v>9946.5159999999996</v>
          </cell>
          <cell r="V120">
            <v>9946.5159999999996</v>
          </cell>
          <cell r="W120">
            <v>9946.5159999999996</v>
          </cell>
          <cell r="X120">
            <v>9946.5159999999996</v>
          </cell>
          <cell r="Y120">
            <v>9946.5159999999996</v>
          </cell>
          <cell r="Z120">
            <v>9946.5159999999996</v>
          </cell>
          <cell r="AA120">
            <v>9946.5159999999996</v>
          </cell>
          <cell r="AB120">
            <v>9946.5159999999996</v>
          </cell>
          <cell r="AC120">
            <v>9946.5159999999996</v>
          </cell>
          <cell r="AD120">
            <v>9946.5159999999996</v>
          </cell>
          <cell r="AE120">
            <v>119358.19200000002</v>
          </cell>
          <cell r="AF120">
            <v>119358.19200000001</v>
          </cell>
          <cell r="AG120">
            <v>119358.19200000001</v>
          </cell>
          <cell r="AH120">
            <v>119358.19200000001</v>
          </cell>
          <cell r="AI120">
            <v>119358.19200000001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6000</v>
          </cell>
          <cell r="O122">
            <v>7050</v>
          </cell>
          <cell r="P122">
            <v>7050</v>
          </cell>
          <cell r="Q122">
            <v>7050</v>
          </cell>
          <cell r="R122">
            <v>27150</v>
          </cell>
          <cell r="S122">
            <v>7050</v>
          </cell>
          <cell r="T122">
            <v>7050</v>
          </cell>
          <cell r="U122">
            <v>7050</v>
          </cell>
          <cell r="V122">
            <v>7050</v>
          </cell>
          <cell r="W122">
            <v>7050</v>
          </cell>
          <cell r="X122">
            <v>7050</v>
          </cell>
          <cell r="Y122">
            <v>7050</v>
          </cell>
          <cell r="Z122">
            <v>7050</v>
          </cell>
          <cell r="AA122">
            <v>7050</v>
          </cell>
          <cell r="AB122">
            <v>7050</v>
          </cell>
          <cell r="AC122">
            <v>7050</v>
          </cell>
          <cell r="AD122">
            <v>7050</v>
          </cell>
          <cell r="AE122">
            <v>84600</v>
          </cell>
          <cell r="AF122">
            <v>84600.000000000015</v>
          </cell>
          <cell r="AG122">
            <v>84600.000000000015</v>
          </cell>
          <cell r="AH122">
            <v>84600.000000000015</v>
          </cell>
          <cell r="AI122">
            <v>84600.000000000015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123.22399615384614</v>
          </cell>
          <cell r="J125">
            <v>925.06725415384608</v>
          </cell>
          <cell r="K125">
            <v>6290.1005423076931</v>
          </cell>
          <cell r="L125">
            <v>12498.528400227886</v>
          </cell>
          <cell r="M125">
            <v>13220.969977178309</v>
          </cell>
          <cell r="N125">
            <v>11320.790754121539</v>
          </cell>
          <cell r="O125">
            <v>18196.373038461541</v>
          </cell>
          <cell r="P125">
            <v>22697.071168176302</v>
          </cell>
          <cell r="Q125">
            <v>22789.538753943081</v>
          </cell>
          <cell r="R125">
            <v>108061.66388472404</v>
          </cell>
          <cell r="S125">
            <v>26824.210464039923</v>
          </cell>
          <cell r="T125">
            <v>26824.210464039923</v>
          </cell>
          <cell r="U125">
            <v>30107.834383619622</v>
          </cell>
          <cell r="V125">
            <v>30107.834383619622</v>
          </cell>
          <cell r="W125">
            <v>30107.834383619622</v>
          </cell>
          <cell r="X125">
            <v>33508.421173269227</v>
          </cell>
          <cell r="Y125">
            <v>33508.421173269227</v>
          </cell>
          <cell r="Z125">
            <v>33508.421173269227</v>
          </cell>
          <cell r="AA125">
            <v>33508.421173269227</v>
          </cell>
          <cell r="AB125">
            <v>33508.421173269227</v>
          </cell>
          <cell r="AC125">
            <v>33508.421173269227</v>
          </cell>
          <cell r="AD125">
            <v>33508.421173269227</v>
          </cell>
          <cell r="AE125">
            <v>378530.87229182327</v>
          </cell>
          <cell r="AF125">
            <v>340681.87491000001</v>
          </cell>
          <cell r="AG125">
            <v>340681.87491000001</v>
          </cell>
          <cell r="AH125">
            <v>288269.27877000003</v>
          </cell>
          <cell r="AI125">
            <v>209650.38456000001</v>
          </cell>
        </row>
        <row r="128">
          <cell r="N128">
            <v>285616.19347336976</v>
          </cell>
          <cell r="O128">
            <v>378303.21045219788</v>
          </cell>
          <cell r="P128">
            <v>418127.8733052194</v>
          </cell>
          <cell r="Q128">
            <v>452149.53573198139</v>
          </cell>
        </row>
        <row r="130">
          <cell r="F130" t="str">
            <v>Actual</v>
          </cell>
          <cell r="G130" t="str">
            <v>Actual</v>
          </cell>
          <cell r="H130" t="str">
            <v>Actual</v>
          </cell>
          <cell r="I130" t="str">
            <v>Actual</v>
          </cell>
          <cell r="J130" t="str">
            <v>Forecast</v>
          </cell>
          <cell r="K130" t="str">
            <v>Forecast</v>
          </cell>
          <cell r="L130" t="str">
            <v>Forecast</v>
          </cell>
          <cell r="M130" t="str">
            <v>Forecast</v>
          </cell>
          <cell r="N130" t="str">
            <v>Forecast</v>
          </cell>
          <cell r="O130" t="str">
            <v>Forecast</v>
          </cell>
          <cell r="P130" t="str">
            <v>Forecast</v>
          </cell>
          <cell r="Q130" t="str">
            <v>Forecast</v>
          </cell>
          <cell r="R130" t="str">
            <v>Forecast</v>
          </cell>
          <cell r="S130" t="str">
            <v>Forecast</v>
          </cell>
          <cell r="T130" t="str">
            <v>Forecast</v>
          </cell>
          <cell r="U130" t="str">
            <v>Forecast</v>
          </cell>
          <cell r="V130" t="str">
            <v>Forecast</v>
          </cell>
          <cell r="W130" t="str">
            <v>Forecast</v>
          </cell>
          <cell r="X130" t="str">
            <v>Forecast</v>
          </cell>
          <cell r="Y130" t="str">
            <v>Forecast</v>
          </cell>
          <cell r="Z130" t="str">
            <v>Forecast</v>
          </cell>
          <cell r="AA130" t="str">
            <v>Forecast</v>
          </cell>
          <cell r="AB130" t="str">
            <v>Forecast</v>
          </cell>
          <cell r="AC130" t="str">
            <v>Forecast</v>
          </cell>
          <cell r="AD130" t="str">
            <v>Forecast</v>
          </cell>
          <cell r="AE130" t="str">
            <v>Forecast</v>
          </cell>
          <cell r="AF130" t="str">
            <v>Forecast</v>
          </cell>
          <cell r="AG130" t="str">
            <v>Forecast</v>
          </cell>
          <cell r="AH130" t="str">
            <v>Forecast</v>
          </cell>
          <cell r="AI130" t="str">
            <v>Forecast</v>
          </cell>
        </row>
        <row r="131">
          <cell r="F131" t="str">
            <v>Jan</v>
          </cell>
          <cell r="G131" t="str">
            <v>Feb</v>
          </cell>
          <cell r="H131" t="str">
            <v>Mar</v>
          </cell>
          <cell r="I131" t="str">
            <v>Apr</v>
          </cell>
          <cell r="J131" t="str">
            <v>May</v>
          </cell>
          <cell r="K131" t="str">
            <v>Jun</v>
          </cell>
          <cell r="L131" t="str">
            <v>Jul</v>
          </cell>
          <cell r="M131" t="str">
            <v>Aug</v>
          </cell>
          <cell r="N131" t="str">
            <v>Sep</v>
          </cell>
          <cell r="O131" t="str">
            <v>Oct</v>
          </cell>
          <cell r="P131" t="str">
            <v>Nov</v>
          </cell>
          <cell r="Q131" t="str">
            <v>Dec</v>
          </cell>
          <cell r="R131" t="str">
            <v>TOTAL</v>
          </cell>
          <cell r="S131" t="str">
            <v>Jan</v>
          </cell>
          <cell r="T131" t="str">
            <v>Feb</v>
          </cell>
          <cell r="U131" t="str">
            <v>Mar</v>
          </cell>
          <cell r="V131" t="str">
            <v>Apr</v>
          </cell>
          <cell r="W131" t="str">
            <v>May</v>
          </cell>
          <cell r="X131" t="str">
            <v>Jun</v>
          </cell>
          <cell r="Y131" t="str">
            <v>Jul</v>
          </cell>
          <cell r="Z131" t="str">
            <v>Aug</v>
          </cell>
          <cell r="AA131" t="str">
            <v>Sep</v>
          </cell>
          <cell r="AB131" t="str">
            <v>Oct</v>
          </cell>
          <cell r="AC131" t="str">
            <v>Nov</v>
          </cell>
          <cell r="AD131" t="str">
            <v>Dec</v>
          </cell>
          <cell r="AE131" t="str">
            <v>TOTAL</v>
          </cell>
          <cell r="AF131" t="str">
            <v>TOTAL</v>
          </cell>
          <cell r="AG131" t="str">
            <v>TOTAL</v>
          </cell>
          <cell r="AH131" t="str">
            <v>TOTAL</v>
          </cell>
          <cell r="AI131" t="str">
            <v>TOTAL</v>
          </cell>
        </row>
        <row r="132">
          <cell r="F132">
            <v>2005</v>
          </cell>
          <cell r="G132">
            <v>2005</v>
          </cell>
          <cell r="H132">
            <v>2005</v>
          </cell>
          <cell r="I132">
            <v>2005</v>
          </cell>
          <cell r="J132">
            <v>2005</v>
          </cell>
          <cell r="K132">
            <v>2005</v>
          </cell>
          <cell r="L132">
            <v>2005</v>
          </cell>
          <cell r="M132">
            <v>2005</v>
          </cell>
          <cell r="N132">
            <v>2005</v>
          </cell>
          <cell r="O132">
            <v>2005</v>
          </cell>
          <cell r="P132">
            <v>2005</v>
          </cell>
          <cell r="Q132">
            <v>2005</v>
          </cell>
          <cell r="R132">
            <v>2005</v>
          </cell>
          <cell r="S132">
            <v>2006</v>
          </cell>
          <cell r="T132">
            <v>2006</v>
          </cell>
          <cell r="U132">
            <v>2006</v>
          </cell>
          <cell r="V132">
            <v>2006</v>
          </cell>
          <cell r="W132">
            <v>2006</v>
          </cell>
          <cell r="X132">
            <v>2006</v>
          </cell>
          <cell r="Y132">
            <v>2006</v>
          </cell>
          <cell r="Z132">
            <v>2006</v>
          </cell>
          <cell r="AA132">
            <v>2006</v>
          </cell>
          <cell r="AB132">
            <v>2006</v>
          </cell>
          <cell r="AC132">
            <v>2006</v>
          </cell>
          <cell r="AD132">
            <v>2006</v>
          </cell>
          <cell r="AE132">
            <v>2006</v>
          </cell>
          <cell r="AF132">
            <v>2007</v>
          </cell>
          <cell r="AG132">
            <v>2008</v>
          </cell>
          <cell r="AH132">
            <v>2009</v>
          </cell>
          <cell r="AI132">
            <v>2010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40">
          <cell r="F140">
            <v>0</v>
          </cell>
          <cell r="G140">
            <v>0</v>
          </cell>
          <cell r="H140">
            <v>0.77700000000000002</v>
          </cell>
          <cell r="I140">
            <v>0.77699999999999991</v>
          </cell>
          <cell r="J140">
            <v>0.77699999999999991</v>
          </cell>
          <cell r="K140">
            <v>0.77699999999999991</v>
          </cell>
          <cell r="L140">
            <v>0.77700000000000002</v>
          </cell>
          <cell r="M140">
            <v>0.77700000000000002</v>
          </cell>
          <cell r="N140">
            <v>0.77700000000000002</v>
          </cell>
          <cell r="O140">
            <v>0</v>
          </cell>
          <cell r="P140">
            <v>0</v>
          </cell>
          <cell r="Q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0.77700000000000002</v>
          </cell>
          <cell r="P141">
            <v>0.77700000000000002</v>
          </cell>
          <cell r="Q141">
            <v>0.77700000000000002</v>
          </cell>
        </row>
        <row r="142">
          <cell r="F142">
            <v>0</v>
          </cell>
          <cell r="G142">
            <v>0.17494499999999999</v>
          </cell>
          <cell r="H142">
            <v>0.107</v>
          </cell>
          <cell r="I142">
            <v>0.10699999999999998</v>
          </cell>
          <cell r="J142">
            <v>0.10700000000000001</v>
          </cell>
          <cell r="K142">
            <v>0.10700000000000003</v>
          </cell>
          <cell r="L142">
            <v>0.107</v>
          </cell>
          <cell r="M142">
            <v>0.10700000000000001</v>
          </cell>
          <cell r="N142">
            <v>0.107</v>
          </cell>
          <cell r="O142">
            <v>0.18725</v>
          </cell>
          <cell r="P142">
            <v>0.18725</v>
          </cell>
          <cell r="Q142">
            <v>0.18725</v>
          </cell>
        </row>
        <row r="143">
          <cell r="F143">
            <v>2.596622</v>
          </cell>
          <cell r="G143">
            <v>0</v>
          </cell>
          <cell r="H143">
            <v>1.4359199999999999</v>
          </cell>
          <cell r="I143">
            <v>1.4359199999999999</v>
          </cell>
          <cell r="J143">
            <v>1.4359199999999999</v>
          </cell>
          <cell r="K143">
            <v>1.4359200000000001</v>
          </cell>
          <cell r="L143">
            <v>1.4359200000000001</v>
          </cell>
          <cell r="M143">
            <v>1.4359200000000001</v>
          </cell>
          <cell r="N143">
            <v>1.4359199999999999</v>
          </cell>
          <cell r="O143">
            <v>0.59830000000000005</v>
          </cell>
          <cell r="P143">
            <v>0.59830000000000005</v>
          </cell>
          <cell r="Q143">
            <v>0.59830000000000005</v>
          </cell>
        </row>
        <row r="144">
          <cell r="F144">
            <v>0</v>
          </cell>
          <cell r="G144">
            <v>0.26135999999999998</v>
          </cell>
          <cell r="H144">
            <v>0.34848000000000001</v>
          </cell>
          <cell r="I144">
            <v>0.34848000000000001</v>
          </cell>
          <cell r="J144">
            <v>0.34848000000000001</v>
          </cell>
          <cell r="K144">
            <v>0.34848000000000001</v>
          </cell>
          <cell r="L144">
            <v>0.34848000000000001</v>
          </cell>
          <cell r="M144">
            <v>0.34848000000000001</v>
          </cell>
          <cell r="N144">
            <v>0.34848000000000001</v>
          </cell>
          <cell r="O144">
            <v>0.43560000000000004</v>
          </cell>
          <cell r="P144">
            <v>0.43560000000000004</v>
          </cell>
          <cell r="Q144">
            <v>0.43560000000000004</v>
          </cell>
        </row>
        <row r="145">
          <cell r="F145">
            <v>0</v>
          </cell>
          <cell r="G145">
            <v>0.68286599999999997</v>
          </cell>
          <cell r="H145">
            <v>0.44385371428571435</v>
          </cell>
          <cell r="I145">
            <v>0.44385371428571435</v>
          </cell>
          <cell r="J145">
            <v>0.4438537142857143</v>
          </cell>
          <cell r="K145">
            <v>0.44385371428571435</v>
          </cell>
          <cell r="L145">
            <v>0.4438537142857143</v>
          </cell>
          <cell r="M145">
            <v>0.44385371428571424</v>
          </cell>
          <cell r="N145">
            <v>0.44385371428571435</v>
          </cell>
          <cell r="O145">
            <v>0.38580000000000003</v>
          </cell>
          <cell r="P145">
            <v>0.38580000000000003</v>
          </cell>
          <cell r="Q145">
            <v>0.38580000000000003</v>
          </cell>
        </row>
        <row r="146">
          <cell r="F146">
            <v>0</v>
          </cell>
          <cell r="G146">
            <v>1.2791940000000002</v>
          </cell>
          <cell r="H146">
            <v>0.64119999999999999</v>
          </cell>
          <cell r="I146">
            <v>0.64119999999999988</v>
          </cell>
          <cell r="J146">
            <v>0.64119999999999999</v>
          </cell>
          <cell r="K146">
            <v>0.6412000000000001</v>
          </cell>
          <cell r="L146">
            <v>0.64119999999999999</v>
          </cell>
          <cell r="M146">
            <v>0.6412000000000001</v>
          </cell>
          <cell r="N146">
            <v>0.64119999999999999</v>
          </cell>
          <cell r="O146">
            <v>0.64119999999999999</v>
          </cell>
          <cell r="P146">
            <v>0.64119999999999999</v>
          </cell>
          <cell r="Q146">
            <v>0.64119999999999999</v>
          </cell>
        </row>
        <row r="147">
          <cell r="F147">
            <v>0</v>
          </cell>
          <cell r="G147">
            <v>0</v>
          </cell>
          <cell r="H147">
            <v>0.27948395999999992</v>
          </cell>
          <cell r="I147">
            <v>0.35986819007999998</v>
          </cell>
          <cell r="J147">
            <v>0.43370400000000009</v>
          </cell>
          <cell r="K147">
            <v>0.51024000000000003</v>
          </cell>
          <cell r="L147">
            <v>0.51024000000000003</v>
          </cell>
          <cell r="M147">
            <v>0.51024000000000014</v>
          </cell>
          <cell r="N147">
            <v>0.51024000000000003</v>
          </cell>
          <cell r="O147">
            <v>0.51024000000000003</v>
          </cell>
          <cell r="P147">
            <v>0.51024000000000003</v>
          </cell>
          <cell r="Q147">
            <v>0.51024000000000003</v>
          </cell>
        </row>
        <row r="148">
          <cell r="F148">
            <v>0</v>
          </cell>
          <cell r="G148">
            <v>1.2102090000000001</v>
          </cell>
          <cell r="H148">
            <v>0.35489999999999994</v>
          </cell>
          <cell r="I148">
            <v>0.35489999999999994</v>
          </cell>
          <cell r="J148">
            <v>0.35489999999999999</v>
          </cell>
          <cell r="K148">
            <v>0.35490000000000005</v>
          </cell>
          <cell r="L148">
            <v>0.35489999999999999</v>
          </cell>
          <cell r="M148">
            <v>0.35490000000000005</v>
          </cell>
          <cell r="N148">
            <v>0.35489999999999999</v>
          </cell>
          <cell r="O148">
            <v>0.35489999999999999</v>
          </cell>
          <cell r="P148">
            <v>0.35489999999999999</v>
          </cell>
          <cell r="Q148">
            <v>0.35489999999999999</v>
          </cell>
        </row>
        <row r="149">
          <cell r="F149">
            <v>0</v>
          </cell>
          <cell r="G149">
            <v>0.12961238241279999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1.3626241440000002</v>
          </cell>
          <cell r="J152">
            <v>1.6422000000000003</v>
          </cell>
          <cell r="K152">
            <v>1.9320000000000004</v>
          </cell>
          <cell r="L152">
            <v>1.9319999999999999</v>
          </cell>
          <cell r="M152">
            <v>1.9320000000000002</v>
          </cell>
          <cell r="N152">
            <v>1.9319999999999999</v>
          </cell>
          <cell r="O152">
            <v>1.9319999999999999</v>
          </cell>
          <cell r="P152">
            <v>1.9319999999999999</v>
          </cell>
          <cell r="Q152">
            <v>1.9319999999999999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2.3345165199999998</v>
          </cell>
          <cell r="J153">
            <v>2.8135000000000003</v>
          </cell>
          <cell r="K153">
            <v>3.31</v>
          </cell>
          <cell r="L153">
            <v>3.31</v>
          </cell>
          <cell r="M153">
            <v>3.3099999999999996</v>
          </cell>
          <cell r="N153">
            <v>3.31</v>
          </cell>
          <cell r="O153">
            <v>4.9649999999999999</v>
          </cell>
          <cell r="P153">
            <v>4.9649999999999999</v>
          </cell>
          <cell r="Q153">
            <v>4.9649999999999999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0.58851343558989744</v>
          </cell>
          <cell r="L154">
            <v>0.58836340029720391</v>
          </cell>
          <cell r="M154">
            <v>0.66003755120619012</v>
          </cell>
          <cell r="N154">
            <v>0.4317923076923077</v>
          </cell>
          <cell r="O154">
            <v>0.37973224222585922</v>
          </cell>
          <cell r="P154">
            <v>0.36748281505728314</v>
          </cell>
          <cell r="Q154">
            <v>0.37973224222585922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5.9285981424148605E-3</v>
          </cell>
          <cell r="K155">
            <v>3.1374568763165814E-2</v>
          </cell>
          <cell r="L155">
            <v>6.0313436155608045E-2</v>
          </cell>
          <cell r="M155">
            <v>4.9023973441532524E-2</v>
          </cell>
          <cell r="N155">
            <v>2.7723040376931903E-2</v>
          </cell>
          <cell r="O155">
            <v>0.15250460265957447</v>
          </cell>
          <cell r="P155">
            <v>0.19157872193459993</v>
          </cell>
          <cell r="Q155">
            <v>0.19238150616300007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2.0937142857142856E-3</v>
          </cell>
          <cell r="J158">
            <v>2.093714285714286E-3</v>
          </cell>
          <cell r="K158">
            <v>2.0937142857142856E-3</v>
          </cell>
          <cell r="L158">
            <v>2.0937142857142856E-3</v>
          </cell>
          <cell r="M158">
            <v>2.093714285714286E-3</v>
          </cell>
          <cell r="N158">
            <v>2.0937142857142856E-3</v>
          </cell>
          <cell r="O158">
            <v>2.0937142857142856E-3</v>
          </cell>
          <cell r="P158">
            <v>2.0937142857142856E-3</v>
          </cell>
          <cell r="Q158">
            <v>2.0937142857142856E-3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1.7440000000000001E-3</v>
          </cell>
          <cell r="J159">
            <v>1.7440000000000001E-3</v>
          </cell>
          <cell r="K159">
            <v>1.7440000000000001E-3</v>
          </cell>
          <cell r="L159">
            <v>1.7439999999999999E-3</v>
          </cell>
          <cell r="M159">
            <v>1.7440000000000001E-3</v>
          </cell>
          <cell r="N159">
            <v>1.7440000000000001E-3</v>
          </cell>
          <cell r="O159">
            <v>6.1039999999999992E-3</v>
          </cell>
          <cell r="P159">
            <v>6.1039999999999992E-3</v>
          </cell>
          <cell r="Q159">
            <v>6.1039999999999992E-3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5.7371428571428569E-4</v>
          </cell>
          <cell r="J160">
            <v>5.737142857142858E-4</v>
          </cell>
          <cell r="K160">
            <v>5.737142857142858E-4</v>
          </cell>
          <cell r="L160">
            <v>5.7371428571428569E-4</v>
          </cell>
          <cell r="M160">
            <v>5.737142857142858E-4</v>
          </cell>
          <cell r="N160">
            <v>5.737142857142858E-4</v>
          </cell>
          <cell r="O160">
            <v>5.7371428571428569E-4</v>
          </cell>
          <cell r="P160">
            <v>5.7371428571428569E-4</v>
          </cell>
          <cell r="Q160">
            <v>5.7371428571428569E-4</v>
          </cell>
        </row>
        <row r="161">
          <cell r="F161">
            <v>0</v>
          </cell>
          <cell r="G161">
            <v>8.5203539999999974E-5</v>
          </cell>
          <cell r="H161">
            <v>9.8594999999999987E-5</v>
          </cell>
          <cell r="I161">
            <v>0.12695256000000002</v>
          </cell>
          <cell r="J161">
            <v>0.153</v>
          </cell>
          <cell r="K161">
            <v>0.18000000000000002</v>
          </cell>
          <cell r="L161">
            <v>0.18000000000000002</v>
          </cell>
          <cell r="M161">
            <v>0.18000000000000002</v>
          </cell>
          <cell r="N161">
            <v>0.18</v>
          </cell>
          <cell r="O161">
            <v>0.18</v>
          </cell>
          <cell r="P161">
            <v>0.18</v>
          </cell>
          <cell r="Q161">
            <v>0.18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0.3</v>
          </cell>
          <cell r="O165">
            <v>0.3</v>
          </cell>
          <cell r="P165">
            <v>0.3</v>
          </cell>
          <cell r="Q165">
            <v>0.3</v>
          </cell>
        </row>
        <row r="172">
          <cell r="F172">
            <v>7.5577388165019341</v>
          </cell>
          <cell r="G172">
            <v>7.8373533575180332</v>
          </cell>
          <cell r="H172">
            <v>6.8671000687026114</v>
          </cell>
          <cell r="I172">
            <v>12.737997844155979</v>
          </cell>
          <cell r="J172">
            <v>14.351250561381962</v>
          </cell>
          <cell r="K172">
            <v>15.565795071692587</v>
          </cell>
          <cell r="L172">
            <v>16.226752580359818</v>
          </cell>
          <cell r="M172">
            <v>15.369135384642142</v>
          </cell>
          <cell r="N172">
            <v>14.280809673668482</v>
          </cell>
          <cell r="O172">
            <v>16.098008955412674</v>
          </cell>
          <cell r="P172">
            <v>17.79267545979657</v>
          </cell>
          <cell r="Q172">
            <v>19.240405775828989</v>
          </cell>
        </row>
        <row r="178">
          <cell r="F178" t="str">
            <v>Actual</v>
          </cell>
          <cell r="G178" t="str">
            <v>Actual</v>
          </cell>
          <cell r="H178" t="str">
            <v>Actual</v>
          </cell>
          <cell r="I178" t="str">
            <v>Actual</v>
          </cell>
          <cell r="J178" t="str">
            <v>Forecast</v>
          </cell>
          <cell r="K178" t="str">
            <v>Forecast</v>
          </cell>
          <cell r="L178" t="str">
            <v>Forecast</v>
          </cell>
          <cell r="M178" t="str">
            <v>Forecast</v>
          </cell>
          <cell r="N178" t="str">
            <v>Forecast</v>
          </cell>
          <cell r="O178" t="str">
            <v>Forecast</v>
          </cell>
          <cell r="P178" t="str">
            <v>Forecast</v>
          </cell>
          <cell r="Q178" t="str">
            <v>Forecast</v>
          </cell>
        </row>
        <row r="179">
          <cell r="F179" t="str">
            <v>Jan</v>
          </cell>
          <cell r="G179" t="str">
            <v>Feb</v>
          </cell>
          <cell r="H179" t="str">
            <v>Mar</v>
          </cell>
          <cell r="I179" t="str">
            <v>Apr</v>
          </cell>
          <cell r="J179" t="str">
            <v>May</v>
          </cell>
          <cell r="K179" t="str">
            <v>Jun</v>
          </cell>
          <cell r="L179" t="str">
            <v>Jul</v>
          </cell>
          <cell r="M179" t="str">
            <v>Aug</v>
          </cell>
          <cell r="N179" t="str">
            <v>Sep</v>
          </cell>
          <cell r="O179" t="str">
            <v>Oct</v>
          </cell>
          <cell r="P179" t="str">
            <v>Nov</v>
          </cell>
          <cell r="Q179" t="str">
            <v>Dec</v>
          </cell>
        </row>
        <row r="180">
          <cell r="F180">
            <v>2005</v>
          </cell>
          <cell r="G180">
            <v>2005</v>
          </cell>
          <cell r="H180">
            <v>2005</v>
          </cell>
          <cell r="I180">
            <v>2005</v>
          </cell>
          <cell r="J180">
            <v>2005</v>
          </cell>
          <cell r="K180">
            <v>2005</v>
          </cell>
          <cell r="L180">
            <v>2005</v>
          </cell>
          <cell r="M180">
            <v>2005</v>
          </cell>
          <cell r="N180">
            <v>2005</v>
          </cell>
          <cell r="O180">
            <v>2005</v>
          </cell>
          <cell r="P180">
            <v>2005</v>
          </cell>
          <cell r="Q180">
            <v>2005</v>
          </cell>
        </row>
        <row r="187">
          <cell r="F187">
            <v>9050.24</v>
          </cell>
          <cell r="G187">
            <v>13750.433600000002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90">
          <cell r="F190">
            <v>0</v>
          </cell>
          <cell r="G190">
            <v>1838.2632000000001</v>
          </cell>
          <cell r="H190">
            <v>1483.96</v>
          </cell>
          <cell r="I190">
            <v>1145.8799999999999</v>
          </cell>
          <cell r="J190">
            <v>1356.6000000000001</v>
          </cell>
          <cell r="K190">
            <v>1993.8000000000002</v>
          </cell>
          <cell r="L190">
            <v>2092.4</v>
          </cell>
          <cell r="M190">
            <v>2704</v>
          </cell>
          <cell r="N190">
            <v>4000</v>
          </cell>
          <cell r="O190">
            <v>8225</v>
          </cell>
          <cell r="P190">
            <v>8225</v>
          </cell>
          <cell r="Q190">
            <v>8225</v>
          </cell>
        </row>
        <row r="193">
          <cell r="F193">
            <v>0</v>
          </cell>
          <cell r="G193">
            <v>1990.0463999999999</v>
          </cell>
          <cell r="H193">
            <v>1707.2606476190476</v>
          </cell>
          <cell r="I193">
            <v>1318.3076571428571</v>
          </cell>
          <cell r="J193">
            <v>1560.7360000000001</v>
          </cell>
          <cell r="K193">
            <v>2293.8194285714285</v>
          </cell>
          <cell r="L193">
            <v>2407.2563809523808</v>
          </cell>
          <cell r="M193">
            <v>3110.887619047619</v>
          </cell>
          <cell r="N193">
            <v>4601.9047619047624</v>
          </cell>
          <cell r="O193">
            <v>4700</v>
          </cell>
          <cell r="P193">
            <v>4700</v>
          </cell>
          <cell r="Q193">
            <v>4700</v>
          </cell>
        </row>
        <row r="197">
          <cell r="F197">
            <v>0</v>
          </cell>
          <cell r="G197">
            <v>203.30049357471998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145472.39945279999</v>
          </cell>
          <cell r="J198">
            <v>207559.80000000002</v>
          </cell>
          <cell r="K198">
            <v>358884.00000000006</v>
          </cell>
          <cell r="L198">
            <v>376632</v>
          </cell>
          <cell r="M198">
            <v>486720</v>
          </cell>
          <cell r="N198">
            <v>720000</v>
          </cell>
          <cell r="O198">
            <v>846000</v>
          </cell>
          <cell r="P198">
            <v>846000</v>
          </cell>
          <cell r="Q198">
            <v>846000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56.132999999999996</v>
          </cell>
          <cell r="K199">
            <v>436.59000000000003</v>
          </cell>
          <cell r="L199">
            <v>880.79169327187515</v>
          </cell>
          <cell r="M199">
            <v>925.18721514449999</v>
          </cell>
          <cell r="N199">
            <v>773.95422604500004</v>
          </cell>
          <cell r="O199">
            <v>3601.8675000000003</v>
          </cell>
          <cell r="P199">
            <v>4524.7235833799987</v>
          </cell>
          <cell r="Q199">
            <v>4543.683813900001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48.490799817599992</v>
          </cell>
          <cell r="J204">
            <v>69.186599999999999</v>
          </cell>
          <cell r="K204">
            <v>119.628</v>
          </cell>
          <cell r="L204">
            <v>125.544</v>
          </cell>
          <cell r="M204">
            <v>162.23999999999998</v>
          </cell>
          <cell r="N204">
            <v>240</v>
          </cell>
          <cell r="O204">
            <v>282</v>
          </cell>
          <cell r="P204">
            <v>282</v>
          </cell>
          <cell r="Q204">
            <v>282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13.095771428571428</v>
          </cell>
          <cell r="J206">
            <v>15.504000000000001</v>
          </cell>
          <cell r="K206">
            <v>22.786285714285714</v>
          </cell>
          <cell r="L206">
            <v>23.913142857142859</v>
          </cell>
          <cell r="M206">
            <v>30.902857142857144</v>
          </cell>
          <cell r="N206">
            <v>45.714285714285715</v>
          </cell>
          <cell r="O206">
            <v>53.714285714285715</v>
          </cell>
          <cell r="P206">
            <v>53.714285714285715</v>
          </cell>
          <cell r="Q206">
            <v>53.714285714285715</v>
          </cell>
        </row>
        <row r="210">
          <cell r="F210">
            <v>0</v>
          </cell>
          <cell r="G210">
            <v>0.53220024495999996</v>
          </cell>
          <cell r="H210">
            <v>0.81283908999999999</v>
          </cell>
          <cell r="I210">
            <v>1074.8793959568</v>
          </cell>
          <cell r="J210">
            <v>1533.6363000000003</v>
          </cell>
          <cell r="K210">
            <v>2651.7540000000004</v>
          </cell>
          <cell r="L210">
            <v>2782.8920000000003</v>
          </cell>
          <cell r="M210">
            <v>3596.32</v>
          </cell>
          <cell r="N210">
            <v>5320</v>
          </cell>
          <cell r="O210">
            <v>6251</v>
          </cell>
          <cell r="P210">
            <v>6251</v>
          </cell>
          <cell r="Q210">
            <v>6251</v>
          </cell>
        </row>
        <row r="211">
          <cell r="F211">
            <v>0</v>
          </cell>
          <cell r="G211">
            <v>3.7254017147199998</v>
          </cell>
          <cell r="H211">
            <v>5.6898736300000001</v>
          </cell>
          <cell r="I211">
            <v>6174.4951767743996</v>
          </cell>
          <cell r="J211">
            <v>8809.760400000001</v>
          </cell>
          <cell r="K211">
            <v>15232.632000000001</v>
          </cell>
          <cell r="L211">
            <v>15985.936</v>
          </cell>
          <cell r="M211">
            <v>20658.559999999998</v>
          </cell>
          <cell r="N211">
            <v>30560</v>
          </cell>
          <cell r="O211">
            <v>35908</v>
          </cell>
          <cell r="P211">
            <v>35908</v>
          </cell>
          <cell r="Q211">
            <v>35908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</sheetData>
      <sheetData sheetId="3">
        <row r="5">
          <cell r="E5">
            <v>134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Бюдж-тенге"/>
      <sheetName val="Книга1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Main Page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L-1"/>
      <sheetName val="База"/>
      <sheetName val="9-1"/>
      <sheetName val="4"/>
      <sheetName val="1-1"/>
      <sheetName val="1"/>
      <sheetName val="ЦентрЗатр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5NK "/>
      <sheetName val="флормиро"/>
      <sheetName val="ЦентрЗатр"/>
      <sheetName val="ЕдИзм"/>
      <sheetName val="Предпр"/>
      <sheetName val="Hidden"/>
      <sheetName val="СписокТЭП"/>
      <sheetName val="Титул1"/>
      <sheetName val="Нефть"/>
      <sheetName val="цены14"/>
      <sheetName val="#REF"/>
      <sheetName val="Лист2"/>
      <sheetName val="д.7.001"/>
      <sheetName val="Форма3.6"/>
      <sheetName val="ДС МЗК"/>
      <sheetName val="Текущие цены"/>
      <sheetName val="рабочий"/>
      <sheetName val="окраска"/>
      <sheetName val="ОТиТБ"/>
      <sheetName val="Форма1"/>
      <sheetName val="справка"/>
      <sheetName val="группа"/>
      <sheetName val="list"/>
      <sheetName val="LME_prices"/>
      <sheetName val="УПРАВЛЕНИЕ11"/>
      <sheetName val="МАТЕР.433,452"/>
      <sheetName val="Изменяемые данные"/>
      <sheetName val="Water trucking 2005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pmtions"/>
      <sheetName val="0. Данные"/>
      <sheetName val="1. Производственный план"/>
      <sheetName val="2. План продаж"/>
      <sheetName val="3. Горные раб - списание затрат"/>
      <sheetName val="3.1. Добыча ГР"/>
      <sheetName val="3.2. Общие ГР"/>
      <sheetName val="3.3. Горная мастерская"/>
      <sheetName val="4. Завод-списание затрат"/>
      <sheetName val="4.1.Дробление"/>
      <sheetName val="4.2. Измельчение"/>
      <sheetName val="4.3. Гравитация"/>
      <sheetName val="4.4. Флотация"/>
      <sheetName val="4.5. Биовыщелачивание"/>
      <sheetName val="4.6. Сорбционное цианирование"/>
      <sheetName val="4.7. Элюирование, рег-ция"/>
      <sheetName val="4.8. Золотая комната"/>
      <sheetName val="4.9. Реагентный"/>
      <sheetName val="4.10. Хвостохранилище"/>
      <sheetName val="4.11. Мастерская завода"/>
      <sheetName val="4.12. Общ.расх.завода"/>
      <sheetName val="5. Общ.накл.расх.участка"/>
      <sheetName val="5.1. Общ.расх.участка"/>
      <sheetName val="5.2. Насосная станция"/>
      <sheetName val="5.3. ЛЭП"/>
      <sheetName val="5.4. Котельная"/>
      <sheetName val="5.5. Склады"/>
      <sheetName val="5.6. Общежитие"/>
      <sheetName val="Лист2"/>
      <sheetName val="6. Админ. расходы"/>
      <sheetName val="7. Налоги"/>
      <sheetName val="8. Инвестиции и амортизация"/>
      <sheetName val="9. Инв. бюджет 11.03"/>
      <sheetName val="10. Затраты по видам и запасы"/>
      <sheetName val="11. Кредиты"/>
      <sheetName val="12. ОПУ"/>
      <sheetName val="13. ОДДС"/>
      <sheetName val="14. Баланс"/>
      <sheetName val="init. investments"/>
      <sheetName val="Rev1 2006 Investment 15.12.05"/>
      <sheetName val="Exploration &amp; Tests"/>
    </sheetNames>
    <sheetDataSet>
      <sheetData sheetId="0" refreshError="1"/>
      <sheetData sheetId="1" refreshError="1">
        <row r="9">
          <cell r="C9">
            <v>0.15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Prelim Cost"/>
      <sheetName val="Расчет2000Прямой"/>
      <sheetName val="Месяц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Лист3"/>
      <sheetName val="6БО"/>
      <sheetName val="Форма 3"/>
      <sheetName val="Форма 2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приложение№3"/>
      <sheetName val="исходные данные"/>
      <sheetName val="2002(v2)"/>
      <sheetName val="Титул1"/>
      <sheetName val="Макро"/>
      <sheetName val="текст"/>
      <sheetName val="филиалы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Capex"/>
      <sheetName val="Dictionaries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Форма2"/>
      <sheetName val="ЦХЛ 2004"/>
      <sheetName val="#ССЫЛКА"/>
      <sheetName val="Movements"/>
      <sheetName val="Б.мчас (П)"/>
      <sheetName val="База"/>
      <sheetName val="Титул1"/>
      <sheetName val="I. Прогноз доходов"/>
      <sheetName val="Добыча нефти4"/>
      <sheetName val="поставка сравн13"/>
      <sheetName val="Форма3.6"/>
      <sheetName val="СписокТЭП"/>
      <sheetName val="list"/>
      <sheetName val="FES"/>
      <sheetName val="Собственный капитал"/>
      <sheetName val="Сеть"/>
      <sheetName val="  2.3.2"/>
      <sheetName val="ввод-вывод ОС авг2004- 2005"/>
      <sheetName val="5NK "/>
      <sheetName val="Сводный бизнес-план"/>
      <sheetName val="14.1.2.2.(Услуги связи)"/>
      <sheetName val="2.2 ОтклОТМ"/>
      <sheetName val="1.3.2 ОТМ"/>
      <sheetName val="Предпр"/>
      <sheetName val="ЦентрЗатр"/>
      <sheetName val="ЕдИзм"/>
      <sheetName val="общие данные"/>
      <sheetName val="отделы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Сеть"/>
      <sheetName val="t0_name"/>
      <sheetName val="ИД"/>
      <sheetName val="Отпуск продукции"/>
      <sheetName val="1"/>
      <sheetName val="MS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Форма1"/>
      <sheetName val="10 БО (kzt)"/>
      <sheetName val="Штатное 2012-2015"/>
      <sheetName val="смета"/>
      <sheetName val="Бюджет"/>
      <sheetName val="Пр2"/>
      <sheetName val="ввод-вывод ОС авг2004- 2005"/>
      <sheetName val="Форма3.6"/>
      <sheetName val="элементы"/>
      <sheetName val="5NK "/>
      <sheetName val="Cash flow 2011"/>
      <sheetName val="VLOOKUP"/>
      <sheetName val="INPUTMASTER"/>
      <sheetName val="КБ"/>
      <sheetName val="Способ закупки"/>
      <sheetName val="АТиК"/>
      <sheetName val="Потребители"/>
      <sheetName val="Блоки"/>
      <sheetName val="Сдача "/>
      <sheetName val="Datasheet"/>
      <sheetName val="L-1"/>
      <sheetName val="Нефть"/>
      <sheetName val="флормиро"/>
      <sheetName val="из сем"/>
      <sheetName val="ПРОГНОЗ_1"/>
      <sheetName val="  2.3.2"/>
      <sheetName val="PL12"/>
      <sheetName val="отделы"/>
      <sheetName val="MATRIX_DA_10"/>
      <sheetName val="list"/>
      <sheetName val="Об-я св-а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AFS"/>
      <sheetName val="Титул1"/>
      <sheetName val="д.7.001"/>
      <sheetName val="PP&amp;E mvt for 2003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оставка сравн13"/>
      <sheetName val="Добыча нефти4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5NK "/>
      <sheetName val="из сем"/>
      <sheetName val="  2.3.2"/>
      <sheetName val="Форма1"/>
      <sheetName val="10 БО (kzt)"/>
      <sheetName val="Штатное 2012-2015"/>
      <sheetName val="смета"/>
      <sheetName val="Бюджет"/>
      <sheetName val="Пр2"/>
      <sheetName val="PL12"/>
      <sheetName val="Сотрудники"/>
      <sheetName val="рев дф (1.08.) (3)"/>
      <sheetName val="заявка (2)"/>
      <sheetName val="янв (2)"/>
      <sheetName val="Материалы для АУП"/>
      <sheetName val="План произв-ва (мес.) (бюджет)"/>
      <sheetName val="ГТМ"/>
      <sheetName val="тех реж"/>
      <sheetName val="Кап затраты ОМГ 16"/>
      <sheetName val="Movements"/>
      <sheetName val="Форма3.6"/>
      <sheetName val="элементы"/>
      <sheetName val="MATRIX_DA_10"/>
      <sheetName val="Нефть"/>
      <sheetName val="L-1"/>
      <sheetName val="флормиро"/>
      <sheetName val="замер"/>
      <sheetName val="Титул1"/>
      <sheetName val="1 (2)"/>
      <sheetName val="s"/>
      <sheetName val="Об-я св-а"/>
      <sheetName val="2в"/>
      <sheetName val="МОП"/>
      <sheetName val="Cash flow 2011"/>
      <sheetName val="Hidden"/>
      <sheetName val="list"/>
      <sheetName val="Собственный капитал"/>
      <sheetName val="ЭКРБ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потр"/>
      <sheetName val="СН"/>
      <sheetName val="апрель 09."/>
      <sheetName val="VLOOKUP"/>
      <sheetName val="INPUTMASTER"/>
      <sheetName val="КБ"/>
      <sheetName val="АТиК"/>
      <sheetName val="Способ закупки"/>
      <sheetName val="Потребители"/>
      <sheetName val="Блоки"/>
      <sheetName val="Сдача "/>
      <sheetName val="Datasheet"/>
      <sheetName val="ПРОГНОЗ_1"/>
      <sheetName val="отделы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I KEY INFORMATION"/>
      <sheetName val="Счетчики"/>
      <sheetName val="ОТиТБ"/>
      <sheetName val="ввод-вывод ОС авг2004- 2005"/>
      <sheetName val="ID-06"/>
      <sheetName val="СПгнг"/>
      <sheetName val="группа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#REF"/>
      <sheetName val="ЦентрЗатр"/>
      <sheetName val="Лист3"/>
      <sheetName val="Отпуск продукции"/>
      <sheetName val="1NK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Ф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.7.001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PV-date"/>
      <sheetName val="3.ФОТ"/>
      <sheetName val="Курсы"/>
      <sheetName val="ТЭП старая"/>
      <sheetName val="постоянные затраты"/>
      <sheetName val="7НК"/>
      <sheetName val="данн"/>
      <sheetName val="indx"/>
      <sheetName val="баки _2_"/>
      <sheetName val="МАТЕР.433,452"/>
      <sheetName val="1. Доходы"/>
      <sheetName val="Собственный капит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put Page"/>
      <sheetName val="Treatment Summary"/>
      <sheetName val="Actual Costs"/>
      <sheetName val="Labour"/>
      <sheetName val="Capital Ex"/>
      <sheetName val="Op Cost Summary"/>
      <sheetName val="Mine Summary"/>
      <sheetName val="Mine Plan Cal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СписокТЭП"/>
    </sheetNames>
    <sheetDataSet>
      <sheetData sheetId="0" refreshError="1"/>
      <sheetData sheetId="1" refreshError="1"/>
      <sheetData sheetId="2" refreshError="1">
        <row r="20">
          <cell r="I20">
            <v>2002</v>
          </cell>
        </row>
        <row r="63">
          <cell r="E63" t="str">
            <v>Total Revenue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FES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Capex"/>
      <sheetName val="Исх.данные"/>
      <sheetName val="распределение модели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Гр5(о)"/>
      <sheetName val="1. Доходы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ПЗ"/>
      <sheetName val="мат.ЭЧ"/>
      <sheetName val="мат.СЦБ"/>
      <sheetName val="мат.СЦБ+Тендык"/>
      <sheetName val="мат.ПЧ"/>
      <sheetName val="мат.ПЧ+Тендык"/>
      <sheetName val="Вед.пути"/>
      <sheetName val="мат.ВЧ (ПТО)полный"/>
      <sheetName val="мат.ВЧ (ПТО)"/>
      <sheetName val="мат.ВЧ (ТОР)"/>
      <sheetName val="мат.ЛЧ"/>
      <sheetName val="эл.матер."/>
      <sheetName val="норма эл.мат."/>
      <sheetName val="вар-2"/>
      <sheetName val="з.ч.авто"/>
      <sheetName val="норм.з.ч."/>
      <sheetName val="з.ч.орг."/>
      <sheetName val="оргтехн."/>
      <sheetName val="спецод.по факту"/>
      <sheetName val="спецод.расч.по факту-всего"/>
      <sheetName val="спецод.расч.по факту"/>
      <sheetName val="спецод."/>
      <sheetName val="расч.спецод.-ПП"/>
      <sheetName val="расч.спецод.-полн."/>
      <sheetName val="снегобор."/>
      <sheetName val="блан.прод."/>
      <sheetName val="сводГСМ"/>
      <sheetName val="топл."/>
      <sheetName val="ГСМ по видам трансп."/>
      <sheetName val="пробег"/>
      <sheetName val="Nдиз."/>
      <sheetName val="ДТ (тепл)"/>
      <sheetName val="Nбенз."/>
      <sheetName val="масло"/>
      <sheetName val="Nмасла"/>
      <sheetName val="масло (тепл)"/>
      <sheetName val="эл.энер."/>
      <sheetName val="мощн.Пром."/>
      <sheetName val="эл.энер.Тенд"/>
      <sheetName val="мощн.Тенд"/>
      <sheetName val="мощн.Пром.АНПЗ"/>
      <sheetName val="ФОТ"/>
      <sheetName val="ШР"/>
      <sheetName val="ШР (2)"/>
      <sheetName val="сетка оплаты"/>
      <sheetName val="БРВ "/>
      <sheetName val="ОППВ"/>
      <sheetName val="пер.ОППВ"/>
      <sheetName val="мед.страх."/>
      <sheetName val="расч.МС"/>
      <sheetName val="аморт."/>
      <sheetName val="ОС"/>
      <sheetName val="ОС-3"/>
      <sheetName val="ОС-2"/>
      <sheetName val="ОС-1"/>
      <sheetName val="аморт-свод"/>
      <sheetName val="вед.аморт."/>
      <sheetName val="рем.свод"/>
      <sheetName val="рем.тепл."/>
      <sheetName val="рем.МПТ"/>
      <sheetName val="связь"/>
      <sheetName val="нормы связи"/>
      <sheetName val="подг.кадров"/>
      <sheetName val="период.подг."/>
      <sheetName val="команд.произв."/>
      <sheetName val="план команд."/>
      <sheetName val="план команд.АУП+ПП"/>
      <sheetName val="свод налог"/>
      <sheetName val="зем.нал."/>
      <sheetName val="нал.имущ."/>
      <sheetName val="нал.имущ.с лок."/>
      <sheetName val="нал.трансп."/>
      <sheetName val="эмиссия"/>
      <sheetName val="эмиссия от стац.ист."/>
      <sheetName val="радиочаст.спектр "/>
      <sheetName val="св.услуг стор.орг."/>
      <sheetName val="тех.док."/>
      <sheetName val="ТО АЛСН,РВ"/>
      <sheetName val="ТОавто и др.мех."/>
      <sheetName val="ТСпути,СП"/>
      <sheetName val="ТОустр.СЦБ"/>
      <sheetName val="ТО УЗОТ"/>
      <sheetName val="слежение"/>
      <sheetName val="ТОэнерго"/>
      <sheetName val="турникет"/>
      <sheetName val="поверка"/>
      <sheetName val="маном."/>
      <sheetName val="охр."/>
      <sheetName val=" метеорол."/>
      <sheetName val="пред.пожара"/>
      <sheetName val="видео+пож.сигн."/>
      <sheetName val="вентил."/>
      <sheetName val="ТОгаз"/>
      <sheetName val="насос+компр."/>
      <sheetName val="ТОздан."/>
      <sheetName val="рем.здан."/>
      <sheetName val="ТОздан.закуп"/>
      <sheetName val="мед.осмотр"/>
      <sheetName val="пер.медосм."/>
      <sheetName val="аренда пом."/>
      <sheetName val="аренда тепл."/>
      <sheetName val="аренда тепл.4100"/>
      <sheetName val="ком.усл."/>
      <sheetName val="ком.усл.Тенд"/>
      <sheetName val="св.страхов."/>
      <sheetName val="обяз.страх.ТС"/>
      <sheetName val="добр.страх."/>
      <sheetName val="расч.от Казинстрах"/>
      <sheetName val="страх.работ."/>
      <sheetName val="расч.0,56"/>
      <sheetName val="страх.экологии"/>
      <sheetName val="др.затраты"/>
      <sheetName val="обуч.ОТиТБ"/>
      <sheetName val="период.ОТиТБ"/>
      <sheetName val="аттест.раб.мест"/>
      <sheetName val="пер.аттест."/>
      <sheetName val="огнетуш."/>
      <sheetName val="пер.огнет."/>
      <sheetName val="запр.картр."/>
      <sheetName val="норма запр."/>
      <sheetName val="Тосм.авто"/>
      <sheetName val="опас.отходы"/>
      <sheetName val="канц.тов."/>
      <sheetName val="свод.канц."/>
      <sheetName val="расч.канц."/>
      <sheetName val="питание"/>
      <sheetName val="мол+мыло"/>
      <sheetName val="сп.мол."/>
      <sheetName val="сп.мыло"/>
      <sheetName val="мед.издел."/>
      <sheetName val="лекар."/>
      <sheetName val="лекар. закуп"/>
      <sheetName val="медапт."/>
      <sheetName val="крем"/>
      <sheetName val="вода"/>
      <sheetName val="хоз.тов."/>
      <sheetName val="пер.хоз."/>
      <sheetName val="СЭС"/>
      <sheetName val="дезинф."/>
      <sheetName val="площ."/>
      <sheetName val="стоки"/>
    </sheetNames>
    <sheetDataSet>
      <sheetData sheetId="0">
        <row r="11">
          <cell r="C11">
            <v>806.75099999999998</v>
          </cell>
        </row>
        <row r="12">
          <cell r="E12">
            <v>112.51202384171123</v>
          </cell>
          <cell r="F12">
            <v>4237.1046492823352</v>
          </cell>
          <cell r="G12">
            <v>89.198854580745333</v>
          </cell>
          <cell r="H12">
            <v>868.96977475219546</v>
          </cell>
          <cell r="I12">
            <v>29.645736366459627</v>
          </cell>
          <cell r="J12">
            <v>0</v>
          </cell>
          <cell r="L12">
            <v>987.81436569940035</v>
          </cell>
        </row>
        <row r="13">
          <cell r="C13">
            <v>29338.055386615877</v>
          </cell>
        </row>
        <row r="14">
          <cell r="G14">
            <v>2997.8150000000001</v>
          </cell>
          <cell r="J14">
            <v>334.54450000000003</v>
          </cell>
        </row>
        <row r="15">
          <cell r="G15">
            <v>12195.275342857143</v>
          </cell>
          <cell r="H15">
            <v>6097.6376714285716</v>
          </cell>
          <cell r="I15">
            <v>12195.275342857143</v>
          </cell>
          <cell r="L15">
            <v>30488.188357142855</v>
          </cell>
        </row>
        <row r="16">
          <cell r="C16">
            <v>1681.6496399999999</v>
          </cell>
        </row>
        <row r="17">
          <cell r="E17">
            <v>575.18565974657213</v>
          </cell>
          <cell r="F17">
            <v>907.81433677054122</v>
          </cell>
          <cell r="G17">
            <v>1470.5036106010496</v>
          </cell>
          <cell r="H17">
            <v>689.4422980488124</v>
          </cell>
          <cell r="I17">
            <v>1580.1480955815546</v>
          </cell>
          <cell r="J17">
            <v>39.431514251467881</v>
          </cell>
          <cell r="L17">
            <v>3740.0940042314164</v>
          </cell>
        </row>
        <row r="18">
          <cell r="C18">
            <v>2818.8024861878453</v>
          </cell>
        </row>
        <row r="19">
          <cell r="C19">
            <v>21637.560158730161</v>
          </cell>
        </row>
        <row r="20">
          <cell r="E20">
            <v>5258.9285714285706</v>
          </cell>
        </row>
        <row r="21">
          <cell r="E21">
            <v>395.6941025041138</v>
          </cell>
          <cell r="F21">
            <v>642.45579818264707</v>
          </cell>
          <cell r="G21">
            <v>1805.1258757944133</v>
          </cell>
          <cell r="H21">
            <v>1213.3124250900294</v>
          </cell>
          <cell r="I21">
            <v>1634.7116155441706</v>
          </cell>
          <cell r="J21">
            <v>304.30018288462634</v>
          </cell>
          <cell r="L21">
            <v>4653.1499164286133</v>
          </cell>
        </row>
        <row r="23">
          <cell r="E23">
            <v>4744.6514560327087</v>
          </cell>
          <cell r="F23">
            <v>7243.2554108919412</v>
          </cell>
          <cell r="G23">
            <v>109931.49373700329</v>
          </cell>
          <cell r="H23">
            <v>56129.388931603586</v>
          </cell>
          <cell r="I23">
            <v>109791.55980596013</v>
          </cell>
          <cell r="J23">
            <v>171.37147850835498</v>
          </cell>
          <cell r="L23">
            <v>275852.44247456698</v>
          </cell>
        </row>
        <row r="24">
          <cell r="E24">
            <v>4066.3303342732629</v>
          </cell>
          <cell r="F24">
            <v>6198.3896876889303</v>
          </cell>
          <cell r="G24">
            <v>4683.3807021224666</v>
          </cell>
          <cell r="H24">
            <v>3321.8147439231325</v>
          </cell>
          <cell r="I24">
            <v>4602.0423092514839</v>
          </cell>
          <cell r="J24">
            <v>99.612188808543962</v>
          </cell>
          <cell r="L24">
            <v>12607.237755297083</v>
          </cell>
        </row>
        <row r="25">
          <cell r="E25">
            <v>1329.408609269457</v>
          </cell>
          <cell r="F25">
            <v>2020.014689048257</v>
          </cell>
          <cell r="G25">
            <v>26537.280626432435</v>
          </cell>
          <cell r="H25">
            <v>1118.6642616822867</v>
          </cell>
          <cell r="I25">
            <v>30647.098527567574</v>
          </cell>
          <cell r="J25">
            <v>196.10436599999997</v>
          </cell>
          <cell r="L25">
            <v>58303.043415682296</v>
          </cell>
        </row>
        <row r="28">
          <cell r="E28">
            <v>95890.776263006876</v>
          </cell>
          <cell r="F28">
            <v>136333.47497875191</v>
          </cell>
          <cell r="G28">
            <v>324593.31711066619</v>
          </cell>
          <cell r="H28">
            <v>155190.53658416029</v>
          </cell>
          <cell r="I28">
            <v>296663.48559765192</v>
          </cell>
          <cell r="J28">
            <v>65243.642265762763</v>
          </cell>
          <cell r="L28">
            <v>776447.3392924784</v>
          </cell>
        </row>
        <row r="29">
          <cell r="E29">
            <v>9493.1868500376822</v>
          </cell>
          <cell r="F29">
            <v>13497.014022896439</v>
          </cell>
          <cell r="G29">
            <v>32134.738393955955</v>
          </cell>
          <cell r="H29">
            <v>15363.863121831871</v>
          </cell>
          <cell r="I29">
            <v>29369.685074167533</v>
          </cell>
          <cell r="J29">
            <v>6459.1205843105136</v>
          </cell>
          <cell r="L29">
            <v>76868.286589955358</v>
          </cell>
        </row>
        <row r="30">
          <cell r="E30">
            <v>0</v>
          </cell>
          <cell r="F30">
            <v>0</v>
          </cell>
          <cell r="G30">
            <v>3164.7384000000002</v>
          </cell>
          <cell r="H30">
            <v>1015.8336</v>
          </cell>
          <cell r="I30">
            <v>3796.3872000000001</v>
          </cell>
          <cell r="J30">
            <v>328.63920000000002</v>
          </cell>
          <cell r="L30">
            <v>7976.9592000000002</v>
          </cell>
        </row>
        <row r="31">
          <cell r="C31">
            <v>7869.0340800000004</v>
          </cell>
          <cell r="E31">
            <v>574.89206045934134</v>
          </cell>
          <cell r="F31">
            <v>933.40470639800094</v>
          </cell>
          <cell r="G31">
            <v>2602.2729142565054</v>
          </cell>
          <cell r="H31">
            <v>1100.5670191383047</v>
          </cell>
          <cell r="I31">
            <v>2354.6831609927503</v>
          </cell>
          <cell r="J31">
            <v>303.21421875509702</v>
          </cell>
        </row>
        <row r="32">
          <cell r="E32">
            <v>895527.52671471401</v>
          </cell>
          <cell r="F32">
            <v>736461.054635223</v>
          </cell>
          <cell r="G32">
            <v>496370.4941388361</v>
          </cell>
          <cell r="H32">
            <v>46019.949909628544</v>
          </cell>
          <cell r="I32">
            <v>36948.170721742405</v>
          </cell>
          <cell r="J32">
            <v>9391.1257335300597</v>
          </cell>
          <cell r="L32">
            <v>579338.61477020709</v>
          </cell>
        </row>
        <row r="36">
          <cell r="C36">
            <v>6258.5412933942862</v>
          </cell>
        </row>
        <row r="37">
          <cell r="C37">
            <v>1398.3066999999996</v>
          </cell>
        </row>
        <row r="38">
          <cell r="C38">
            <v>15026.88236</v>
          </cell>
        </row>
        <row r="40">
          <cell r="C40">
            <v>7049.5699299999997</v>
          </cell>
        </row>
        <row r="41">
          <cell r="C41">
            <v>315666.35143873811</v>
          </cell>
        </row>
        <row r="42">
          <cell r="E42">
            <v>14.227238952021755</v>
          </cell>
          <cell r="F42">
            <v>22.404964494161934</v>
          </cell>
          <cell r="G42">
            <v>34.2057355641954</v>
          </cell>
          <cell r="H42">
            <v>16.265966234906799</v>
          </cell>
          <cell r="I42">
            <v>30.951276901482824</v>
          </cell>
          <cell r="J42">
            <v>10.792617853231292</v>
          </cell>
          <cell r="L42">
            <v>81.42297870058502</v>
          </cell>
        </row>
        <row r="43">
          <cell r="E43">
            <v>441.79944574277499</v>
          </cell>
          <cell r="F43">
            <v>671.69494553287348</v>
          </cell>
          <cell r="G43">
            <v>1369.8272430699701</v>
          </cell>
          <cell r="H43">
            <v>801.79243020023659</v>
          </cell>
          <cell r="I43">
            <v>1368.2229949324196</v>
          </cell>
          <cell r="J43">
            <v>1.9646646894892064</v>
          </cell>
          <cell r="L43">
            <v>3539.8426682026261</v>
          </cell>
        </row>
        <row r="44">
          <cell r="C44">
            <v>158.83000000000001</v>
          </cell>
        </row>
        <row r="46">
          <cell r="C46">
            <v>5683.5645714285711</v>
          </cell>
        </row>
        <row r="48">
          <cell r="E48">
            <v>2644.130340953177</v>
          </cell>
          <cell r="F48">
            <v>4034.0152170756946</v>
          </cell>
          <cell r="G48">
            <v>708.63832146196842</v>
          </cell>
          <cell r="H48">
            <v>970.76970047212853</v>
          </cell>
          <cell r="I48">
            <v>641.21588233085276</v>
          </cell>
          <cell r="J48">
            <v>2225.426966277606</v>
          </cell>
          <cell r="L48">
            <v>2320.6239042649495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39095.405430428575</v>
          </cell>
          <cell r="I49">
            <v>0</v>
          </cell>
          <cell r="J49">
            <v>0</v>
          </cell>
          <cell r="L49">
            <v>39095.405430428575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1442.808</v>
          </cell>
          <cell r="I50">
            <v>0</v>
          </cell>
          <cell r="J50">
            <v>0</v>
          </cell>
          <cell r="L50">
            <v>1442.808</v>
          </cell>
        </row>
        <row r="51">
          <cell r="E51">
            <v>0</v>
          </cell>
          <cell r="F51">
            <v>0</v>
          </cell>
          <cell r="G51">
            <v>2223.2142857142853</v>
          </cell>
          <cell r="H51">
            <v>0</v>
          </cell>
          <cell r="I51">
            <v>0</v>
          </cell>
          <cell r="J51">
            <v>0</v>
          </cell>
          <cell r="L51">
            <v>2223.2142857142853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4560</v>
          </cell>
          <cell r="I52">
            <v>0</v>
          </cell>
          <cell r="J52">
            <v>0</v>
          </cell>
          <cell r="L52">
            <v>4560</v>
          </cell>
        </row>
        <row r="53">
          <cell r="C53">
            <v>22552.372607142854</v>
          </cell>
        </row>
        <row r="54">
          <cell r="C54">
            <v>720</v>
          </cell>
        </row>
        <row r="55">
          <cell r="E55">
            <v>127.42710606236093</v>
          </cell>
          <cell r="F55">
            <v>199.61028182786703</v>
          </cell>
          <cell r="G55">
            <v>591.89151146599932</v>
          </cell>
          <cell r="H55">
            <v>140.37444524566001</v>
          </cell>
          <cell r="I55">
            <v>258.37224027922036</v>
          </cell>
          <cell r="J55">
            <v>30.323008868892011</v>
          </cell>
          <cell r="L55">
            <v>990.63819699087969</v>
          </cell>
        </row>
        <row r="56">
          <cell r="C56">
            <v>56064</v>
          </cell>
        </row>
        <row r="57">
          <cell r="C57">
            <v>599.3850000000001</v>
          </cell>
        </row>
        <row r="58">
          <cell r="C58">
            <v>1974.2999999999995</v>
          </cell>
        </row>
        <row r="59">
          <cell r="C59">
            <v>9240</v>
          </cell>
        </row>
        <row r="60">
          <cell r="C60">
            <v>10183.257142857141</v>
          </cell>
        </row>
        <row r="61">
          <cell r="C61">
            <v>375.28928571428565</v>
          </cell>
        </row>
        <row r="62">
          <cell r="C62">
            <v>41712.393749999996</v>
          </cell>
        </row>
        <row r="63">
          <cell r="C63">
            <v>4157.7245149999999</v>
          </cell>
        </row>
        <row r="64">
          <cell r="C64">
            <v>0</v>
          </cell>
        </row>
        <row r="65">
          <cell r="C65">
            <v>2880.9999999999995</v>
          </cell>
        </row>
        <row r="66">
          <cell r="E66">
            <v>0</v>
          </cell>
          <cell r="F66">
            <v>0</v>
          </cell>
          <cell r="G66">
            <v>1284</v>
          </cell>
          <cell r="H66">
            <v>0</v>
          </cell>
          <cell r="I66">
            <v>0</v>
          </cell>
          <cell r="J66">
            <v>0</v>
          </cell>
          <cell r="L66">
            <v>1284</v>
          </cell>
        </row>
        <row r="67">
          <cell r="E67">
            <v>0</v>
          </cell>
          <cell r="F67">
            <v>0</v>
          </cell>
          <cell r="G67">
            <v>87829.68857142856</v>
          </cell>
          <cell r="H67">
            <v>43914.84428571428</v>
          </cell>
          <cell r="I67">
            <v>87829.68857142856</v>
          </cell>
          <cell r="J67">
            <v>0</v>
          </cell>
          <cell r="L67">
            <v>219574.22142857141</v>
          </cell>
        </row>
        <row r="69">
          <cell r="C69">
            <v>24630.262846479996</v>
          </cell>
        </row>
        <row r="71">
          <cell r="E71">
            <v>32.504718768587239</v>
          </cell>
          <cell r="F71">
            <v>50.707426620822901</v>
          </cell>
          <cell r="G71">
            <v>57.249726787752543</v>
          </cell>
          <cell r="H71">
            <v>29.569178458210104</v>
          </cell>
          <cell r="I71">
            <v>51.802778601748464</v>
          </cell>
          <cell r="J71">
            <v>6.6706804988787098</v>
          </cell>
          <cell r="L71">
            <v>138.6216838477111</v>
          </cell>
        </row>
        <row r="72">
          <cell r="E72">
            <v>27.386056270961983</v>
          </cell>
          <cell r="F72">
            <v>41.612665629452472</v>
          </cell>
          <cell r="G72">
            <v>0</v>
          </cell>
          <cell r="H72">
            <v>7.3878766835855387</v>
          </cell>
          <cell r="I72">
            <v>0</v>
          </cell>
          <cell r="J72">
            <v>72.542000000000002</v>
          </cell>
          <cell r="L72">
            <v>7.3878766835855387</v>
          </cell>
        </row>
        <row r="73">
          <cell r="C73">
            <v>4257.4697088000003</v>
          </cell>
        </row>
        <row r="74">
          <cell r="C74">
            <v>1120.886</v>
          </cell>
        </row>
        <row r="76">
          <cell r="C76">
            <v>1947.0000000000002</v>
          </cell>
        </row>
        <row r="77">
          <cell r="C77">
            <v>1455</v>
          </cell>
        </row>
        <row r="78">
          <cell r="C78">
            <v>1079.6035714285713</v>
          </cell>
        </row>
        <row r="79">
          <cell r="C79">
            <v>319.07734806629838</v>
          </cell>
        </row>
        <row r="80">
          <cell r="E80">
            <v>10.6070431084537</v>
          </cell>
          <cell r="F80">
            <v>16.348645643924584</v>
          </cell>
          <cell r="G80">
            <v>10.05935718592646</v>
          </cell>
          <cell r="H80">
            <v>6.5162889923676834</v>
          </cell>
          <cell r="I80">
            <v>9.1022731883138981</v>
          </cell>
          <cell r="J80">
            <v>1.17210616672795</v>
          </cell>
          <cell r="L80">
            <v>25.677919366608041</v>
          </cell>
        </row>
        <row r="81">
          <cell r="C81">
            <v>3363.9782603333329</v>
          </cell>
        </row>
        <row r="82">
          <cell r="C82">
            <v>5638.1570000000002</v>
          </cell>
        </row>
        <row r="83">
          <cell r="C83">
            <v>0</v>
          </cell>
        </row>
        <row r="84">
          <cell r="C84">
            <v>7555.9349999999995</v>
          </cell>
        </row>
        <row r="85">
          <cell r="C85">
            <v>8757.2819999999992</v>
          </cell>
        </row>
        <row r="86">
          <cell r="C86">
            <v>871.2</v>
          </cell>
        </row>
        <row r="87">
          <cell r="C87">
            <v>3605.5003167014129</v>
          </cell>
        </row>
        <row r="88">
          <cell r="C88">
            <v>6382.8595199999982</v>
          </cell>
        </row>
        <row r="89">
          <cell r="C89">
            <v>312.42857142857144</v>
          </cell>
        </row>
        <row r="90">
          <cell r="E90">
            <v>7.3057513109581224E-2</v>
          </cell>
          <cell r="F90">
            <v>0.11861744362886288</v>
          </cell>
          <cell r="G90">
            <v>0.33069788334891864</v>
          </cell>
          <cell r="H90">
            <v>0.13986049722868971</v>
          </cell>
          <cell r="I90">
            <v>0.29923407842106464</v>
          </cell>
          <cell r="J90">
            <v>3.8532584262882877E-2</v>
          </cell>
        </row>
        <row r="92">
          <cell r="E92">
            <v>0.44306471617732801</v>
          </cell>
          <cell r="F92">
            <v>0.31325759293398353</v>
          </cell>
          <cell r="G92">
            <v>0.20563876946195908</v>
          </cell>
          <cell r="H92">
            <v>1.8231114779979334E-2</v>
          </cell>
          <cell r="I92">
            <v>1.6054947672862693E-2</v>
          </cell>
          <cell r="J92">
            <v>3.7528589738874203E-3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H3">
            <v>0.3585191221840619</v>
          </cell>
          <cell r="I3">
            <v>0.54476395599278193</v>
          </cell>
          <cell r="J3">
            <v>0</v>
          </cell>
          <cell r="K3">
            <v>9.6716921823156166E-2</v>
          </cell>
          <cell r="L3">
            <v>0</v>
          </cell>
          <cell r="M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АУП"/>
      <sheetName val="ФОТ"/>
      <sheetName val="ШР (2)"/>
      <sheetName val="3 сетка (3)"/>
      <sheetName val="3 сетка (2)"/>
      <sheetName val="ШР"/>
      <sheetName val="ШР (3)"/>
      <sheetName val="сетка оплаты"/>
      <sheetName val="БРВ"/>
      <sheetName val="Мед.страх."/>
      <sheetName val="расч.МС"/>
      <sheetName val="Аморт."/>
      <sheetName val="ОС"/>
      <sheetName val="ОС-3"/>
      <sheetName val="ОС-1"/>
      <sheetName val="Аморт.факт17г."/>
      <sheetName val="Стор.орг."/>
      <sheetName val="Конс.,инф.усл."/>
      <sheetName val="Усл.банка"/>
      <sheetName val="Прейск.НБ"/>
      <sheetName val="Связь"/>
      <sheetName val="Нормы связи"/>
      <sheetName val="Команд."/>
      <sheetName val="План команд."/>
      <sheetName val="Свод налогов"/>
      <sheetName val="Нал.на эмис."/>
      <sheetName val="Нал.на трансп."/>
      <sheetName val="Аренда помещ."/>
      <sheetName val="Подг.кадров"/>
      <sheetName val="Период.подг."/>
      <sheetName val="Свод страхов."/>
      <sheetName val="Страх.ТС"/>
      <sheetName val="Страх.работ."/>
      <sheetName val="Расчет0,56%"/>
      <sheetName val="Свод др.расх."/>
      <sheetName val="Разр.техдок.ждп"/>
      <sheetName val="Нотар."/>
      <sheetName val="Тар.Нотар.пал."/>
      <sheetName val="Обуч.ОТиТБ"/>
      <sheetName val="нормыТБ"/>
      <sheetName val="Спецод."/>
      <sheetName val="Расч.спецод"/>
      <sheetName val="расч.спецод.-полн."/>
      <sheetName val="Сопр.1С"/>
      <sheetName val="Блан.прод."/>
      <sheetName val="Канц.тов."/>
      <sheetName val="Свод.канц."/>
      <sheetName val="Расч.канц."/>
      <sheetName val="Период.печать"/>
      <sheetName val="Кур.усл."/>
      <sheetName val="Объяв.в газету"/>
      <sheetName val="Оргтехн."/>
      <sheetName val="Норм.оргтехн."/>
      <sheetName val="Зап.картр."/>
      <sheetName val="Норма запр."/>
      <sheetName val="Сод.служ.авто"/>
      <sheetName val="Запчасти авто"/>
      <sheetName val="Норм.з.ч."/>
      <sheetName val="Тобсл.авто"/>
      <sheetName val="Тосм.авто"/>
      <sheetName val="СводГСМ"/>
      <sheetName val="Бенз."/>
      <sheetName val="Сут.пробег"/>
      <sheetName val="Nбенз."/>
      <sheetName val="Хроном."/>
      <sheetName val="Масло"/>
      <sheetName val="Nмасла"/>
      <sheetName val="Аттест."/>
      <sheetName val="Пер.аттест."/>
      <sheetName val="Медосм."/>
      <sheetName val="Пер.медосм."/>
      <sheetName val="Мыло"/>
      <sheetName val="Сп.мыло"/>
      <sheetName val="Хоз.товары"/>
      <sheetName val="Питание"/>
      <sheetName val="штампы и печати"/>
      <sheetName val="Пер.хоз."/>
      <sheetName val="%по кредиту"/>
      <sheetName val="Банк"/>
      <sheetName val="расчет ДУП"/>
      <sheetName val="ДУП"/>
      <sheetName val="ДУП (2)"/>
    </sheetNames>
    <sheetDataSet>
      <sheetData sheetId="0" refreshError="1">
        <row r="12">
          <cell r="E12">
            <v>9610.0834637319331</v>
          </cell>
          <cell r="F12">
            <v>15603.097956784859</v>
          </cell>
        </row>
        <row r="13">
          <cell r="E13">
            <v>951.39826290946155</v>
          </cell>
          <cell r="F13">
            <v>1544.7066977217012</v>
          </cell>
        </row>
        <row r="14">
          <cell r="C14">
            <v>623.15316000000007</v>
          </cell>
        </row>
        <row r="15">
          <cell r="C15">
            <v>5232.0325435000004</v>
          </cell>
        </row>
        <row r="18">
          <cell r="C18">
            <v>18023.565714285716</v>
          </cell>
        </row>
        <row r="19">
          <cell r="C19">
            <v>4719.92</v>
          </cell>
        </row>
        <row r="21">
          <cell r="C21">
            <v>2845.3263474285718</v>
          </cell>
        </row>
        <row r="22">
          <cell r="C22">
            <v>11410.545</v>
          </cell>
        </row>
        <row r="23">
          <cell r="C23">
            <v>0</v>
          </cell>
        </row>
        <row r="25">
          <cell r="C25">
            <v>6.3196187999999998</v>
          </cell>
        </row>
        <row r="26">
          <cell r="C26">
            <v>8.1369999999999987</v>
          </cell>
        </row>
        <row r="27">
          <cell r="C27">
            <v>0</v>
          </cell>
        </row>
        <row r="28">
          <cell r="C28">
            <v>903.125</v>
          </cell>
        </row>
        <row r="30">
          <cell r="C30">
            <v>29.084922371999994</v>
          </cell>
        </row>
        <row r="31">
          <cell r="C31">
            <v>267.49215360000005</v>
          </cell>
        </row>
        <row r="34">
          <cell r="C34">
            <v>1089.1200000000001</v>
          </cell>
        </row>
        <row r="35">
          <cell r="C35">
            <v>158</v>
          </cell>
        </row>
        <row r="36">
          <cell r="C36">
            <v>463.51599999999996</v>
          </cell>
        </row>
        <row r="37">
          <cell r="C37">
            <v>2749.6089285714284</v>
          </cell>
        </row>
        <row r="38">
          <cell r="C38">
            <v>69.399999999999977</v>
          </cell>
        </row>
        <row r="39">
          <cell r="C39">
            <v>1457.6374999999998</v>
          </cell>
        </row>
        <row r="40">
          <cell r="C40">
            <v>438.8703999999999</v>
          </cell>
        </row>
        <row r="41">
          <cell r="C41">
            <v>1899.876</v>
          </cell>
        </row>
        <row r="42">
          <cell r="C42">
            <v>6026.7857142857138</v>
          </cell>
        </row>
        <row r="43">
          <cell r="C43">
            <v>281.31712707182322</v>
          </cell>
        </row>
        <row r="44">
          <cell r="C44">
            <v>15.722651933701659</v>
          </cell>
        </row>
        <row r="45">
          <cell r="C45">
            <v>1606.6637374617144</v>
          </cell>
        </row>
        <row r="49">
          <cell r="C49">
            <v>210</v>
          </cell>
        </row>
        <row r="50">
          <cell r="C50">
            <v>93.500000000000014</v>
          </cell>
        </row>
        <row r="51">
          <cell r="C51">
            <v>207.94168329858695</v>
          </cell>
        </row>
        <row r="54">
          <cell r="C54">
            <v>3060384.8732380006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>
        <row r="5">
          <cell r="F5">
            <v>3621139974.9052768</v>
          </cell>
        </row>
      </sheetData>
      <sheetData sheetId="8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ПЗ"/>
      <sheetName val="мат.ЭЧ"/>
      <sheetName val="мат.СЦБ"/>
      <sheetName val="мат.СЦБ+Тендык"/>
      <sheetName val="мат.ПЧ"/>
      <sheetName val="мат.ПЧ+Тендык"/>
      <sheetName val="Вед.пути"/>
      <sheetName val="мат.ВЧ (ПТО)полный"/>
      <sheetName val="мат.ВЧ (ПТО)"/>
      <sheetName val="мат.ВЧ (ТОР)"/>
      <sheetName val="мат.ЛЧ"/>
      <sheetName val="эл.матер."/>
      <sheetName val="норма эл.мат."/>
      <sheetName val="вар-2"/>
      <sheetName val="з.ч.авто"/>
      <sheetName val="норм.з.ч."/>
      <sheetName val="з.ч.орг."/>
      <sheetName val="оргтехн."/>
      <sheetName val="спецод.по факту"/>
      <sheetName val="спецод.расч.по факту-всего"/>
      <sheetName val="спецод.расч.по факту"/>
      <sheetName val="спецод."/>
      <sheetName val="расч.спецод.-ПП"/>
      <sheetName val="расч.спецод.-полн."/>
      <sheetName val="снегобор."/>
      <sheetName val="блан.прод."/>
      <sheetName val="сводГСМ"/>
      <sheetName val="топл."/>
      <sheetName val="ГСМ по видам трансп."/>
      <sheetName val="пробег"/>
      <sheetName val="Nдиз."/>
      <sheetName val="ДТ (тепл)"/>
      <sheetName val="Nбенз."/>
      <sheetName val="масло"/>
      <sheetName val="Nмасла"/>
      <sheetName val="масло (тепл)"/>
      <sheetName val="эл.энер."/>
      <sheetName val="мощн.Пром."/>
      <sheetName val="эл.энер.Тенд"/>
      <sheetName val="мощн.Тенд"/>
      <sheetName val="мощн.Пром.АНПЗ"/>
      <sheetName val="ФОТ"/>
      <sheetName val="ШР"/>
      <sheetName val="ШР (2)"/>
      <sheetName val="сетка оплаты"/>
      <sheetName val="БРВ "/>
      <sheetName val="ОППВ"/>
      <sheetName val="пер.ОППВ"/>
      <sheetName val="мед.страх."/>
      <sheetName val="расч.МС"/>
      <sheetName val="аморт."/>
      <sheetName val="ОС"/>
      <sheetName val="ОС-3"/>
      <sheetName val="ОС-2"/>
      <sheetName val="ОС-1"/>
      <sheetName val="аморт-свод"/>
      <sheetName val="вед.аморт."/>
      <sheetName val="рем.свод"/>
      <sheetName val="рем.тепл."/>
      <sheetName val="рем.МПТ"/>
      <sheetName val="связь"/>
      <sheetName val="нормы связи"/>
      <sheetName val="подг.кадров"/>
      <sheetName val="период.подг."/>
      <sheetName val="команд.произв."/>
      <sheetName val="план команд."/>
      <sheetName val="план команд.АУП+ПП"/>
      <sheetName val="свод налог"/>
      <sheetName val="зем.нал."/>
      <sheetName val="нал.имущ."/>
      <sheetName val="нал.имущ.с лок."/>
      <sheetName val="нал.трансп."/>
      <sheetName val="эмиссия"/>
      <sheetName val="эмиссия от стац.ист."/>
      <sheetName val="радиочаст.спектр "/>
      <sheetName val="св.услуг стор.орг."/>
      <sheetName val="тех.док."/>
      <sheetName val="ТО АЛСН,РВ"/>
      <sheetName val="ТОавто и др.мех."/>
      <sheetName val="ТСпути,СП"/>
      <sheetName val="ТОустр.СЦБ"/>
      <sheetName val="ТО УЗОТ"/>
      <sheetName val="слежение"/>
      <sheetName val="ТОэнерго"/>
      <sheetName val="турникет"/>
      <sheetName val="поверка"/>
      <sheetName val="маном."/>
      <sheetName val="охр."/>
      <sheetName val=" метеорол."/>
      <sheetName val="пред.пожара"/>
      <sheetName val="видео+пож.сигн."/>
      <sheetName val="вентил."/>
      <sheetName val="ТОгаз"/>
      <sheetName val="насос+компр."/>
      <sheetName val="ТОздан."/>
      <sheetName val="рем.здан."/>
      <sheetName val="ТОздан.закуп"/>
      <sheetName val="мед.осмотр"/>
      <sheetName val="пер.медосм."/>
      <sheetName val="аренда пом."/>
      <sheetName val="аренда тепл."/>
      <sheetName val="аренда тепл.4100"/>
      <sheetName val="ком.усл."/>
      <sheetName val="ком.усл.Тенд"/>
      <sheetName val="св.страхов."/>
      <sheetName val="обяз.страх.ТС"/>
      <sheetName val="добр.страх."/>
      <sheetName val="расч.от Казинстрах"/>
      <sheetName val="страх.работ."/>
      <sheetName val="расч.0,56"/>
      <sheetName val="страх.экологии"/>
      <sheetName val="др.затраты"/>
      <sheetName val="обуч.ОТиТБ"/>
      <sheetName val="период.ОТиТБ"/>
      <sheetName val="аттест.раб.мест"/>
      <sheetName val="пер.аттест."/>
      <sheetName val="огнетуш."/>
      <sheetName val="пер.огнет."/>
      <sheetName val="запр.картр."/>
      <sheetName val="норма запр."/>
      <sheetName val="Тосм.авто"/>
      <sheetName val="опас.отходы"/>
      <sheetName val="канц.тов."/>
      <sheetName val="свод.канц."/>
      <sheetName val="расч.канц."/>
      <sheetName val="питание"/>
      <sheetName val="мол+мыло"/>
      <sheetName val="сп.мол."/>
      <sheetName val="сп.мыло"/>
      <sheetName val="мед.издел."/>
      <sheetName val="лекар."/>
      <sheetName val="лекар. закуп"/>
      <sheetName val="медапт."/>
      <sheetName val="крем"/>
      <sheetName val="вода"/>
      <sheetName val="хоз.тов."/>
      <sheetName val="пер.хоз."/>
      <sheetName val="СЭС"/>
      <sheetName val="дезинф."/>
      <sheetName val="площ."/>
      <sheetName val="стоки"/>
    </sheetNames>
    <sheetDataSet>
      <sheetData sheetId="0">
        <row r="11">
          <cell r="C11">
            <v>806.75099999999998</v>
          </cell>
        </row>
        <row r="12">
          <cell r="E12">
            <v>112.51202384171123</v>
          </cell>
          <cell r="F12">
            <v>4237.1046492823352</v>
          </cell>
          <cell r="L12">
            <v>987.81436569940035</v>
          </cell>
        </row>
        <row r="13">
          <cell r="C13">
            <v>29338.055386615877</v>
          </cell>
        </row>
        <row r="14">
          <cell r="G14">
            <v>2997.8150000000001</v>
          </cell>
          <cell r="J14">
            <v>334.54450000000003</v>
          </cell>
        </row>
        <row r="15">
          <cell r="L15">
            <v>30488.188357142855</v>
          </cell>
        </row>
        <row r="16">
          <cell r="C16">
            <v>1681.6496399999999</v>
          </cell>
        </row>
        <row r="17">
          <cell r="E17">
            <v>575.18565974657213</v>
          </cell>
          <cell r="F17">
            <v>907.81433677054122</v>
          </cell>
          <cell r="J17">
            <v>39.431514251467881</v>
          </cell>
          <cell r="L17">
            <v>3740.0940042314164</v>
          </cell>
        </row>
        <row r="18">
          <cell r="C18">
            <v>2818.8024861878453</v>
          </cell>
        </row>
        <row r="19">
          <cell r="C19">
            <v>21637.560158730161</v>
          </cell>
        </row>
        <row r="20">
          <cell r="E20">
            <v>5258.9285714285706</v>
          </cell>
        </row>
        <row r="21">
          <cell r="E21">
            <v>395.6941025041138</v>
          </cell>
          <cell r="F21">
            <v>642.45579818264707</v>
          </cell>
          <cell r="J21">
            <v>304.30018288462634</v>
          </cell>
          <cell r="L21">
            <v>4653.1499164286133</v>
          </cell>
        </row>
        <row r="23">
          <cell r="E23">
            <v>4744.6514560327087</v>
          </cell>
          <cell r="F23">
            <v>7243.2554108919412</v>
          </cell>
          <cell r="J23">
            <v>171.37147850835498</v>
          </cell>
          <cell r="L23">
            <v>275852.44247456698</v>
          </cell>
        </row>
        <row r="24">
          <cell r="E24">
            <v>4066.3303342732629</v>
          </cell>
          <cell r="F24">
            <v>6198.3896876889303</v>
          </cell>
          <cell r="J24">
            <v>99.612188808543962</v>
          </cell>
          <cell r="L24">
            <v>12607.237755297083</v>
          </cell>
        </row>
        <row r="25">
          <cell r="E25">
            <v>1329.408609269457</v>
          </cell>
          <cell r="F25">
            <v>2020.014689048257</v>
          </cell>
          <cell r="J25">
            <v>196.10436599999997</v>
          </cell>
          <cell r="L25">
            <v>58303.043415682296</v>
          </cell>
        </row>
        <row r="28">
          <cell r="E28">
            <v>95890.776263006876</v>
          </cell>
          <cell r="F28">
            <v>136333.47497875191</v>
          </cell>
          <cell r="J28">
            <v>65243.642265762763</v>
          </cell>
          <cell r="L28">
            <v>776447.3392924784</v>
          </cell>
        </row>
        <row r="29">
          <cell r="E29">
            <v>9493.1868500376822</v>
          </cell>
          <cell r="F29">
            <v>13497.014022896439</v>
          </cell>
          <cell r="J29">
            <v>6459.1205843105136</v>
          </cell>
          <cell r="L29">
            <v>76868.286589955358</v>
          </cell>
        </row>
        <row r="30">
          <cell r="J30">
            <v>328.63920000000002</v>
          </cell>
          <cell r="L30">
            <v>7976.9592000000002</v>
          </cell>
        </row>
        <row r="31">
          <cell r="C31">
            <v>7869.0340800000004</v>
          </cell>
        </row>
        <row r="32">
          <cell r="E32">
            <v>895527.52671471401</v>
          </cell>
          <cell r="F32">
            <v>736461.054635223</v>
          </cell>
          <cell r="J32">
            <v>9391.1257335300597</v>
          </cell>
          <cell r="L32">
            <v>579338.61477020709</v>
          </cell>
        </row>
        <row r="36">
          <cell r="C36">
            <v>6258.5412933942862</v>
          </cell>
        </row>
        <row r="37">
          <cell r="C37">
            <v>1398.3066999999996</v>
          </cell>
        </row>
        <row r="38">
          <cell r="C38">
            <v>15026.88236</v>
          </cell>
        </row>
        <row r="40">
          <cell r="C40">
            <v>7049.5699299999997</v>
          </cell>
        </row>
        <row r="41">
          <cell r="C41">
            <v>315666.35143873811</v>
          </cell>
        </row>
        <row r="42">
          <cell r="E42">
            <v>14.227238952021755</v>
          </cell>
          <cell r="F42">
            <v>22.404964494161934</v>
          </cell>
          <cell r="J42">
            <v>10.792617853231292</v>
          </cell>
          <cell r="L42">
            <v>81.42297870058502</v>
          </cell>
        </row>
        <row r="43">
          <cell r="E43">
            <v>441.79944574277499</v>
          </cell>
          <cell r="F43">
            <v>671.69494553287348</v>
          </cell>
          <cell r="J43">
            <v>1.9646646894892064</v>
          </cell>
          <cell r="L43">
            <v>3539.8426682026261</v>
          </cell>
        </row>
        <row r="44">
          <cell r="C44">
            <v>158.83000000000001</v>
          </cell>
        </row>
        <row r="46">
          <cell r="C46">
            <v>5683.5645714285711</v>
          </cell>
        </row>
        <row r="48">
          <cell r="E48">
            <v>2644.130340953177</v>
          </cell>
          <cell r="F48">
            <v>4034.0152170756946</v>
          </cell>
          <cell r="J48">
            <v>2225.426966277606</v>
          </cell>
          <cell r="L48">
            <v>2320.6239042649495</v>
          </cell>
        </row>
        <row r="49">
          <cell r="L49">
            <v>39095.405430428575</v>
          </cell>
        </row>
        <row r="50">
          <cell r="L50">
            <v>1442.808</v>
          </cell>
        </row>
        <row r="51">
          <cell r="L51">
            <v>2223.2142857142853</v>
          </cell>
        </row>
        <row r="52">
          <cell r="L52">
            <v>4560</v>
          </cell>
        </row>
        <row r="53">
          <cell r="C53">
            <v>22552.372607142854</v>
          </cell>
        </row>
        <row r="54">
          <cell r="C54">
            <v>720</v>
          </cell>
        </row>
        <row r="55">
          <cell r="E55">
            <v>127.42710606236093</v>
          </cell>
          <cell r="F55">
            <v>199.61028182786703</v>
          </cell>
          <cell r="J55">
            <v>30.323008868892011</v>
          </cell>
          <cell r="L55">
            <v>990.63819699087969</v>
          </cell>
        </row>
        <row r="56">
          <cell r="C56">
            <v>56064</v>
          </cell>
        </row>
        <row r="57">
          <cell r="C57">
            <v>599.3850000000001</v>
          </cell>
        </row>
        <row r="58">
          <cell r="C58">
            <v>1974.2999999999995</v>
          </cell>
        </row>
        <row r="59">
          <cell r="C59">
            <v>9240</v>
          </cell>
        </row>
        <row r="60">
          <cell r="C60">
            <v>10183.257142857141</v>
          </cell>
        </row>
        <row r="61">
          <cell r="C61">
            <v>375.28928571428565</v>
          </cell>
        </row>
        <row r="62">
          <cell r="C62">
            <v>41712.393749999996</v>
          </cell>
        </row>
        <row r="65">
          <cell r="C65">
            <v>2880.9999999999995</v>
          </cell>
        </row>
        <row r="66">
          <cell r="L66">
            <v>1284</v>
          </cell>
        </row>
        <row r="67">
          <cell r="L67">
            <v>219574.22142857141</v>
          </cell>
        </row>
        <row r="69">
          <cell r="C69">
            <v>24630.262846479996</v>
          </cell>
        </row>
        <row r="71">
          <cell r="E71">
            <v>32.504718768587239</v>
          </cell>
          <cell r="F71">
            <v>50.707426620822901</v>
          </cell>
          <cell r="J71">
            <v>6.6706804988787098</v>
          </cell>
          <cell r="L71">
            <v>138.6216838477111</v>
          </cell>
        </row>
        <row r="72">
          <cell r="E72">
            <v>27.386056270961983</v>
          </cell>
          <cell r="F72">
            <v>41.612665629452472</v>
          </cell>
          <cell r="J72">
            <v>72.542000000000002</v>
          </cell>
          <cell r="L72">
            <v>7.3878766835855387</v>
          </cell>
        </row>
        <row r="73">
          <cell r="C73">
            <v>4257.4697088000003</v>
          </cell>
        </row>
        <row r="74">
          <cell r="C74">
            <v>1120.886</v>
          </cell>
        </row>
        <row r="76">
          <cell r="C76">
            <v>1947.0000000000002</v>
          </cell>
        </row>
        <row r="77">
          <cell r="C77">
            <v>1455</v>
          </cell>
        </row>
        <row r="78">
          <cell r="C78">
            <v>1079.6035714285713</v>
          </cell>
        </row>
        <row r="79">
          <cell r="C79">
            <v>319.07734806629838</v>
          </cell>
        </row>
        <row r="80">
          <cell r="E80">
            <v>10.6070431084537</v>
          </cell>
          <cell r="F80">
            <v>16.348645643924584</v>
          </cell>
          <cell r="J80">
            <v>1.17210616672795</v>
          </cell>
          <cell r="L80">
            <v>25.677919366608041</v>
          </cell>
        </row>
        <row r="81">
          <cell r="C81">
            <v>3363.9782603333329</v>
          </cell>
        </row>
        <row r="82">
          <cell r="C82">
            <v>5638.1570000000002</v>
          </cell>
        </row>
        <row r="84">
          <cell r="C84">
            <v>7555.9349999999995</v>
          </cell>
        </row>
        <row r="85">
          <cell r="C85">
            <v>8757.2819999999992</v>
          </cell>
        </row>
        <row r="86">
          <cell r="C86">
            <v>871.2</v>
          </cell>
        </row>
        <row r="87">
          <cell r="C87">
            <v>3605.5003167014129</v>
          </cell>
        </row>
        <row r="88">
          <cell r="C88">
            <v>6382.8595199999982</v>
          </cell>
        </row>
        <row r="89">
          <cell r="C89">
            <v>312.42857142857144</v>
          </cell>
        </row>
        <row r="90">
          <cell r="E90">
            <v>7.3057513109581224E-2</v>
          </cell>
          <cell r="F90">
            <v>0.11861744362886288</v>
          </cell>
          <cell r="G90">
            <v>0.33069788334891864</v>
          </cell>
          <cell r="H90">
            <v>0.13986049722868971</v>
          </cell>
          <cell r="I90">
            <v>0.29923407842106464</v>
          </cell>
          <cell r="J90">
            <v>3.8532584262882877E-2</v>
          </cell>
        </row>
        <row r="92">
          <cell r="E92">
            <v>0.44306471617732801</v>
          </cell>
          <cell r="F92">
            <v>0.31325759293398353</v>
          </cell>
          <cell r="G92">
            <v>0.20563876946195908</v>
          </cell>
          <cell r="H92">
            <v>1.8231114779979334E-2</v>
          </cell>
          <cell r="I92">
            <v>1.6054947672862693E-2</v>
          </cell>
          <cell r="J92">
            <v>3.7528589738874203E-3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H3">
            <v>0.3585191221840619</v>
          </cell>
          <cell r="I3">
            <v>0.54476395599278193</v>
          </cell>
          <cell r="J3">
            <v>0</v>
          </cell>
          <cell r="K3">
            <v>9.6716921823156166E-2</v>
          </cell>
          <cell r="L3">
            <v>0</v>
          </cell>
          <cell r="M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АУП"/>
      <sheetName val="ФОТ"/>
      <sheetName val="ШР (2)"/>
      <sheetName val="3 сетка (3)"/>
      <sheetName val="3 сетка (2)"/>
      <sheetName val="ШР"/>
      <sheetName val="ШР (3)"/>
      <sheetName val="сетка оплаты"/>
      <sheetName val="БРВ"/>
      <sheetName val="Мед.страх."/>
      <sheetName val="расч.МС"/>
      <sheetName val="Аморт."/>
      <sheetName val="ОС"/>
      <sheetName val="ОС-3"/>
      <sheetName val="ОС-1"/>
      <sheetName val="Аморт.факт17г."/>
      <sheetName val="Стор.орг."/>
      <sheetName val="Конс.,инф.усл."/>
      <sheetName val="Усл.банка"/>
      <sheetName val="Прейск.НБ"/>
      <sheetName val="Связь"/>
      <sheetName val="Нормы связи"/>
      <sheetName val="Команд."/>
      <sheetName val="План команд."/>
      <sheetName val="Свод налогов"/>
      <sheetName val="Нал.на эмис."/>
      <sheetName val="Нал.на трансп."/>
      <sheetName val="Аренда помещ."/>
      <sheetName val="Подг.кадров"/>
      <sheetName val="Период.подг."/>
      <sheetName val="Свод страхов."/>
      <sheetName val="Страх.ТС"/>
      <sheetName val="Страх.работ."/>
      <sheetName val="Расчет0,56%"/>
      <sheetName val="Свод др.расх."/>
      <sheetName val="Разр.техдок.ждп"/>
      <sheetName val="Нотар."/>
      <sheetName val="Тар.Нотар.пал."/>
      <sheetName val="Обуч.ОТиТБ"/>
      <sheetName val="нормыТБ"/>
      <sheetName val="Спецод."/>
      <sheetName val="Расч.спецод"/>
      <sheetName val="расч.спецод.-полн."/>
      <sheetName val="Сопр.1С"/>
      <sheetName val="Блан.прод."/>
      <sheetName val="Канц.тов."/>
      <sheetName val="Свод.канц."/>
      <sheetName val="Расч.канц."/>
      <sheetName val="Период.печать"/>
      <sheetName val="Кур.усл."/>
      <sheetName val="Объяв.в газету"/>
      <sheetName val="Оргтехн."/>
      <sheetName val="Норм.оргтехн."/>
      <sheetName val="Зап.картр."/>
      <sheetName val="Норма запр."/>
      <sheetName val="Сод.служ.авто"/>
      <sheetName val="Запчасти авто"/>
      <sheetName val="Норм.з.ч."/>
      <sheetName val="Тобсл.авто"/>
      <sheetName val="Тосм.авто"/>
      <sheetName val="СводГСМ"/>
      <sheetName val="Бенз."/>
      <sheetName val="Сут.пробег"/>
      <sheetName val="Nбенз."/>
      <sheetName val="Хроном."/>
      <sheetName val="Масло"/>
      <sheetName val="Nмасла"/>
      <sheetName val="Аттест."/>
      <sheetName val="Пер.аттест."/>
      <sheetName val="Медосм."/>
      <sheetName val="Пер.медосм."/>
      <sheetName val="Мыло"/>
      <sheetName val="Сп.мыло"/>
      <sheetName val="Хоз.товары"/>
      <sheetName val="Питание"/>
      <sheetName val="штампы и печати"/>
      <sheetName val="Пер.хоз."/>
      <sheetName val="%по кредиту"/>
      <sheetName val="Банк"/>
      <sheetName val="расчет ДУП"/>
      <sheetName val="ДУП"/>
      <sheetName val="ДУП (2)"/>
    </sheetNames>
    <sheetDataSet>
      <sheetData sheetId="0" refreshError="1">
        <row r="12">
          <cell r="E12">
            <v>9610.0834637319331</v>
          </cell>
          <cell r="F12">
            <v>15603.097956784859</v>
          </cell>
        </row>
        <row r="13">
          <cell r="E13">
            <v>951.39826290946155</v>
          </cell>
          <cell r="F13">
            <v>1544.7066977217012</v>
          </cell>
        </row>
        <row r="14">
          <cell r="C14">
            <v>623.15316000000007</v>
          </cell>
        </row>
        <row r="15">
          <cell r="C15">
            <v>5232.0325435000004</v>
          </cell>
        </row>
        <row r="18">
          <cell r="C18">
            <v>18023.565714285716</v>
          </cell>
        </row>
        <row r="19">
          <cell r="C19">
            <v>4719.92</v>
          </cell>
        </row>
        <row r="21">
          <cell r="C21">
            <v>2845.3263474285718</v>
          </cell>
        </row>
        <row r="22">
          <cell r="C22">
            <v>11410.545</v>
          </cell>
        </row>
        <row r="23">
          <cell r="C23">
            <v>0</v>
          </cell>
        </row>
        <row r="25">
          <cell r="C25">
            <v>6.3196187999999998</v>
          </cell>
        </row>
        <row r="26">
          <cell r="C26">
            <v>8.1369999999999987</v>
          </cell>
        </row>
        <row r="27">
          <cell r="C27">
            <v>0</v>
          </cell>
        </row>
        <row r="28">
          <cell r="C28">
            <v>903.125</v>
          </cell>
        </row>
        <row r="30">
          <cell r="C30">
            <v>29.084922371999994</v>
          </cell>
        </row>
        <row r="31">
          <cell r="C31">
            <v>267.49215360000005</v>
          </cell>
        </row>
        <row r="34">
          <cell r="C34">
            <v>1089.1200000000001</v>
          </cell>
        </row>
        <row r="35">
          <cell r="C35">
            <v>158</v>
          </cell>
        </row>
        <row r="36">
          <cell r="C36">
            <v>463.51599999999996</v>
          </cell>
        </row>
        <row r="37">
          <cell r="C37">
            <v>2749.6089285714284</v>
          </cell>
        </row>
        <row r="38">
          <cell r="C38">
            <v>69.399999999999977</v>
          </cell>
        </row>
        <row r="39">
          <cell r="C39">
            <v>1457.6374999999998</v>
          </cell>
        </row>
        <row r="40">
          <cell r="C40">
            <v>438.8703999999999</v>
          </cell>
        </row>
        <row r="41">
          <cell r="C41">
            <v>1899.876</v>
          </cell>
        </row>
        <row r="42">
          <cell r="C42">
            <v>6026.7857142857138</v>
          </cell>
        </row>
        <row r="43">
          <cell r="C43">
            <v>281.31712707182322</v>
          </cell>
        </row>
        <row r="44">
          <cell r="C44">
            <v>15.722651933701659</v>
          </cell>
        </row>
        <row r="45">
          <cell r="C45">
            <v>1606.6637374617144</v>
          </cell>
        </row>
        <row r="49">
          <cell r="C49">
            <v>210</v>
          </cell>
        </row>
        <row r="50">
          <cell r="C50">
            <v>93.500000000000014</v>
          </cell>
        </row>
        <row r="51">
          <cell r="C51">
            <v>207.94168329858695</v>
          </cell>
        </row>
        <row r="54">
          <cell r="C54">
            <v>3060384.8732380006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>
        <row r="5">
          <cell r="F5">
            <v>3621139974.9052768</v>
          </cell>
        </row>
      </sheetData>
      <sheetData sheetId="8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"/>
      <sheetName val="СВОД"/>
      <sheetName val="2016"/>
      <sheetName val="2017"/>
      <sheetName val="ОПИУ факт "/>
      <sheetName val="ОПУ (сравн)"/>
      <sheetName val="локомотив"/>
      <sheetName val="PL"/>
      <sheetName val="ПП"/>
      <sheetName val="На 1 тонну"/>
      <sheetName val="заказчики"/>
      <sheetName val="Себ-ть (сравн)"/>
      <sheetName val="Адм (сравн)"/>
      <sheetName val="Тех.параметры доходной част (2"/>
      <sheetName val="Тех.параметры доходной част"/>
      <sheetName val="Себ-ть"/>
      <sheetName val="Себ-ть опер"/>
      <sheetName val="Адм"/>
      <sheetName val="Пояснительная"/>
      <sheetName val="Кредиты"/>
      <sheetName val="Диаграммы"/>
      <sheetName val="ТОК"/>
      <sheetName val="Расшифровка статей баланса"/>
      <sheetName val="Строит-во"/>
      <sheetName val="IB"/>
      <sheetName val="ББ"/>
      <sheetName val="ОПиУ"/>
      <sheetName val="ДДС"/>
      <sheetName val="СК"/>
      <sheetName val="Коэффициенты"/>
      <sheetName val="ОПИУ 1С (2)"/>
      <sheetName val="ОПИУ факт 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AV42">
            <v>256839195.04292598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6">
          <cell r="BA6">
            <v>368250608.24335104</v>
          </cell>
        </row>
      </sheetData>
      <sheetData sheetId="16" refreshError="1"/>
      <sheetData sheetId="17">
        <row r="7">
          <cell r="BA7">
            <v>12113109</v>
          </cell>
        </row>
      </sheetData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FES"/>
      <sheetName val="ЦХЛ 2004"/>
      <sheetName val="Treatmen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FES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ЦХЛ 2004"/>
      <sheetName val="А_Газ"/>
      <sheetName val="ФП"/>
      <sheetName val="AVANCT caissier"/>
      <sheetName val="Destinataire caissier"/>
      <sheetName val="PFA caissier"/>
      <sheetName val="list"/>
      <sheetName val="Начисления процентов"/>
      <sheetName val="ДС М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21">
          <cell r="I21">
            <v>2003</v>
          </cell>
        </row>
        <row r="32">
          <cell r="I32">
            <v>1.4999999999999999E-2</v>
          </cell>
        </row>
        <row r="63">
          <cell r="E63" t="str">
            <v>Total Revenue</v>
          </cell>
          <cell r="I63">
            <v>1.2E-2</v>
          </cell>
        </row>
        <row r="64">
          <cell r="I64">
            <v>0</v>
          </cell>
        </row>
        <row r="67">
          <cell r="I67">
            <v>360</v>
          </cell>
        </row>
        <row r="299">
          <cell r="I299">
            <v>0.02</v>
          </cell>
        </row>
        <row r="303">
          <cell r="I303">
            <v>0.05</v>
          </cell>
        </row>
        <row r="304">
          <cell r="I304">
            <v>0.1</v>
          </cell>
        </row>
        <row r="305">
          <cell r="I305">
            <v>0.125</v>
          </cell>
        </row>
        <row r="311">
          <cell r="I311">
            <v>0.35</v>
          </cell>
        </row>
        <row r="312">
          <cell r="I312">
            <v>0.4</v>
          </cell>
        </row>
        <row r="319">
          <cell r="I319">
            <v>0.03</v>
          </cell>
        </row>
        <row r="320">
          <cell r="I320">
            <v>0.03</v>
          </cell>
        </row>
        <row r="321">
          <cell r="I321">
            <v>0.03</v>
          </cell>
        </row>
        <row r="322">
          <cell r="I322">
            <v>0.03</v>
          </cell>
        </row>
        <row r="323">
          <cell r="I323">
            <v>0.03</v>
          </cell>
        </row>
        <row r="324">
          <cell r="I324" t="str">
            <v>Total Revenue</v>
          </cell>
        </row>
        <row r="334">
          <cell r="I334">
            <v>2005</v>
          </cell>
        </row>
        <row r="338">
          <cell r="I338">
            <v>0</v>
          </cell>
        </row>
        <row r="339">
          <cell r="I339">
            <v>0</v>
          </cell>
        </row>
        <row r="341">
          <cell r="I341">
            <v>26800000</v>
          </cell>
        </row>
        <row r="342">
          <cell r="I342">
            <v>1</v>
          </cell>
        </row>
        <row r="343">
          <cell r="I343">
            <v>0</v>
          </cell>
        </row>
        <row r="346">
          <cell r="I346">
            <v>0.1</v>
          </cell>
        </row>
        <row r="348">
          <cell r="I348">
            <v>0.06</v>
          </cell>
        </row>
        <row r="351">
          <cell r="I351">
            <v>2008</v>
          </cell>
        </row>
        <row r="352">
          <cell r="I352">
            <v>0.05</v>
          </cell>
        </row>
        <row r="355">
          <cell r="I355">
            <v>111000000</v>
          </cell>
        </row>
        <row r="356">
          <cell r="I356">
            <v>50</v>
          </cell>
        </row>
        <row r="357">
          <cell r="I357" t="str">
            <v>Straight Line Method</v>
          </cell>
        </row>
        <row r="359">
          <cell r="I359">
            <v>0</v>
          </cell>
        </row>
        <row r="360">
          <cell r="I360">
            <v>0</v>
          </cell>
        </row>
      </sheetData>
      <sheetData sheetId="3" refreshError="1"/>
      <sheetData sheetId="4" refreshError="1"/>
      <sheetData sheetId="5" refreshError="1">
        <row r="5">
          <cell r="A5" t="str">
            <v>OPERATING 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</sheetData>
      <sheetData sheetId="6" refreshError="1"/>
      <sheetData sheetId="7" refreshError="1"/>
      <sheetData sheetId="8" refreshError="1"/>
      <sheetData sheetId="9" refreshError="1">
        <row r="5">
          <cell r="A5" t="str">
            <v>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  <row r="14">
          <cell r="A14" t="str">
            <v>Expected # Room Nights Occupied</v>
          </cell>
          <cell r="C14">
            <v>69509.376000000004</v>
          </cell>
          <cell r="E14">
            <v>76491.360000000001</v>
          </cell>
          <cell r="G14">
            <v>85410</v>
          </cell>
          <cell r="I14">
            <v>86724.000000000015</v>
          </cell>
          <cell r="K14">
            <v>88038.000000000015</v>
          </cell>
          <cell r="M14">
            <v>90914.4</v>
          </cell>
          <cell r="O14">
            <v>90665.999999999985</v>
          </cell>
          <cell r="Q14">
            <v>90665.999999999985</v>
          </cell>
          <cell r="S14">
            <v>90665.999999999985</v>
          </cell>
          <cell r="U14">
            <v>90914.4</v>
          </cell>
          <cell r="W14">
            <v>859999.53600000008</v>
          </cell>
        </row>
        <row r="23">
          <cell r="A23" t="str">
            <v>Total Rooms Department Revenue</v>
          </cell>
          <cell r="C23">
            <v>8821772.5883200001</v>
          </cell>
          <cell r="E23">
            <v>10681370.956992</v>
          </cell>
          <cell r="G23">
            <v>12456706.991044</v>
          </cell>
          <cell r="I23">
            <v>12995073.410554422</v>
          </cell>
          <cell r="K23">
            <v>13374749.731587173</v>
          </cell>
          <cell r="M23">
            <v>14001972.279588018</v>
          </cell>
          <cell r="O23">
            <v>14167008.962514672</v>
          </cell>
          <cell r="Q23">
            <v>14378954.096952392</v>
          </cell>
          <cell r="S23">
            <v>14586973.408406677</v>
          </cell>
          <cell r="U23">
            <v>14837255.784901358</v>
          </cell>
        </row>
      </sheetData>
      <sheetData sheetId="10" refreshError="1">
        <row r="11">
          <cell r="A11" t="str">
            <v>TOTAL F&amp;B REVENUE</v>
          </cell>
          <cell r="C11">
            <v>4852167.5384349991</v>
          </cell>
          <cell r="E11">
            <v>5459743.5150966225</v>
          </cell>
          <cell r="G11">
            <v>5921935.524764983</v>
          </cell>
          <cell r="I11">
            <v>6315220.7562610591</v>
          </cell>
          <cell r="K11">
            <v>6450607.1977912989</v>
          </cell>
          <cell r="M11">
            <v>6647145.3640557677</v>
          </cell>
          <cell r="O11">
            <v>6729326.9229152948</v>
          </cell>
          <cell r="Q11">
            <v>6830266.8267590236</v>
          </cell>
          <cell r="S11">
            <v>6932720.8291604072</v>
          </cell>
          <cell r="U11">
            <v>7055037.805114734</v>
          </cell>
        </row>
      </sheetData>
      <sheetData sheetId="11" refreshError="1">
        <row r="19">
          <cell r="A19" t="str">
            <v>TOTAL Revenue OOD</v>
          </cell>
          <cell r="C19">
            <v>1104131.4068080001</v>
          </cell>
          <cell r="E19">
            <v>1229910.6032876996</v>
          </cell>
          <cell r="G19">
            <v>1378052.3851899798</v>
          </cell>
          <cell r="I19">
            <v>1412645.2223179287</v>
          </cell>
          <cell r="K19">
            <v>1447897.4655375881</v>
          </cell>
          <cell r="M19">
            <v>1507159.4257211145</v>
          </cell>
          <cell r="O19">
            <v>1520427.54408945</v>
          </cell>
          <cell r="Q19">
            <v>1537894.4110513132</v>
          </cell>
          <cell r="S19">
            <v>1555621.0442741071</v>
          </cell>
          <cell r="U19">
            <v>1577741.2435802433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E193"/>
  <sheetViews>
    <sheetView zoomScale="60" zoomScaleNormal="60" workbookViewId="0">
      <pane xSplit="3" ySplit="6" topLeftCell="D7" activePane="bottomRight" state="frozen"/>
      <selection pane="topRight" activeCell="D1" sqref="D1"/>
      <selection pane="bottomLeft" activeCell="A6" sqref="A6"/>
      <selection pane="bottomRight" activeCell="N140" sqref="N140"/>
    </sheetView>
  </sheetViews>
  <sheetFormatPr defaultColWidth="9.140625" defaultRowHeight="20.25" outlineLevelRow="1"/>
  <cols>
    <col min="1" max="1" width="8.28515625" style="80" customWidth="1"/>
    <col min="2" max="2" width="52.42578125" style="1" customWidth="1"/>
    <col min="3" max="3" width="4.28515625" style="1" hidden="1" customWidth="1"/>
    <col min="4" max="4" width="16.28515625" style="37" customWidth="1"/>
    <col min="5" max="5" width="16.140625" style="37" customWidth="1"/>
    <col min="6" max="6" width="15.7109375" style="37" customWidth="1"/>
    <col min="7" max="7" width="16" style="37" customWidth="1"/>
    <col min="8" max="8" width="13.140625" style="41" customWidth="1"/>
    <col min="9" max="9" width="14.42578125" style="37" customWidth="1"/>
    <col min="10" max="10" width="14" style="1" customWidth="1"/>
    <col min="11" max="11" width="4.42578125" style="1" customWidth="1"/>
    <col min="12" max="12" width="3" style="1" customWidth="1"/>
    <col min="13" max="13" width="17" style="37" customWidth="1"/>
    <col min="14" max="14" width="16.5703125" style="37" customWidth="1"/>
    <col min="15" max="15" width="15.28515625" style="37" customWidth="1"/>
    <col min="16" max="16" width="15.140625" style="37" customWidth="1"/>
    <col min="17" max="17" width="14.85546875" style="41" customWidth="1"/>
    <col min="18" max="18" width="14.5703125" style="37" customWidth="1"/>
    <col min="19" max="19" width="13.42578125" style="1" customWidth="1"/>
    <col min="20" max="20" width="7.28515625" style="1" customWidth="1"/>
    <col min="21" max="21" width="14.28515625" style="37" hidden="1" customWidth="1"/>
    <col min="22" max="22" width="7.42578125" style="1" hidden="1" customWidth="1"/>
    <col min="23" max="23" width="11.140625" style="1" hidden="1" customWidth="1"/>
    <col min="24" max="24" width="15.42578125" style="1" hidden="1" customWidth="1"/>
    <col min="25" max="25" width="16.85546875" style="1" customWidth="1"/>
    <col min="26" max="31" width="14.140625" style="1" customWidth="1"/>
    <col min="32" max="32" width="16.140625" style="1" customWidth="1"/>
    <col min="33" max="42" width="4.42578125" style="1" customWidth="1"/>
    <col min="43" max="45" width="4.42578125" style="1" hidden="1" customWidth="1"/>
    <col min="46" max="46" width="16.42578125" style="37" hidden="1" customWidth="1"/>
    <col min="47" max="47" width="16.140625" style="37" hidden="1" customWidth="1"/>
    <col min="48" max="48" width="8.85546875" style="1" hidden="1" customWidth="1"/>
    <col min="49" max="49" width="0" style="1" hidden="1" customWidth="1"/>
    <col min="50" max="50" width="19.85546875" style="37" hidden="1" customWidth="1"/>
    <col min="51" max="51" width="17.28515625" style="37" hidden="1" customWidth="1"/>
    <col min="52" max="52" width="16.5703125" style="37" hidden="1" customWidth="1"/>
    <col min="53" max="53" width="15.42578125" style="37" hidden="1" customWidth="1"/>
    <col min="54" max="54" width="14.140625" style="41" hidden="1" customWidth="1"/>
    <col min="55" max="55" width="14.5703125" style="37" hidden="1" customWidth="1"/>
    <col min="56" max="56" width="13.5703125" style="1" hidden="1" customWidth="1"/>
    <col min="57" max="57" width="3.7109375" style="1" hidden="1" customWidth="1"/>
    <col min="58" max="58" width="0" style="1" hidden="1" customWidth="1"/>
    <col min="59" max="16384" width="9.140625" style="1"/>
  </cols>
  <sheetData>
    <row r="1" spans="1:56" s="2" customFormat="1" ht="30" customHeight="1">
      <c r="A1" s="786" t="s">
        <v>111</v>
      </c>
      <c r="B1" s="786"/>
      <c r="C1" s="786"/>
      <c r="D1" s="786"/>
      <c r="E1" s="786"/>
      <c r="F1" s="786"/>
      <c r="G1" s="786"/>
      <c r="H1" s="786"/>
      <c r="I1" s="786"/>
      <c r="J1" s="786"/>
      <c r="M1" s="199"/>
      <c r="N1" s="200"/>
      <c r="O1" s="200"/>
      <c r="P1" s="200"/>
      <c r="Q1" s="200"/>
      <c r="R1" s="200"/>
      <c r="S1" s="199"/>
      <c r="U1" s="21"/>
      <c r="AT1" s="21"/>
      <c r="AU1" s="21"/>
    </row>
    <row r="2" spans="1:56" s="2" customFormat="1" ht="30" hidden="1" customHeight="1">
      <c r="A2" s="158"/>
      <c r="B2" s="158"/>
      <c r="C2" s="158"/>
      <c r="D2" s="158"/>
      <c r="E2" s="158"/>
      <c r="F2" s="158"/>
      <c r="G2" s="158"/>
      <c r="H2" s="158"/>
      <c r="I2" s="158"/>
      <c r="J2" s="158"/>
      <c r="M2" s="168"/>
      <c r="N2" s="168"/>
      <c r="O2" s="168"/>
      <c r="P2" s="168"/>
      <c r="Q2" s="168"/>
      <c r="R2" s="168"/>
      <c r="U2" s="21"/>
      <c r="AT2" s="21"/>
      <c r="AU2" s="21"/>
    </row>
    <row r="3" spans="1:56" s="2" customFormat="1" ht="15.75" customHeight="1">
      <c r="A3" s="81"/>
      <c r="B3" s="787"/>
      <c r="C3" s="787"/>
      <c r="D3" s="164"/>
      <c r="E3" s="171"/>
      <c r="F3" s="171"/>
      <c r="G3" s="171"/>
      <c r="H3" s="171"/>
      <c r="I3" s="171"/>
      <c r="J3" s="171"/>
      <c r="M3" s="170"/>
      <c r="N3" s="198"/>
      <c r="O3" s="198"/>
      <c r="P3" s="198"/>
      <c r="Q3" s="198"/>
      <c r="R3" s="198"/>
      <c r="S3" s="198"/>
      <c r="T3" s="206"/>
      <c r="U3" s="176"/>
      <c r="V3" s="176"/>
      <c r="AT3" s="21"/>
      <c r="AU3" s="21"/>
      <c r="AX3" s="802"/>
      <c r="AY3" s="802"/>
      <c r="AZ3" s="802"/>
      <c r="BA3" s="802"/>
      <c r="BB3" s="802"/>
      <c r="BC3" s="802"/>
      <c r="BD3" s="802"/>
    </row>
    <row r="4" spans="1:56" s="2" customFormat="1" ht="24" customHeight="1">
      <c r="A4" s="788" t="s">
        <v>0</v>
      </c>
      <c r="B4" s="789" t="s">
        <v>1</v>
      </c>
      <c r="C4" s="789" t="s">
        <v>2</v>
      </c>
      <c r="D4" s="790" t="s">
        <v>190</v>
      </c>
      <c r="E4" s="791"/>
      <c r="F4" s="791"/>
      <c r="G4" s="791"/>
      <c r="H4" s="791"/>
      <c r="I4" s="791"/>
      <c r="J4" s="792"/>
      <c r="M4" s="809" t="s">
        <v>191</v>
      </c>
      <c r="N4" s="809"/>
      <c r="O4" s="809"/>
      <c r="P4" s="809"/>
      <c r="Q4" s="809"/>
      <c r="R4" s="809"/>
      <c r="S4" s="809"/>
      <c r="T4" s="206"/>
      <c r="AT4" s="806" t="s">
        <v>192</v>
      </c>
      <c r="AU4" s="807"/>
      <c r="AV4" s="808"/>
      <c r="AX4" s="803" t="s">
        <v>191</v>
      </c>
      <c r="AY4" s="804"/>
      <c r="AZ4" s="804"/>
      <c r="BA4" s="804"/>
      <c r="BB4" s="804"/>
      <c r="BC4" s="804"/>
      <c r="BD4" s="805"/>
    </row>
    <row r="5" spans="1:56" ht="123.75" customHeight="1">
      <c r="A5" s="788"/>
      <c r="B5" s="789"/>
      <c r="C5" s="789"/>
      <c r="D5" s="143" t="s">
        <v>3</v>
      </c>
      <c r="E5" s="73" t="s">
        <v>173</v>
      </c>
      <c r="F5" s="73" t="s">
        <v>174</v>
      </c>
      <c r="G5" s="73" t="s">
        <v>138</v>
      </c>
      <c r="H5" s="73" t="s">
        <v>139</v>
      </c>
      <c r="I5" s="73" t="s">
        <v>140</v>
      </c>
      <c r="J5" s="73" t="s">
        <v>141</v>
      </c>
      <c r="M5" s="152" t="s">
        <v>3</v>
      </c>
      <c r="N5" s="73" t="s">
        <v>173</v>
      </c>
      <c r="O5" s="73" t="s">
        <v>174</v>
      </c>
      <c r="P5" s="73" t="s">
        <v>138</v>
      </c>
      <c r="Q5" s="73" t="s">
        <v>139</v>
      </c>
      <c r="R5" s="73" t="s">
        <v>140</v>
      </c>
      <c r="S5" s="73" t="s">
        <v>141</v>
      </c>
      <c r="U5" s="87" t="s">
        <v>188</v>
      </c>
      <c r="V5" s="87" t="s">
        <v>189</v>
      </c>
      <c r="AT5" s="87" t="s">
        <v>187</v>
      </c>
      <c r="AU5" s="87" t="s">
        <v>188</v>
      </c>
      <c r="AV5" s="87" t="s">
        <v>189</v>
      </c>
      <c r="AX5" s="143" t="s">
        <v>3</v>
      </c>
      <c r="AY5" s="73" t="s">
        <v>173</v>
      </c>
      <c r="AZ5" s="73" t="s">
        <v>174</v>
      </c>
      <c r="BA5" s="73" t="s">
        <v>138</v>
      </c>
      <c r="BB5" s="73" t="s">
        <v>139</v>
      </c>
      <c r="BC5" s="73" t="s">
        <v>140</v>
      </c>
      <c r="BD5" s="73" t="s">
        <v>141</v>
      </c>
    </row>
    <row r="6" spans="1:56" s="11" customFormat="1" ht="12" customHeight="1">
      <c r="A6" s="77">
        <v>1</v>
      </c>
      <c r="B6" s="10">
        <v>2</v>
      </c>
      <c r="C6" s="10">
        <v>3</v>
      </c>
      <c r="D6" s="22">
        <v>4</v>
      </c>
      <c r="E6" s="23">
        <v>5</v>
      </c>
      <c r="F6" s="23">
        <v>6</v>
      </c>
      <c r="G6" s="23">
        <v>7</v>
      </c>
      <c r="H6" s="24">
        <v>8</v>
      </c>
      <c r="I6" s="23">
        <v>9</v>
      </c>
      <c r="J6" s="23">
        <v>10</v>
      </c>
      <c r="M6" s="22">
        <v>4</v>
      </c>
      <c r="N6" s="23">
        <v>5</v>
      </c>
      <c r="O6" s="23">
        <v>6</v>
      </c>
      <c r="P6" s="23">
        <v>7</v>
      </c>
      <c r="Q6" s="24">
        <v>8</v>
      </c>
      <c r="R6" s="23">
        <v>9</v>
      </c>
      <c r="S6" s="23">
        <v>10</v>
      </c>
      <c r="U6" s="90"/>
      <c r="V6" s="88"/>
      <c r="AT6" s="90"/>
      <c r="AU6" s="90"/>
      <c r="AV6" s="88"/>
      <c r="AX6" s="22">
        <v>4</v>
      </c>
      <c r="AY6" s="23">
        <v>5</v>
      </c>
      <c r="AZ6" s="23">
        <v>6</v>
      </c>
      <c r="BA6" s="23">
        <v>7</v>
      </c>
      <c r="BB6" s="24">
        <v>8</v>
      </c>
      <c r="BC6" s="23">
        <v>9</v>
      </c>
      <c r="BD6" s="23">
        <v>10</v>
      </c>
    </row>
    <row r="7" spans="1:56" s="4" customFormat="1" ht="53.25" customHeight="1">
      <c r="A7" s="19" t="s">
        <v>4</v>
      </c>
      <c r="B7" s="17" t="s">
        <v>5</v>
      </c>
      <c r="C7" s="7" t="s">
        <v>6</v>
      </c>
      <c r="D7" s="27">
        <f>D9+D27+D33+D34+D35</f>
        <v>5159291.7473876867</v>
      </c>
      <c r="E7" s="27">
        <f>E9+E27+E33+E34+E35</f>
        <v>1447498.3096553106</v>
      </c>
      <c r="F7" s="27">
        <f>F9+F27+F33+F34+F35</f>
        <v>1219417.8712746401</v>
      </c>
      <c r="G7" s="27">
        <f>G9+G27+G33+G34+G35</f>
        <v>960496.63180736476</v>
      </c>
      <c r="H7" s="27">
        <f t="shared" ref="H7:J7" si="0">H9+H27+H33+H34+H35</f>
        <v>501797.33043882524</v>
      </c>
      <c r="I7" s="27">
        <f t="shared" si="0"/>
        <v>864675.26794060203</v>
      </c>
      <c r="J7" s="27">
        <f t="shared" si="0"/>
        <v>165406.3362709441</v>
      </c>
      <c r="M7" s="27">
        <f>M9+M27+M33+M34+M35</f>
        <v>4760881.1499521928</v>
      </c>
      <c r="N7" s="27">
        <f>N9+N27+N33+N34+N35</f>
        <v>1195194.1014716348</v>
      </c>
      <c r="O7" s="27">
        <f>O9+O27+O33+O34+O35</f>
        <v>1063725.318509063</v>
      </c>
      <c r="P7" s="27">
        <f>P9+P27+P33+P34+P35</f>
        <v>1270527.5640628398</v>
      </c>
      <c r="Q7" s="27">
        <f t="shared" ref="Q7:S7" si="1">Q9+Q27+Q33+Q34+Q35</f>
        <v>426583.95286661229</v>
      </c>
      <c r="R7" s="27">
        <f t="shared" si="1"/>
        <v>707759.92088058952</v>
      </c>
      <c r="S7" s="27">
        <f t="shared" si="1"/>
        <v>97090.292161453661</v>
      </c>
      <c r="U7" s="91">
        <f>D7-M7</f>
        <v>398410.59743549395</v>
      </c>
      <c r="V7" s="96">
        <f>100%-(M7/D7)</f>
        <v>7.7221955443248946E-2</v>
      </c>
      <c r="X7" s="15"/>
      <c r="Y7" s="15"/>
      <c r="AT7" s="99" t="e">
        <f>AT9+AT27+AT33+AT34+AT35</f>
        <v>#REF!</v>
      </c>
      <c r="AU7" s="91" t="e">
        <f>D7-AT7</f>
        <v>#REF!</v>
      </c>
      <c r="AV7" s="96" t="e">
        <f>100%-(AT7/D7)</f>
        <v>#REF!</v>
      </c>
      <c r="AX7" s="27" t="e">
        <f>AX9+AX27+AX33+AX34+AX35</f>
        <v>#REF!</v>
      </c>
      <c r="AY7" s="27" t="e">
        <f>AY9+AY27+AY33+AY34+AY35</f>
        <v>#REF!</v>
      </c>
      <c r="AZ7" s="27" t="e">
        <f>AZ9+AZ27+AZ33+AZ34+AZ35</f>
        <v>#REF!</v>
      </c>
      <c r="BA7" s="27" t="e">
        <f>BA9+BA27+BA33+BA34+BA35</f>
        <v>#REF!</v>
      </c>
      <c r="BB7" s="27" t="e">
        <f t="shared" ref="BB7:BD7" si="2">BB9+BB27+BB33+BB34+BB35</f>
        <v>#REF!</v>
      </c>
      <c r="BC7" s="27" t="e">
        <f t="shared" si="2"/>
        <v>#REF!</v>
      </c>
      <c r="BD7" s="27" t="e">
        <f t="shared" si="2"/>
        <v>#REF!</v>
      </c>
    </row>
    <row r="8" spans="1:56" s="4" customFormat="1">
      <c r="A8" s="13"/>
      <c r="B8" s="12" t="s">
        <v>7</v>
      </c>
      <c r="C8" s="145"/>
      <c r="D8" s="25"/>
      <c r="E8" s="25"/>
      <c r="F8" s="25"/>
      <c r="G8" s="25"/>
      <c r="H8" s="26"/>
      <c r="I8" s="25"/>
      <c r="J8" s="25"/>
      <c r="M8" s="25"/>
      <c r="N8" s="25"/>
      <c r="O8" s="25"/>
      <c r="P8" s="25"/>
      <c r="Q8" s="26"/>
      <c r="R8" s="25"/>
      <c r="S8" s="25"/>
      <c r="U8" s="91"/>
      <c r="V8" s="96"/>
      <c r="X8" s="15"/>
      <c r="Y8" s="15"/>
      <c r="AT8" s="92"/>
      <c r="AU8" s="92"/>
      <c r="AV8" s="95"/>
      <c r="AX8" s="25"/>
      <c r="AY8" s="25"/>
      <c r="AZ8" s="25"/>
      <c r="BA8" s="25"/>
      <c r="BB8" s="26"/>
      <c r="BC8" s="25"/>
      <c r="BD8" s="25"/>
    </row>
    <row r="9" spans="1:56" s="6" customFormat="1">
      <c r="A9" s="19" t="s">
        <v>8</v>
      </c>
      <c r="B9" s="17" t="s">
        <v>272</v>
      </c>
      <c r="C9" s="7" t="s">
        <v>9</v>
      </c>
      <c r="D9" s="27">
        <f>D11+D23+D26</f>
        <v>548661.31319345045</v>
      </c>
      <c r="E9" s="27">
        <f t="shared" ref="E9:AT9" si="3">E11+E23+E26</f>
        <v>36298.008209999367</v>
      </c>
      <c r="F9" s="27">
        <f t="shared" si="3"/>
        <v>57750.842511479997</v>
      </c>
      <c r="G9" s="27">
        <f t="shared" si="3"/>
        <v>181582.73428297805</v>
      </c>
      <c r="H9" s="27">
        <f t="shared" si="3"/>
        <v>85680.668413682783</v>
      </c>
      <c r="I9" s="27">
        <f t="shared" si="3"/>
        <v>181662.92865384585</v>
      </c>
      <c r="J9" s="27">
        <f t="shared" si="3"/>
        <v>5686.1311214643792</v>
      </c>
      <c r="M9" s="27">
        <f>M11+M23+M26</f>
        <v>484789.71351999661</v>
      </c>
      <c r="N9" s="27">
        <f t="shared" ref="N9:S9" si="4">N11+N23+N26</f>
        <v>28969.482017815768</v>
      </c>
      <c r="O9" s="27">
        <f t="shared" si="4"/>
        <v>40427.468625454683</v>
      </c>
      <c r="P9" s="27">
        <f t="shared" si="4"/>
        <v>168620.6499350516</v>
      </c>
      <c r="Q9" s="27">
        <f t="shared" si="4"/>
        <v>76045.224506537357</v>
      </c>
      <c r="R9" s="27">
        <f t="shared" si="4"/>
        <v>168543.27284296468</v>
      </c>
      <c r="S9" s="27">
        <f t="shared" si="4"/>
        <v>2183.615592172529</v>
      </c>
      <c r="U9" s="91">
        <f t="shared" ref="U9:U71" si="5">D9-M9</f>
        <v>63871.599673453835</v>
      </c>
      <c r="V9" s="96">
        <f t="shared" ref="V9:V71" si="6">100%-(M9/D9)</f>
        <v>0.11641352896141521</v>
      </c>
      <c r="X9" s="247"/>
      <c r="Y9" s="247"/>
      <c r="Z9" s="252"/>
      <c r="AA9" s="252"/>
      <c r="AB9" s="252"/>
      <c r="AC9" s="252"/>
      <c r="AD9" s="252"/>
      <c r="AE9" s="252"/>
      <c r="AF9" s="355"/>
      <c r="AT9" s="99" t="e">
        <f t="shared" si="3"/>
        <v>#REF!</v>
      </c>
      <c r="AU9" s="91" t="e">
        <f>D9-AT9</f>
        <v>#REF!</v>
      </c>
      <c r="AV9" s="98" t="e">
        <f>100%-(AT9/D9)</f>
        <v>#REF!</v>
      </c>
      <c r="AX9" s="27" t="e">
        <f>AX11+AX23+AX26</f>
        <v>#REF!</v>
      </c>
      <c r="AY9" s="27" t="e">
        <f t="shared" ref="AY9:BD9" si="7">AY11+AY23+AY26</f>
        <v>#REF!</v>
      </c>
      <c r="AZ9" s="27" t="e">
        <f t="shared" si="7"/>
        <v>#REF!</v>
      </c>
      <c r="BA9" s="27" t="e">
        <f t="shared" si="7"/>
        <v>#REF!</v>
      </c>
      <c r="BB9" s="27" t="e">
        <f t="shared" si="7"/>
        <v>#REF!</v>
      </c>
      <c r="BC9" s="27" t="e">
        <f t="shared" si="7"/>
        <v>#REF!</v>
      </c>
      <c r="BD9" s="27" t="e">
        <f t="shared" si="7"/>
        <v>#REF!</v>
      </c>
    </row>
    <row r="10" spans="1:56" s="4" customFormat="1">
      <c r="A10" s="13"/>
      <c r="B10" s="12" t="s">
        <v>7</v>
      </c>
      <c r="C10" s="145"/>
      <c r="D10" s="25"/>
      <c r="E10" s="25"/>
      <c r="F10" s="25"/>
      <c r="G10" s="25"/>
      <c r="H10" s="25"/>
      <c r="I10" s="25"/>
      <c r="J10" s="25"/>
      <c r="M10" s="25"/>
      <c r="N10" s="25"/>
      <c r="O10" s="25"/>
      <c r="P10" s="25"/>
      <c r="Q10" s="25"/>
      <c r="R10" s="25"/>
      <c r="S10" s="25"/>
      <c r="U10" s="91"/>
      <c r="V10" s="96"/>
      <c r="X10" s="15"/>
      <c r="Y10" s="15"/>
      <c r="AT10" s="92"/>
      <c r="AU10" s="92"/>
      <c r="AV10" s="97"/>
      <c r="AX10" s="25"/>
      <c r="AY10" s="25"/>
      <c r="AZ10" s="25"/>
      <c r="BA10" s="25"/>
      <c r="BB10" s="25"/>
      <c r="BC10" s="25"/>
      <c r="BD10" s="25"/>
    </row>
    <row r="11" spans="1:56" s="4" customFormat="1" ht="30" customHeight="1">
      <c r="A11" s="13" t="s">
        <v>10</v>
      </c>
      <c r="B11" s="12" t="s">
        <v>11</v>
      </c>
      <c r="C11" s="145" t="s">
        <v>9</v>
      </c>
      <c r="D11" s="25">
        <f>SUM(D12:D22)</f>
        <v>161398.1160753826</v>
      </c>
      <c r="E11" s="25">
        <f t="shared" ref="E11:J11" si="8">SUM(E12:E22)</f>
        <v>25702.125475761815</v>
      </c>
      <c r="F11" s="25">
        <f t="shared" si="8"/>
        <v>41743.180377293291</v>
      </c>
      <c r="G11" s="25">
        <f t="shared" si="8"/>
        <v>34492.669000606395</v>
      </c>
      <c r="H11" s="25">
        <f t="shared" si="8"/>
        <v>24808.046059026579</v>
      </c>
      <c r="I11" s="25">
        <f t="shared" si="8"/>
        <v>29676.581901893976</v>
      </c>
      <c r="J11" s="25">
        <f t="shared" si="8"/>
        <v>4975.5132608005451</v>
      </c>
      <c r="M11" s="25">
        <f>SUM(M12:M22)</f>
        <v>111957.85165392877</v>
      </c>
      <c r="N11" s="25">
        <f t="shared" ref="N11:S11" si="9">SUM(N12:N22)</f>
        <v>18829.091618240342</v>
      </c>
      <c r="O11" s="25">
        <f t="shared" si="9"/>
        <v>24965.808837825552</v>
      </c>
      <c r="P11" s="25">
        <f t="shared" si="9"/>
        <v>27468.494869493388</v>
      </c>
      <c r="Q11" s="25">
        <f t="shared" si="9"/>
        <v>15475.356569328338</v>
      </c>
      <c r="R11" s="25">
        <f t="shared" si="9"/>
        <v>23502.572200185503</v>
      </c>
      <c r="S11" s="25">
        <f t="shared" si="9"/>
        <v>1716.5275588556301</v>
      </c>
      <c r="U11" s="91">
        <f t="shared" si="5"/>
        <v>49440.26442145383</v>
      </c>
      <c r="V11" s="96">
        <f t="shared" si="6"/>
        <v>0.30632491644674631</v>
      </c>
      <c r="X11" s="15"/>
      <c r="Y11" s="15"/>
      <c r="AT11" s="92" t="e">
        <f>SUM(AT12:AT22)</f>
        <v>#REF!</v>
      </c>
      <c r="AU11" s="92" t="e">
        <f t="shared" ref="AU11:AU27" si="10">D11-AT11</f>
        <v>#REF!</v>
      </c>
      <c r="AV11" s="97" t="e">
        <f t="shared" ref="AV11:AV27" si="11">100%-(AT11/D11)</f>
        <v>#REF!</v>
      </c>
      <c r="AX11" s="25" t="e">
        <f>SUM(AX12:AX22)</f>
        <v>#REF!</v>
      </c>
      <c r="AY11" s="25" t="e">
        <f t="shared" ref="AY11:BD11" si="12">SUM(AY12:AY22)</f>
        <v>#REF!</v>
      </c>
      <c r="AZ11" s="25" t="e">
        <f t="shared" si="12"/>
        <v>#REF!</v>
      </c>
      <c r="BA11" s="25" t="e">
        <f t="shared" si="12"/>
        <v>#REF!</v>
      </c>
      <c r="BB11" s="25" t="e">
        <f t="shared" si="12"/>
        <v>#REF!</v>
      </c>
      <c r="BC11" s="25" t="e">
        <f t="shared" si="12"/>
        <v>#REF!</v>
      </c>
      <c r="BD11" s="25" t="e">
        <f t="shared" si="12"/>
        <v>#REF!</v>
      </c>
    </row>
    <row r="12" spans="1:56" s="4" customFormat="1" ht="30" customHeight="1">
      <c r="A12" s="13"/>
      <c r="B12" s="18" t="s">
        <v>81</v>
      </c>
      <c r="C12" s="7" t="s">
        <v>9</v>
      </c>
      <c r="D12" s="28">
        <f>SUM(E12:J12)</f>
        <v>1366.7430000000002</v>
      </c>
      <c r="E12" s="28">
        <v>128.08839227284304</v>
      </c>
      <c r="F12" s="28">
        <v>176.63030768542865</v>
      </c>
      <c r="G12" s="28">
        <v>402.59181922017507</v>
      </c>
      <c r="H12" s="29">
        <v>199.2637599140576</v>
      </c>
      <c r="I12" s="29">
        <v>369.06864787294046</v>
      </c>
      <c r="J12" s="29">
        <v>91.100073034555095</v>
      </c>
      <c r="M12" s="28">
        <f>[52]СводПЗ!$C$11</f>
        <v>806.75099999999998</v>
      </c>
      <c r="N12" s="28">
        <f>$M$12*N91</f>
        <v>58.939221758667763</v>
      </c>
      <c r="O12" s="28">
        <f t="shared" ref="O12:S12" si="13">$M$12*O91</f>
        <v>95.694741265028753</v>
      </c>
      <c r="P12" s="28">
        <f t="shared" si="13"/>
        <v>266.79084808962347</v>
      </c>
      <c r="Q12" s="28">
        <f t="shared" si="13"/>
        <v>112.83259599974265</v>
      </c>
      <c r="R12" s="28">
        <f t="shared" si="13"/>
        <v>241.40739200027232</v>
      </c>
      <c r="S12" s="28">
        <f t="shared" si="13"/>
        <v>31.086200886665022</v>
      </c>
      <c r="U12" s="91">
        <f t="shared" si="5"/>
        <v>559.99200000000019</v>
      </c>
      <c r="V12" s="96">
        <f t="shared" si="6"/>
        <v>0.40972735913042913</v>
      </c>
      <c r="X12" s="15"/>
      <c r="Y12" s="15"/>
      <c r="AT12" s="93" t="e">
        <f>#REF!</f>
        <v>#REF!</v>
      </c>
      <c r="AU12" s="93" t="e">
        <f t="shared" si="10"/>
        <v>#REF!</v>
      </c>
      <c r="AV12" s="97" t="e">
        <f t="shared" si="11"/>
        <v>#REF!</v>
      </c>
      <c r="AX12" s="28" t="e">
        <f>SUM(AY12:BD12)</f>
        <v>#REF!</v>
      </c>
      <c r="AY12" s="28" t="e">
        <f>#REF!</f>
        <v>#REF!</v>
      </c>
      <c r="AZ12" s="28" t="e">
        <f>#REF!</f>
        <v>#REF!</v>
      </c>
      <c r="BA12" s="28" t="e">
        <f>#REF!</f>
        <v>#REF!</v>
      </c>
      <c r="BB12" s="28" t="e">
        <f>#REF!</f>
        <v>#REF!</v>
      </c>
      <c r="BC12" s="28" t="e">
        <f>#REF!</f>
        <v>#REF!</v>
      </c>
      <c r="BD12" s="28" t="e">
        <f>#REF!</f>
        <v>#REF!</v>
      </c>
    </row>
    <row r="13" spans="1:56" s="4" customFormat="1" ht="30" customHeight="1" outlineLevel="1">
      <c r="A13" s="13"/>
      <c r="B13" s="18" t="s">
        <v>177</v>
      </c>
      <c r="C13" s="7" t="s">
        <v>9</v>
      </c>
      <c r="D13" s="28">
        <f t="shared" ref="D13:D26" si="14">SUM(E13:J13)</f>
        <v>17499.689889948448</v>
      </c>
      <c r="E13" s="28">
        <v>226.86691023553198</v>
      </c>
      <c r="F13" s="28">
        <v>11873.486751230033</v>
      </c>
      <c r="G13" s="28">
        <v>301.40011085693578</v>
      </c>
      <c r="H13" s="29">
        <v>5034.026182126152</v>
      </c>
      <c r="I13" s="29">
        <v>63.909935499792965</v>
      </c>
      <c r="J13" s="29">
        <v>0</v>
      </c>
      <c r="M13" s="28">
        <f t="shared" ref="M13:M26" si="15">SUM(N13:S13)</f>
        <v>5337.4310388234462</v>
      </c>
      <c r="N13" s="28">
        <f>[52]СводПЗ!$E$12</f>
        <v>112.51202384171123</v>
      </c>
      <c r="O13" s="28">
        <f>[52]СводПЗ!$F$12</f>
        <v>4237.1046492823352</v>
      </c>
      <c r="P13" s="28">
        <f>[52]СводПЗ!$G$12</f>
        <v>89.198854580745333</v>
      </c>
      <c r="Q13" s="29">
        <f>[52]СводПЗ!$H$12</f>
        <v>868.96977475219546</v>
      </c>
      <c r="R13" s="29">
        <f>[52]СводПЗ!$I$12</f>
        <v>29.645736366459627</v>
      </c>
      <c r="S13" s="29">
        <f>[52]СводПЗ!$J$12</f>
        <v>0</v>
      </c>
      <c r="U13" s="91">
        <f t="shared" si="5"/>
        <v>12162.258851125001</v>
      </c>
      <c r="V13" s="96">
        <f t="shared" si="6"/>
        <v>0.69499853583753024</v>
      </c>
      <c r="X13" s="15"/>
      <c r="Y13" s="15"/>
      <c r="AT13" s="93" t="e">
        <f>#REF!</f>
        <v>#REF!</v>
      </c>
      <c r="AU13" s="93" t="e">
        <f t="shared" si="10"/>
        <v>#REF!</v>
      </c>
      <c r="AV13" s="97" t="e">
        <f t="shared" si="11"/>
        <v>#REF!</v>
      </c>
      <c r="AX13" s="28" t="e">
        <f t="shared" ref="AX13:AX26" si="16">SUM(AY13:BD13)</f>
        <v>#REF!</v>
      </c>
      <c r="AY13" s="28" t="e">
        <f>#REF!</f>
        <v>#REF!</v>
      </c>
      <c r="AZ13" s="28" t="e">
        <f>#REF!</f>
        <v>#REF!</v>
      </c>
      <c r="BA13" s="28" t="e">
        <f>#REF!</f>
        <v>#REF!</v>
      </c>
      <c r="BB13" s="28" t="e">
        <f>#REF!</f>
        <v>#REF!</v>
      </c>
      <c r="BC13" s="28" t="e">
        <f>#REF!</f>
        <v>#REF!</v>
      </c>
      <c r="BD13" s="28" t="e">
        <f>#REF!</f>
        <v>#REF!</v>
      </c>
    </row>
    <row r="14" spans="1:56" s="4" customFormat="1" ht="37.5" outlineLevel="1">
      <c r="A14" s="13"/>
      <c r="B14" s="18" t="s">
        <v>178</v>
      </c>
      <c r="C14" s="7" t="s">
        <v>9</v>
      </c>
      <c r="D14" s="28">
        <f t="shared" si="14"/>
        <v>35143.661362267871</v>
      </c>
      <c r="E14" s="49">
        <v>12599.674621934211</v>
      </c>
      <c r="F14" s="49">
        <v>19144.999991779725</v>
      </c>
      <c r="G14" s="49">
        <v>0</v>
      </c>
      <c r="H14" s="50">
        <v>3398.9867485539357</v>
      </c>
      <c r="I14" s="50">
        <v>0</v>
      </c>
      <c r="J14" s="50">
        <v>0</v>
      </c>
      <c r="M14" s="28">
        <f>[52]СводПЗ!$C$13</f>
        <v>29338.055386615877</v>
      </c>
      <c r="N14" s="49">
        <f>$M$14*N94</f>
        <v>10518.253863796914</v>
      </c>
      <c r="O14" s="49">
        <f t="shared" ref="O14:S14" si="17">$M$14*O94</f>
        <v>15982.315113548211</v>
      </c>
      <c r="P14" s="49">
        <f t="shared" si="17"/>
        <v>0</v>
      </c>
      <c r="Q14" s="49">
        <f t="shared" si="17"/>
        <v>2837.4864092707535</v>
      </c>
      <c r="R14" s="49">
        <f t="shared" si="17"/>
        <v>0</v>
      </c>
      <c r="S14" s="49">
        <f t="shared" si="17"/>
        <v>0</v>
      </c>
      <c r="U14" s="91">
        <f t="shared" si="5"/>
        <v>5805.6059756519935</v>
      </c>
      <c r="V14" s="96">
        <f t="shared" si="6"/>
        <v>0.16519638963643113</v>
      </c>
      <c r="X14" s="15"/>
      <c r="Y14" s="15"/>
      <c r="AT14" s="93" t="e">
        <f>#REF!</f>
        <v>#REF!</v>
      </c>
      <c r="AU14" s="93" t="e">
        <f t="shared" si="10"/>
        <v>#REF!</v>
      </c>
      <c r="AV14" s="97" t="e">
        <f t="shared" si="11"/>
        <v>#REF!</v>
      </c>
      <c r="AX14" s="28" t="e">
        <f t="shared" si="16"/>
        <v>#REF!</v>
      </c>
      <c r="AY14" s="28" t="e">
        <f>#REF!</f>
        <v>#REF!</v>
      </c>
      <c r="AZ14" s="28" t="e">
        <f>#REF!</f>
        <v>#REF!</v>
      </c>
      <c r="BA14" s="28" t="e">
        <f>#REF!</f>
        <v>#REF!</v>
      </c>
      <c r="BB14" s="28" t="e">
        <f>#REF!</f>
        <v>#REF!</v>
      </c>
      <c r="BC14" s="28" t="e">
        <f>#REF!</f>
        <v>#REF!</v>
      </c>
      <c r="BD14" s="28" t="e">
        <f>#REF!</f>
        <v>#REF!</v>
      </c>
    </row>
    <row r="15" spans="1:56" s="4" customFormat="1" outlineLevel="1">
      <c r="A15" s="13"/>
      <c r="B15" s="18" t="s">
        <v>132</v>
      </c>
      <c r="C15" s="7" t="s">
        <v>9</v>
      </c>
      <c r="D15" s="28">
        <f t="shared" si="14"/>
        <v>3332.3595</v>
      </c>
      <c r="E15" s="28">
        <v>0</v>
      </c>
      <c r="F15" s="28">
        <v>0</v>
      </c>
      <c r="G15" s="28">
        <v>2997.8150000000001</v>
      </c>
      <c r="H15" s="29">
        <v>0</v>
      </c>
      <c r="I15" s="29">
        <v>0</v>
      </c>
      <c r="J15" s="29">
        <v>334.54450000000003</v>
      </c>
      <c r="M15" s="28">
        <f t="shared" si="15"/>
        <v>3332.3595</v>
      </c>
      <c r="N15" s="28"/>
      <c r="O15" s="28"/>
      <c r="P15" s="28">
        <f>[52]СводПЗ!$G$14</f>
        <v>2997.8150000000001</v>
      </c>
      <c r="Q15" s="29"/>
      <c r="R15" s="29"/>
      <c r="S15" s="29">
        <f>[52]СводПЗ!$J$14</f>
        <v>334.54450000000003</v>
      </c>
      <c r="U15" s="91">
        <f t="shared" si="5"/>
        <v>0</v>
      </c>
      <c r="V15" s="96">
        <f t="shared" si="6"/>
        <v>0</v>
      </c>
      <c r="X15" s="15"/>
      <c r="Y15" s="15"/>
      <c r="AT15" s="93" t="e">
        <f>#REF!</f>
        <v>#REF!</v>
      </c>
      <c r="AU15" s="93" t="e">
        <f t="shared" si="10"/>
        <v>#REF!</v>
      </c>
      <c r="AV15" s="97" t="e">
        <f t="shared" si="11"/>
        <v>#REF!</v>
      </c>
      <c r="AX15" s="28" t="e">
        <f t="shared" si="16"/>
        <v>#REF!</v>
      </c>
      <c r="AY15" s="28" t="e">
        <f>#REF!</f>
        <v>#REF!</v>
      </c>
      <c r="AZ15" s="28" t="e">
        <f>#REF!</f>
        <v>#REF!</v>
      </c>
      <c r="BA15" s="28" t="e">
        <f>#REF!</f>
        <v>#REF!</v>
      </c>
      <c r="BB15" s="28" t="e">
        <f>#REF!</f>
        <v>#REF!</v>
      </c>
      <c r="BC15" s="28" t="e">
        <f>#REF!</f>
        <v>#REF!</v>
      </c>
      <c r="BD15" s="28" t="e">
        <f>#REF!</f>
        <v>#REF!</v>
      </c>
    </row>
    <row r="16" spans="1:56" s="4" customFormat="1" ht="37.5" customHeight="1" outlineLevel="1">
      <c r="A16" s="13"/>
      <c r="B16" s="18" t="s">
        <v>82</v>
      </c>
      <c r="C16" s="7" t="s">
        <v>9</v>
      </c>
      <c r="D16" s="28">
        <f t="shared" si="14"/>
        <v>30488.188357142855</v>
      </c>
      <c r="E16" s="28">
        <v>0</v>
      </c>
      <c r="F16" s="28">
        <v>0</v>
      </c>
      <c r="G16" s="28">
        <v>12195.275342857143</v>
      </c>
      <c r="H16" s="29">
        <v>6097.6376714285716</v>
      </c>
      <c r="I16" s="29">
        <v>12195.275342857143</v>
      </c>
      <c r="J16" s="29">
        <v>0</v>
      </c>
      <c r="M16" s="28">
        <f t="shared" si="15"/>
        <v>30488.188357142855</v>
      </c>
      <c r="N16" s="28"/>
      <c r="O16" s="28"/>
      <c r="P16" s="28">
        <f>[52]СводПЗ!$G$15</f>
        <v>12195.275342857143</v>
      </c>
      <c r="Q16" s="29">
        <f>[52]СводПЗ!$H$15</f>
        <v>6097.6376714285716</v>
      </c>
      <c r="R16" s="29">
        <f>[52]СводПЗ!$I$15</f>
        <v>12195.275342857143</v>
      </c>
      <c r="S16" s="29"/>
      <c r="U16" s="91">
        <f t="shared" si="5"/>
        <v>0</v>
      </c>
      <c r="V16" s="96">
        <f t="shared" si="6"/>
        <v>0</v>
      </c>
      <c r="X16" s="15"/>
      <c r="Y16" s="15"/>
      <c r="AT16" s="93" t="e">
        <f>#REF!</f>
        <v>#REF!</v>
      </c>
      <c r="AU16" s="93" t="e">
        <f t="shared" si="10"/>
        <v>#REF!</v>
      </c>
      <c r="AV16" s="97" t="e">
        <f t="shared" si="11"/>
        <v>#REF!</v>
      </c>
      <c r="AX16" s="28" t="e">
        <f t="shared" si="16"/>
        <v>#REF!</v>
      </c>
      <c r="AY16" s="28" t="e">
        <f>#REF!</f>
        <v>#REF!</v>
      </c>
      <c r="AZ16" s="28" t="e">
        <f>#REF!</f>
        <v>#REF!</v>
      </c>
      <c r="BA16" s="28" t="e">
        <f>#REF!</f>
        <v>#REF!</v>
      </c>
      <c r="BB16" s="28" t="e">
        <f>#REF!</f>
        <v>#REF!</v>
      </c>
      <c r="BC16" s="28" t="e">
        <f>#REF!</f>
        <v>#REF!</v>
      </c>
      <c r="BD16" s="28" t="e">
        <f>#REF!</f>
        <v>#REF!</v>
      </c>
    </row>
    <row r="17" spans="1:56" s="4" customFormat="1" ht="30" customHeight="1" outlineLevel="1">
      <c r="A17" s="13"/>
      <c r="B17" s="18" t="s">
        <v>122</v>
      </c>
      <c r="C17" s="7" t="s">
        <v>9</v>
      </c>
      <c r="D17" s="28">
        <f t="shared" si="14"/>
        <v>9919.672340000001</v>
      </c>
      <c r="E17" s="28">
        <v>929.65164767918395</v>
      </c>
      <c r="F17" s="28">
        <v>1281.9636007302297</v>
      </c>
      <c r="G17" s="28">
        <v>2921.9677243114847</v>
      </c>
      <c r="H17" s="29">
        <v>1446.2347402429557</v>
      </c>
      <c r="I17" s="29">
        <v>2678.6601854675</v>
      </c>
      <c r="J17" s="29">
        <v>661.1944415686462</v>
      </c>
      <c r="M17" s="28">
        <f>[52]СводПЗ!$C$16</f>
        <v>1681.6496399999999</v>
      </c>
      <c r="N17" s="28">
        <f>$M$17*N91</f>
        <v>122.85714062002253</v>
      </c>
      <c r="O17" s="28">
        <f t="shared" ref="O17:S17" si="18">$M$17*O91</f>
        <v>199.47298137619754</v>
      </c>
      <c r="P17" s="28">
        <f t="shared" si="18"/>
        <v>556.11797648247102</v>
      </c>
      <c r="Q17" s="28">
        <f t="shared" si="18"/>
        <v>235.19635481484701</v>
      </c>
      <c r="R17" s="28">
        <f t="shared" si="18"/>
        <v>503.20688025251508</v>
      </c>
      <c r="S17" s="28">
        <f t="shared" si="18"/>
        <v>64.798306453946651</v>
      </c>
      <c r="U17" s="91">
        <f t="shared" si="5"/>
        <v>8238.0227000000014</v>
      </c>
      <c r="V17" s="96">
        <f t="shared" si="6"/>
        <v>0.83047326742649252</v>
      </c>
      <c r="X17" s="15"/>
      <c r="Y17" s="15"/>
      <c r="AT17" s="93" t="e">
        <f>#REF!</f>
        <v>#REF!</v>
      </c>
      <c r="AU17" s="93" t="e">
        <f t="shared" si="10"/>
        <v>#REF!</v>
      </c>
      <c r="AV17" s="97" t="e">
        <f t="shared" si="11"/>
        <v>#REF!</v>
      </c>
      <c r="AX17" s="28" t="e">
        <f t="shared" si="16"/>
        <v>#REF!</v>
      </c>
      <c r="AY17" s="28" t="e">
        <f>#REF!</f>
        <v>#REF!</v>
      </c>
      <c r="AZ17" s="28" t="e">
        <f>#REF!</f>
        <v>#REF!</v>
      </c>
      <c r="BA17" s="28" t="e">
        <f>#REF!</f>
        <v>#REF!</v>
      </c>
      <c r="BB17" s="28" t="e">
        <f>#REF!</f>
        <v>#REF!</v>
      </c>
      <c r="BC17" s="28" t="e">
        <f>#REF!</f>
        <v>#REF!</v>
      </c>
      <c r="BD17" s="28" t="e">
        <f>#REF!</f>
        <v>#REF!</v>
      </c>
    </row>
    <row r="18" spans="1:56" s="4" customFormat="1" ht="30" customHeight="1" outlineLevel="1">
      <c r="A18" s="13"/>
      <c r="B18" s="18" t="s">
        <v>136</v>
      </c>
      <c r="C18" s="7"/>
      <c r="D18" s="28">
        <f t="shared" si="14"/>
        <v>8962.0112292857102</v>
      </c>
      <c r="E18" s="49">
        <v>1981.0299127778831</v>
      </c>
      <c r="F18" s="49">
        <v>2953.3238697950178</v>
      </c>
      <c r="G18" s="49">
        <v>1270.9676471515772</v>
      </c>
      <c r="H18" s="50">
        <v>1054.4004084197081</v>
      </c>
      <c r="I18" s="50">
        <v>1165.1362214291573</v>
      </c>
      <c r="J18" s="50">
        <v>537.15316971236825</v>
      </c>
      <c r="M18" s="28">
        <f t="shared" si="15"/>
        <v>5262.5255149999975</v>
      </c>
      <c r="N18" s="49">
        <f>[52]СводПЗ!$E$17</f>
        <v>575.18565974657213</v>
      </c>
      <c r="O18" s="49">
        <f>[52]СводПЗ!$F$17</f>
        <v>907.81433677054122</v>
      </c>
      <c r="P18" s="49">
        <f>[52]СводПЗ!$G$17</f>
        <v>1470.5036106010496</v>
      </c>
      <c r="Q18" s="50">
        <f>[52]СводПЗ!$H$17</f>
        <v>689.4422980488124</v>
      </c>
      <c r="R18" s="50">
        <f>[52]СводПЗ!$I$17</f>
        <v>1580.1480955815546</v>
      </c>
      <c r="S18" s="50">
        <f>[52]СводПЗ!$J$17</f>
        <v>39.431514251467881</v>
      </c>
      <c r="U18" s="91">
        <f t="shared" si="5"/>
        <v>3699.4857142857127</v>
      </c>
      <c r="V18" s="96">
        <f t="shared" si="6"/>
        <v>0.41279637122041068</v>
      </c>
      <c r="X18" s="15"/>
      <c r="Y18" s="15"/>
      <c r="AT18" s="93" t="e">
        <f>#REF!</f>
        <v>#REF!</v>
      </c>
      <c r="AU18" s="93" t="e">
        <f t="shared" si="10"/>
        <v>#REF!</v>
      </c>
      <c r="AV18" s="97" t="e">
        <f t="shared" si="11"/>
        <v>#REF!</v>
      </c>
      <c r="AX18" s="28" t="e">
        <f t="shared" si="16"/>
        <v>#REF!</v>
      </c>
      <c r="AY18" s="28" t="e">
        <f>#REF!</f>
        <v>#REF!</v>
      </c>
      <c r="AZ18" s="28" t="e">
        <f>#REF!</f>
        <v>#REF!</v>
      </c>
      <c r="BA18" s="28" t="e">
        <f>#REF!</f>
        <v>#REF!</v>
      </c>
      <c r="BB18" s="28" t="e">
        <f>#REF!</f>
        <v>#REF!</v>
      </c>
      <c r="BC18" s="28" t="e">
        <f>#REF!</f>
        <v>#REF!</v>
      </c>
      <c r="BD18" s="28" t="e">
        <f>#REF!</f>
        <v>#REF!</v>
      </c>
    </row>
    <row r="19" spans="1:56" s="4" customFormat="1" ht="30" customHeight="1" outlineLevel="1">
      <c r="A19" s="13"/>
      <c r="B19" s="18" t="s">
        <v>142</v>
      </c>
      <c r="C19" s="7" t="s">
        <v>9</v>
      </c>
      <c r="D19" s="28">
        <f t="shared" si="14"/>
        <v>5709.0828729281757</v>
      </c>
      <c r="E19" s="49">
        <v>535.04371088477785</v>
      </c>
      <c r="F19" s="49">
        <v>737.8103011662871</v>
      </c>
      <c r="G19" s="49">
        <v>1681.6841643900123</v>
      </c>
      <c r="H19" s="50">
        <v>832.35349946597012</v>
      </c>
      <c r="I19" s="50">
        <v>1541.6530368226979</v>
      </c>
      <c r="J19" s="50">
        <v>380.53816019843129</v>
      </c>
      <c r="M19" s="28">
        <f>[52]СводПЗ!$C$18</f>
        <v>2818.8024861878453</v>
      </c>
      <c r="N19" s="49">
        <f>$M$19*N91</f>
        <v>205.93469958798866</v>
      </c>
      <c r="O19" s="49">
        <f t="shared" ref="O19:S19" si="19">$M$19*O91</f>
        <v>334.3591450062853</v>
      </c>
      <c r="P19" s="49">
        <f t="shared" si="19"/>
        <v>932.17201576098989</v>
      </c>
      <c r="Q19" s="49">
        <f t="shared" si="19"/>
        <v>394.23911730769879</v>
      </c>
      <c r="R19" s="49">
        <f t="shared" si="19"/>
        <v>843.48176420542563</v>
      </c>
      <c r="S19" s="49">
        <f t="shared" si="19"/>
        <v>108.61574431945689</v>
      </c>
      <c r="U19" s="91">
        <f t="shared" si="5"/>
        <v>2890.2803867403304</v>
      </c>
      <c r="V19" s="96">
        <f t="shared" si="6"/>
        <v>0.50626001602564097</v>
      </c>
      <c r="X19" s="15"/>
      <c r="Y19" s="15"/>
      <c r="AT19" s="93" t="e">
        <f>#REF!</f>
        <v>#REF!</v>
      </c>
      <c r="AU19" s="93" t="e">
        <f t="shared" si="10"/>
        <v>#REF!</v>
      </c>
      <c r="AV19" s="97" t="e">
        <f t="shared" si="11"/>
        <v>#REF!</v>
      </c>
      <c r="AX19" s="28" t="e">
        <f t="shared" si="16"/>
        <v>#REF!</v>
      </c>
      <c r="AY19" s="28" t="e">
        <f>#REF!</f>
        <v>#REF!</v>
      </c>
      <c r="AZ19" s="28" t="e">
        <f>#REF!</f>
        <v>#REF!</v>
      </c>
      <c r="BA19" s="28" t="e">
        <f>#REF!</f>
        <v>#REF!</v>
      </c>
      <c r="BB19" s="28" t="e">
        <f>#REF!</f>
        <v>#REF!</v>
      </c>
      <c r="BC19" s="28" t="e">
        <f>#REF!</f>
        <v>#REF!</v>
      </c>
      <c r="BD19" s="28" t="e">
        <f>#REF!</f>
        <v>#REF!</v>
      </c>
    </row>
    <row r="20" spans="1:56" s="4" customFormat="1" ht="37.5" outlineLevel="1">
      <c r="A20" s="13"/>
      <c r="B20" s="18" t="s">
        <v>83</v>
      </c>
      <c r="C20" s="7" t="s">
        <v>9</v>
      </c>
      <c r="D20" s="28">
        <f t="shared" si="14"/>
        <v>37722.178952380949</v>
      </c>
      <c r="E20" s="49">
        <v>3535.246388705817</v>
      </c>
      <c r="F20" s="49">
        <v>4875.0058166925664</v>
      </c>
      <c r="G20" s="49">
        <v>11111.555463893394</v>
      </c>
      <c r="H20" s="50">
        <v>5499.6902930560864</v>
      </c>
      <c r="I20" s="50">
        <v>10186.314164972006</v>
      </c>
      <c r="J20" s="50">
        <v>2514.3668250610849</v>
      </c>
      <c r="M20" s="28">
        <f>[52]СводПЗ!$C$19</f>
        <v>21637.560158730161</v>
      </c>
      <c r="N20" s="49">
        <f>$M$20*N91</f>
        <v>1580.7863349557811</v>
      </c>
      <c r="O20" s="49">
        <f t="shared" ref="O20:S20" si="20">$M$20*O91</f>
        <v>2566.5920723943041</v>
      </c>
      <c r="P20" s="49">
        <f t="shared" si="20"/>
        <v>7155.4953453269563</v>
      </c>
      <c r="Q20" s="49">
        <f t="shared" si="20"/>
        <v>3026.2399226156863</v>
      </c>
      <c r="R20" s="49">
        <f t="shared" si="20"/>
        <v>6474.6953733779646</v>
      </c>
      <c r="S20" s="49">
        <f t="shared" si="20"/>
        <v>833.75111005946735</v>
      </c>
      <c r="U20" s="91">
        <f t="shared" si="5"/>
        <v>16084.618793650789</v>
      </c>
      <c r="V20" s="96">
        <f t="shared" si="6"/>
        <v>0.42639686360523876</v>
      </c>
      <c r="X20" s="15"/>
      <c r="Y20" s="15"/>
      <c r="AT20" s="93" t="e">
        <f>#REF!</f>
        <v>#REF!</v>
      </c>
      <c r="AU20" s="93" t="e">
        <f t="shared" si="10"/>
        <v>#REF!</v>
      </c>
      <c r="AV20" s="97" t="e">
        <f t="shared" si="11"/>
        <v>#REF!</v>
      </c>
      <c r="AX20" s="28" t="e">
        <f t="shared" si="16"/>
        <v>#REF!</v>
      </c>
      <c r="AY20" s="28" t="e">
        <f>#REF!</f>
        <v>#REF!</v>
      </c>
      <c r="AZ20" s="28" t="e">
        <f>#REF!</f>
        <v>#REF!</v>
      </c>
      <c r="BA20" s="28" t="e">
        <f>#REF!</f>
        <v>#REF!</v>
      </c>
      <c r="BB20" s="28" t="e">
        <f>#REF!</f>
        <v>#REF!</v>
      </c>
      <c r="BC20" s="28" t="e">
        <f>#REF!</f>
        <v>#REF!</v>
      </c>
      <c r="BD20" s="28" t="e">
        <f>#REF!</f>
        <v>#REF!</v>
      </c>
    </row>
    <row r="21" spans="1:56" s="4" customFormat="1" outlineLevel="1">
      <c r="A21" s="142"/>
      <c r="B21" s="56" t="s">
        <v>113</v>
      </c>
      <c r="C21" s="144"/>
      <c r="D21" s="28">
        <f t="shared" si="14"/>
        <v>5258.9285714285706</v>
      </c>
      <c r="E21" s="49">
        <v>5258.9285714285706</v>
      </c>
      <c r="F21" s="49"/>
      <c r="G21" s="49"/>
      <c r="H21" s="50"/>
      <c r="I21" s="50"/>
      <c r="J21" s="50"/>
      <c r="M21" s="28">
        <f t="shared" si="15"/>
        <v>5258.9285714285706</v>
      </c>
      <c r="N21" s="49">
        <f>[52]СводПЗ!$E$20</f>
        <v>5258.9285714285706</v>
      </c>
      <c r="O21" s="49"/>
      <c r="P21" s="49"/>
      <c r="Q21" s="50"/>
      <c r="R21" s="50"/>
      <c r="S21" s="50"/>
      <c r="U21" s="91">
        <f t="shared" si="5"/>
        <v>0</v>
      </c>
      <c r="V21" s="96">
        <f t="shared" si="6"/>
        <v>0</v>
      </c>
      <c r="X21" s="15"/>
      <c r="Y21" s="15"/>
      <c r="AT21" s="93" t="e">
        <f>#REF!</f>
        <v>#REF!</v>
      </c>
      <c r="AU21" s="93" t="e">
        <f t="shared" si="10"/>
        <v>#REF!</v>
      </c>
      <c r="AV21" s="97" t="e">
        <f t="shared" si="11"/>
        <v>#REF!</v>
      </c>
      <c r="AX21" s="28" t="e">
        <f t="shared" si="16"/>
        <v>#REF!</v>
      </c>
      <c r="AY21" s="28" t="e">
        <f>#REF!</f>
        <v>#REF!</v>
      </c>
      <c r="AZ21" s="28" t="e">
        <f>#REF!</f>
        <v>#REF!</v>
      </c>
      <c r="BA21" s="28" t="e">
        <f>#REF!</f>
        <v>#REF!</v>
      </c>
      <c r="BB21" s="28" t="e">
        <f>#REF!</f>
        <v>#REF!</v>
      </c>
      <c r="BC21" s="28" t="e">
        <f>#REF!</f>
        <v>#REF!</v>
      </c>
      <c r="BD21" s="28" t="e">
        <f>#REF!</f>
        <v>#REF!</v>
      </c>
    </row>
    <row r="22" spans="1:56" s="4" customFormat="1" outlineLevel="1">
      <c r="A22" s="142"/>
      <c r="B22" s="56" t="s">
        <v>143</v>
      </c>
      <c r="C22" s="144"/>
      <c r="D22" s="28">
        <f t="shared" si="14"/>
        <v>5995.5999999999995</v>
      </c>
      <c r="E22" s="49">
        <v>507.59531984299343</v>
      </c>
      <c r="F22" s="49">
        <v>699.95973821400116</v>
      </c>
      <c r="G22" s="49">
        <v>1609.4117279256689</v>
      </c>
      <c r="H22" s="50">
        <v>1245.4527558191398</v>
      </c>
      <c r="I22" s="50">
        <v>1476.5643669727374</v>
      </c>
      <c r="J22" s="50">
        <v>456.61609122545889</v>
      </c>
      <c r="M22" s="28">
        <f t="shared" si="15"/>
        <v>5995.6</v>
      </c>
      <c r="N22" s="49">
        <f>[52]СводПЗ!$E$21</f>
        <v>395.6941025041138</v>
      </c>
      <c r="O22" s="49">
        <f>[52]СводПЗ!$F$21</f>
        <v>642.45579818264707</v>
      </c>
      <c r="P22" s="49">
        <f>[52]СводПЗ!$G$21</f>
        <v>1805.1258757944133</v>
      </c>
      <c r="Q22" s="50">
        <f>[52]СводПЗ!$H$21</f>
        <v>1213.3124250900294</v>
      </c>
      <c r="R22" s="50">
        <f>[52]СводПЗ!$I$21</f>
        <v>1634.7116155441706</v>
      </c>
      <c r="S22" s="50">
        <f>[52]СводПЗ!$J$21</f>
        <v>304.30018288462634</v>
      </c>
      <c r="U22" s="91">
        <f t="shared" si="5"/>
        <v>0</v>
      </c>
      <c r="V22" s="96">
        <f t="shared" si="6"/>
        <v>0</v>
      </c>
      <c r="X22" s="15"/>
      <c r="Y22" s="15"/>
      <c r="AT22" s="93" t="e">
        <f>#REF!</f>
        <v>#REF!</v>
      </c>
      <c r="AU22" s="93" t="e">
        <f t="shared" si="10"/>
        <v>#REF!</v>
      </c>
      <c r="AV22" s="97" t="e">
        <f t="shared" si="11"/>
        <v>#REF!</v>
      </c>
      <c r="AX22" s="28" t="e">
        <f t="shared" si="16"/>
        <v>#REF!</v>
      </c>
      <c r="AY22" s="28" t="e">
        <f>#REF!</f>
        <v>#REF!</v>
      </c>
      <c r="AZ22" s="28" t="e">
        <f>#REF!</f>
        <v>#REF!</v>
      </c>
      <c r="BA22" s="28" t="e">
        <f>#REF!</f>
        <v>#REF!</v>
      </c>
      <c r="BB22" s="28" t="e">
        <f>#REF!</f>
        <v>#REF!</v>
      </c>
      <c r="BC22" s="28" t="e">
        <f>#REF!</f>
        <v>#REF!</v>
      </c>
      <c r="BD22" s="28" t="e">
        <f>#REF!</f>
        <v>#REF!</v>
      </c>
    </row>
    <row r="23" spans="1:56" s="4" customFormat="1" ht="32.25" customHeight="1">
      <c r="A23" s="13" t="s">
        <v>12</v>
      </c>
      <c r="B23" s="12" t="s">
        <v>13</v>
      </c>
      <c r="C23" s="145" t="s">
        <v>9</v>
      </c>
      <c r="D23" s="25">
        <f t="shared" si="14"/>
        <v>310983.29278606782</v>
      </c>
      <c r="E23" s="25">
        <f>E24+E25</f>
        <v>8956.2787828052278</v>
      </c>
      <c r="F23" s="25">
        <f t="shared" ref="F23:J23" si="21">F24+F25</f>
        <v>13516.310684360516</v>
      </c>
      <c r="G23" s="25">
        <f t="shared" si="21"/>
        <v>114360.75250977164</v>
      </c>
      <c r="H23" s="25">
        <f t="shared" si="21"/>
        <v>59492.936431914713</v>
      </c>
      <c r="I23" s="25">
        <f t="shared" si="21"/>
        <v>114188.25856795187</v>
      </c>
      <c r="J23" s="25">
        <f t="shared" si="21"/>
        <v>468.75580926383361</v>
      </c>
      <c r="M23" s="25">
        <f t="shared" si="15"/>
        <v>310983.29078606784</v>
      </c>
      <c r="N23" s="25">
        <f>N24+N25</f>
        <v>8810.981790305972</v>
      </c>
      <c r="O23" s="25">
        <f t="shared" ref="O23:S23" si="22">O24+O25</f>
        <v>13441.645098580871</v>
      </c>
      <c r="P23" s="25">
        <f t="shared" si="22"/>
        <v>114614.87443912575</v>
      </c>
      <c r="Q23" s="25">
        <f t="shared" si="22"/>
        <v>59451.203675526718</v>
      </c>
      <c r="R23" s="25">
        <f t="shared" si="22"/>
        <v>114393.60211521162</v>
      </c>
      <c r="S23" s="25">
        <f t="shared" si="22"/>
        <v>270.98366731689896</v>
      </c>
      <c r="U23" s="91">
        <f t="shared" si="5"/>
        <v>1.9999999785795808E-3</v>
      </c>
      <c r="V23" s="96">
        <f t="shared" si="6"/>
        <v>6.431213561697291E-9</v>
      </c>
      <c r="X23" s="15"/>
      <c r="Y23" s="15"/>
      <c r="AT23" s="93" t="e">
        <f>#REF!</f>
        <v>#REF!</v>
      </c>
      <c r="AU23" s="92" t="e">
        <f t="shared" si="10"/>
        <v>#REF!</v>
      </c>
      <c r="AV23" s="97" t="e">
        <f t="shared" si="11"/>
        <v>#REF!</v>
      </c>
      <c r="AX23" s="25" t="e">
        <f t="shared" si="16"/>
        <v>#REF!</v>
      </c>
      <c r="AY23" s="25" t="e">
        <f>AY24+AY25</f>
        <v>#REF!</v>
      </c>
      <c r="AZ23" s="25" t="e">
        <f t="shared" ref="AZ23:BD23" si="23">AZ24+AZ25</f>
        <v>#REF!</v>
      </c>
      <c r="BA23" s="25" t="e">
        <f t="shared" si="23"/>
        <v>#REF!</v>
      </c>
      <c r="BB23" s="25" t="e">
        <f t="shared" si="23"/>
        <v>#REF!</v>
      </c>
      <c r="BC23" s="25" t="e">
        <f t="shared" si="23"/>
        <v>#REF!</v>
      </c>
      <c r="BD23" s="25" t="e">
        <f t="shared" si="23"/>
        <v>#REF!</v>
      </c>
    </row>
    <row r="24" spans="1:56" s="4" customFormat="1" outlineLevel="1">
      <c r="A24" s="13"/>
      <c r="B24" s="18" t="s">
        <v>175</v>
      </c>
      <c r="C24" s="9"/>
      <c r="D24" s="28">
        <f t="shared" si="14"/>
        <v>288011.72281999997</v>
      </c>
      <c r="E24" s="49">
        <v>4836.5382165168403</v>
      </c>
      <c r="F24" s="49">
        <v>7290.4744786452684</v>
      </c>
      <c r="G24" s="49">
        <v>109770.78578736179</v>
      </c>
      <c r="H24" s="49">
        <v>56155.781171041832</v>
      </c>
      <c r="I24" s="49">
        <v>109661.69963090691</v>
      </c>
      <c r="J24" s="49">
        <v>296.44353552733543</v>
      </c>
      <c r="M24" s="28">
        <f t="shared" si="15"/>
        <v>288011.72081999999</v>
      </c>
      <c r="N24" s="49">
        <f>[52]СводПЗ!$E$23</f>
        <v>4744.6514560327087</v>
      </c>
      <c r="O24" s="49">
        <f>[52]СводПЗ!$F$23</f>
        <v>7243.2554108919412</v>
      </c>
      <c r="P24" s="49">
        <f>[52]СводПЗ!$G$23</f>
        <v>109931.49373700329</v>
      </c>
      <c r="Q24" s="49">
        <f>[52]СводПЗ!$H$23</f>
        <v>56129.388931603586</v>
      </c>
      <c r="R24" s="49">
        <f>[52]СводПЗ!$I$23</f>
        <v>109791.55980596013</v>
      </c>
      <c r="S24" s="49">
        <f>[52]СводПЗ!$J$23</f>
        <v>171.37147850835498</v>
      </c>
      <c r="U24" s="91">
        <f t="shared" si="5"/>
        <v>1.9999999785795808E-3</v>
      </c>
      <c r="V24" s="96">
        <f t="shared" si="6"/>
        <v>6.9441616901144698E-9</v>
      </c>
      <c r="X24" s="15"/>
      <c r="Y24" s="15"/>
      <c r="AT24" s="93" t="e">
        <f>#REF!</f>
        <v>#REF!</v>
      </c>
      <c r="AU24" s="93" t="e">
        <f t="shared" si="10"/>
        <v>#REF!</v>
      </c>
      <c r="AV24" s="97" t="e">
        <f t="shared" si="11"/>
        <v>#REF!</v>
      </c>
      <c r="AX24" s="28" t="e">
        <f t="shared" si="16"/>
        <v>#REF!</v>
      </c>
      <c r="AY24" s="49" t="e">
        <f>#REF!</f>
        <v>#REF!</v>
      </c>
      <c r="AZ24" s="49" t="e">
        <f>#REF!</f>
        <v>#REF!</v>
      </c>
      <c r="BA24" s="49" t="e">
        <f>#REF!</f>
        <v>#REF!</v>
      </c>
      <c r="BB24" s="49" t="e">
        <f>#REF!</f>
        <v>#REF!</v>
      </c>
      <c r="BC24" s="49" t="e">
        <f>#REF!</f>
        <v>#REF!</v>
      </c>
      <c r="BD24" s="49" t="e">
        <f>#REF!</f>
        <v>#REF!</v>
      </c>
    </row>
    <row r="25" spans="1:56" s="4" customFormat="1" outlineLevel="1">
      <c r="A25" s="13"/>
      <c r="B25" s="18" t="s">
        <v>14</v>
      </c>
      <c r="C25" s="9"/>
      <c r="D25" s="28">
        <f t="shared" si="14"/>
        <v>22971.569966067822</v>
      </c>
      <c r="E25" s="49">
        <v>4119.7405662883866</v>
      </c>
      <c r="F25" s="49">
        <v>6225.8362057152472</v>
      </c>
      <c r="G25" s="49">
        <v>4589.9667224098457</v>
      </c>
      <c r="H25" s="49">
        <v>3337.1552608728807</v>
      </c>
      <c r="I25" s="49">
        <v>4526.5589370449634</v>
      </c>
      <c r="J25" s="49">
        <v>172.31227373649816</v>
      </c>
      <c r="M25" s="28">
        <f t="shared" si="15"/>
        <v>22971.569966067818</v>
      </c>
      <c r="N25" s="49">
        <f>[52]СводПЗ!$E$24</f>
        <v>4066.3303342732629</v>
      </c>
      <c r="O25" s="49">
        <f>[52]СводПЗ!$F$24</f>
        <v>6198.3896876889303</v>
      </c>
      <c r="P25" s="49">
        <f>[52]СводПЗ!$G$24</f>
        <v>4683.3807021224666</v>
      </c>
      <c r="Q25" s="49">
        <f>[52]СводПЗ!$H$24</f>
        <v>3321.8147439231325</v>
      </c>
      <c r="R25" s="49">
        <f>[52]СводПЗ!$I$24</f>
        <v>4602.0423092514839</v>
      </c>
      <c r="S25" s="49">
        <f>[52]СводПЗ!$J$24</f>
        <v>99.612188808543962</v>
      </c>
      <c r="U25" s="91">
        <f t="shared" si="5"/>
        <v>0</v>
      </c>
      <c r="V25" s="96">
        <f t="shared" si="6"/>
        <v>0</v>
      </c>
      <c r="X25" s="15"/>
      <c r="Y25" s="15"/>
      <c r="AT25" s="93" t="e">
        <f>#REF!</f>
        <v>#REF!</v>
      </c>
      <c r="AU25" s="93" t="e">
        <f t="shared" si="10"/>
        <v>#REF!</v>
      </c>
      <c r="AV25" s="97" t="e">
        <f t="shared" si="11"/>
        <v>#REF!</v>
      </c>
      <c r="AX25" s="28" t="e">
        <f t="shared" si="16"/>
        <v>#REF!</v>
      </c>
      <c r="AY25" s="49" t="e">
        <f>#REF!</f>
        <v>#REF!</v>
      </c>
      <c r="AZ25" s="49" t="e">
        <f>#REF!</f>
        <v>#REF!</v>
      </c>
      <c r="BA25" s="49" t="e">
        <f>#REF!</f>
        <v>#REF!</v>
      </c>
      <c r="BB25" s="49" t="e">
        <f>#REF!</f>
        <v>#REF!</v>
      </c>
      <c r="BC25" s="49" t="e">
        <f>#REF!</f>
        <v>#REF!</v>
      </c>
      <c r="BD25" s="49" t="e">
        <f>#REF!</f>
        <v>#REF!</v>
      </c>
    </row>
    <row r="26" spans="1:56" s="4" customFormat="1" ht="36" customHeight="1">
      <c r="A26" s="13" t="s">
        <v>15</v>
      </c>
      <c r="B26" s="12" t="s">
        <v>179</v>
      </c>
      <c r="C26" s="145" t="s">
        <v>9</v>
      </c>
      <c r="D26" s="25">
        <f t="shared" si="14"/>
        <v>76279.904332000035</v>
      </c>
      <c r="E26" s="52">
        <v>1639.6039514323304</v>
      </c>
      <c r="F26" s="52">
        <v>2491.3514498261839</v>
      </c>
      <c r="G26" s="52">
        <v>32729.312772600006</v>
      </c>
      <c r="H26" s="52">
        <v>1379.6859227414866</v>
      </c>
      <c r="I26" s="52">
        <v>37798.088184000007</v>
      </c>
      <c r="J26" s="52">
        <v>241.86205139999996</v>
      </c>
      <c r="M26" s="25">
        <f t="shared" si="15"/>
        <v>61848.571080000009</v>
      </c>
      <c r="N26" s="52">
        <f>[52]СводПЗ!E25</f>
        <v>1329.408609269457</v>
      </c>
      <c r="O26" s="52">
        <f>[52]СводПЗ!F25</f>
        <v>2020.014689048257</v>
      </c>
      <c r="P26" s="52">
        <f>[52]СводПЗ!G25</f>
        <v>26537.280626432435</v>
      </c>
      <c r="Q26" s="52">
        <f>[52]СводПЗ!H25</f>
        <v>1118.6642616822867</v>
      </c>
      <c r="R26" s="52">
        <f>[52]СводПЗ!I25</f>
        <v>30647.098527567574</v>
      </c>
      <c r="S26" s="52">
        <f>[52]СводПЗ!J25</f>
        <v>196.10436599999997</v>
      </c>
      <c r="U26" s="91">
        <f t="shared" si="5"/>
        <v>14431.333252000026</v>
      </c>
      <c r="V26" s="96">
        <f t="shared" si="6"/>
        <v>0.18918918918918948</v>
      </c>
      <c r="X26" s="15"/>
      <c r="Y26" s="15"/>
      <c r="AT26" s="92" t="e">
        <f>#REF!</f>
        <v>#REF!</v>
      </c>
      <c r="AU26" s="92" t="e">
        <f t="shared" si="10"/>
        <v>#REF!</v>
      </c>
      <c r="AV26" s="97" t="e">
        <f t="shared" si="11"/>
        <v>#REF!</v>
      </c>
      <c r="AX26" s="25" t="e">
        <f t="shared" si="16"/>
        <v>#REF!</v>
      </c>
      <c r="AY26" s="52" t="e">
        <f>#REF!</f>
        <v>#REF!</v>
      </c>
      <c r="AZ26" s="52" t="e">
        <f>#REF!</f>
        <v>#REF!</v>
      </c>
      <c r="BA26" s="52" t="e">
        <f>#REF!</f>
        <v>#REF!</v>
      </c>
      <c r="BB26" s="52" t="e">
        <f>#REF!</f>
        <v>#REF!</v>
      </c>
      <c r="BC26" s="52" t="e">
        <f>#REF!</f>
        <v>#REF!</v>
      </c>
      <c r="BD26" s="52" t="e">
        <f>#REF!</f>
        <v>#REF!</v>
      </c>
    </row>
    <row r="27" spans="1:56" s="6" customFormat="1" ht="27.75" customHeight="1">
      <c r="A27" s="19" t="s">
        <v>16</v>
      </c>
      <c r="B27" s="17" t="s">
        <v>273</v>
      </c>
      <c r="C27" s="7" t="s">
        <v>9</v>
      </c>
      <c r="D27" s="27">
        <f>SUM(D29:D32)</f>
        <v>1206129.5796632001</v>
      </c>
      <c r="E27" s="27">
        <f t="shared" ref="E27:J27" si="24">SUM(E29:E32)</f>
        <v>112257.6431603157</v>
      </c>
      <c r="F27" s="27">
        <f t="shared" si="24"/>
        <v>154800.14776992027</v>
      </c>
      <c r="G27" s="27">
        <f t="shared" si="24"/>
        <v>355999.27695063071</v>
      </c>
      <c r="H27" s="27">
        <f t="shared" si="24"/>
        <v>175652.11139453118</v>
      </c>
      <c r="I27" s="27">
        <f t="shared" si="24"/>
        <v>327250.9628990097</v>
      </c>
      <c r="J27" s="27">
        <f t="shared" si="24"/>
        <v>80169.437488792464</v>
      </c>
      <c r="M27" s="27">
        <f>SUM(M29:M32)</f>
        <v>1196407.4733271997</v>
      </c>
      <c r="N27" s="27">
        <f t="shared" ref="N27:S27" si="25">SUM(N29:N32)</f>
        <v>105958.85517350391</v>
      </c>
      <c r="O27" s="27">
        <f t="shared" si="25"/>
        <v>150763.89370804635</v>
      </c>
      <c r="P27" s="27">
        <f t="shared" si="25"/>
        <v>362495.06681887864</v>
      </c>
      <c r="Q27" s="27">
        <f t="shared" si="25"/>
        <v>172670.80032513049</v>
      </c>
      <c r="R27" s="27">
        <f t="shared" si="25"/>
        <v>332184.24103281222</v>
      </c>
      <c r="S27" s="27">
        <f t="shared" si="25"/>
        <v>72334.61626882838</v>
      </c>
      <c r="U27" s="91">
        <f t="shared" si="5"/>
        <v>9722.1063360003754</v>
      </c>
      <c r="V27" s="96">
        <f t="shared" si="6"/>
        <v>8.0605819639338883E-3</v>
      </c>
      <c r="X27" s="15"/>
      <c r="Y27" s="15"/>
      <c r="AT27" s="91" t="e">
        <f>SUM(AT29:AT32)</f>
        <v>#REF!</v>
      </c>
      <c r="AU27" s="91" t="e">
        <f t="shared" si="10"/>
        <v>#REF!</v>
      </c>
      <c r="AV27" s="98" t="e">
        <f t="shared" si="11"/>
        <v>#REF!</v>
      </c>
      <c r="AX27" s="27" t="e">
        <f>SUM(AX29:AX32)</f>
        <v>#REF!</v>
      </c>
      <c r="AY27" s="27" t="e">
        <f t="shared" ref="AY27:BD27" si="26">SUM(AY29:AY32)</f>
        <v>#REF!</v>
      </c>
      <c r="AZ27" s="27" t="e">
        <f t="shared" si="26"/>
        <v>#REF!</v>
      </c>
      <c r="BA27" s="27" t="e">
        <f t="shared" si="26"/>
        <v>#REF!</v>
      </c>
      <c r="BB27" s="27" t="e">
        <f t="shared" si="26"/>
        <v>#REF!</v>
      </c>
      <c r="BC27" s="27" t="e">
        <f t="shared" si="26"/>
        <v>#REF!</v>
      </c>
      <c r="BD27" s="27" t="e">
        <f t="shared" si="26"/>
        <v>#REF!</v>
      </c>
    </row>
    <row r="28" spans="1:56" s="4" customFormat="1">
      <c r="A28" s="13"/>
      <c r="B28" s="12" t="s">
        <v>7</v>
      </c>
      <c r="C28" s="145"/>
      <c r="D28" s="25"/>
      <c r="E28" s="25"/>
      <c r="F28" s="25"/>
      <c r="G28" s="25"/>
      <c r="H28" s="32"/>
      <c r="I28" s="33"/>
      <c r="J28" s="33"/>
      <c r="M28" s="25"/>
      <c r="N28" s="25"/>
      <c r="O28" s="25"/>
      <c r="P28" s="25"/>
      <c r="Q28" s="32"/>
      <c r="R28" s="33"/>
      <c r="S28" s="33"/>
      <c r="U28" s="91"/>
      <c r="V28" s="96"/>
      <c r="X28" s="15"/>
      <c r="Y28" s="15"/>
      <c r="AT28" s="92"/>
      <c r="AU28" s="92"/>
      <c r="AV28" s="97"/>
      <c r="AX28" s="25"/>
      <c r="AY28" s="25"/>
      <c r="AZ28" s="25"/>
      <c r="BA28" s="25"/>
      <c r="BB28" s="32"/>
      <c r="BC28" s="33"/>
      <c r="BD28" s="33"/>
    </row>
    <row r="29" spans="1:56" s="4" customFormat="1" ht="29.25" customHeight="1">
      <c r="A29" s="13" t="s">
        <v>17</v>
      </c>
      <c r="B29" s="12" t="s">
        <v>18</v>
      </c>
      <c r="C29" s="145" t="s">
        <v>9</v>
      </c>
      <c r="D29" s="25">
        <f t="shared" ref="D29:D33" si="27">SUM(E29:J29)</f>
        <v>1075601.3768</v>
      </c>
      <c r="E29" s="25">
        <v>100803.18763715524</v>
      </c>
      <c r="F29" s="25">
        <v>139004.77421947994</v>
      </c>
      <c r="G29" s="25">
        <v>316832.29037327215</v>
      </c>
      <c r="H29" s="33">
        <v>156816.88108876723</v>
      </c>
      <c r="I29" s="33">
        <v>290450.17665051087</v>
      </c>
      <c r="J29" s="33">
        <v>71694.066830814583</v>
      </c>
      <c r="M29" s="25">
        <f t="shared" ref="M29:M33" si="28">SUM(N29:S29)</f>
        <v>1073915.2327999999</v>
      </c>
      <c r="N29" s="25">
        <f>[52]СводПЗ!E28</f>
        <v>95890.776263006876</v>
      </c>
      <c r="O29" s="25">
        <f>[52]СводПЗ!F28</f>
        <v>136333.47497875191</v>
      </c>
      <c r="P29" s="25">
        <f>[52]СводПЗ!G28</f>
        <v>324593.31711066619</v>
      </c>
      <c r="Q29" s="33">
        <f>[52]СводПЗ!H28</f>
        <v>155190.53658416029</v>
      </c>
      <c r="R29" s="33">
        <f>[52]СводПЗ!I28</f>
        <v>296663.48559765192</v>
      </c>
      <c r="S29" s="33">
        <f>[52]СводПЗ!J28</f>
        <v>65243.642265762763</v>
      </c>
      <c r="U29" s="91">
        <f t="shared" si="5"/>
        <v>1686.1440000000875</v>
      </c>
      <c r="V29" s="96">
        <f t="shared" si="6"/>
        <v>1.5676290830126671E-3</v>
      </c>
      <c r="X29" s="15"/>
      <c r="Y29" s="15"/>
      <c r="AT29" s="92" t="e">
        <f>#REF!</f>
        <v>#REF!</v>
      </c>
      <c r="AU29" s="92" t="e">
        <f>D29-AT29</f>
        <v>#REF!</v>
      </c>
      <c r="AV29" s="97" t="e">
        <f t="shared" ref="AV29:AV35" si="29">100%-(AT29/D29)</f>
        <v>#REF!</v>
      </c>
      <c r="AX29" s="25" t="e">
        <f t="shared" ref="AX29:AX33" si="30">SUM(AY29:BD29)</f>
        <v>#REF!</v>
      </c>
      <c r="AY29" s="25" t="e">
        <f>#REF!</f>
        <v>#REF!</v>
      </c>
      <c r="AZ29" s="25" t="e">
        <f>#REF!</f>
        <v>#REF!</v>
      </c>
      <c r="BA29" s="25" t="e">
        <f>#REF!</f>
        <v>#REF!</v>
      </c>
      <c r="BB29" s="25" t="e">
        <f>#REF!</f>
        <v>#REF!</v>
      </c>
      <c r="BC29" s="25" t="e">
        <f>#REF!</f>
        <v>#REF!</v>
      </c>
      <c r="BD29" s="25" t="e">
        <f>#REF!</f>
        <v>#REF!</v>
      </c>
    </row>
    <row r="30" spans="1:56" s="4" customFormat="1" ht="29.25" customHeight="1">
      <c r="A30" s="13" t="s">
        <v>19</v>
      </c>
      <c r="B30" s="12" t="s">
        <v>20</v>
      </c>
      <c r="C30" s="145" t="s">
        <v>9</v>
      </c>
      <c r="D30" s="25">
        <f t="shared" si="27"/>
        <v>106484.5363032</v>
      </c>
      <c r="E30" s="25">
        <v>9979.5155760783673</v>
      </c>
      <c r="F30" s="25">
        <v>13761.472647728513</v>
      </c>
      <c r="G30" s="25">
        <v>31366.396746953946</v>
      </c>
      <c r="H30" s="33">
        <v>15524.871227787957</v>
      </c>
      <c r="I30" s="33">
        <v>28754.567488400578</v>
      </c>
      <c r="J30" s="33">
        <v>7097.7126162506447</v>
      </c>
      <c r="M30" s="25">
        <f t="shared" si="28"/>
        <v>106317.60804719999</v>
      </c>
      <c r="N30" s="25">
        <f>[52]СводПЗ!E29</f>
        <v>9493.1868500376822</v>
      </c>
      <c r="O30" s="25">
        <f>[52]СводПЗ!F29</f>
        <v>13497.014022896439</v>
      </c>
      <c r="P30" s="25">
        <f>[52]СводПЗ!G29</f>
        <v>32134.738393955955</v>
      </c>
      <c r="Q30" s="33">
        <f>[52]СводПЗ!H29</f>
        <v>15363.863121831871</v>
      </c>
      <c r="R30" s="33">
        <f>[52]СводПЗ!I29</f>
        <v>29369.685074167533</v>
      </c>
      <c r="S30" s="33">
        <f>[52]СводПЗ!J29</f>
        <v>6459.1205843105136</v>
      </c>
      <c r="U30" s="91">
        <f t="shared" si="5"/>
        <v>166.92825600001379</v>
      </c>
      <c r="V30" s="96">
        <f t="shared" si="6"/>
        <v>1.5676290830126671E-3</v>
      </c>
      <c r="X30" s="15"/>
      <c r="Y30" s="15"/>
      <c r="AT30" s="92" t="e">
        <f>#REF!</f>
        <v>#REF!</v>
      </c>
      <c r="AU30" s="92" t="e">
        <f>D30-AT30</f>
        <v>#REF!</v>
      </c>
      <c r="AV30" s="97" t="e">
        <f t="shared" si="29"/>
        <v>#REF!</v>
      </c>
      <c r="AX30" s="25" t="e">
        <f t="shared" si="30"/>
        <v>#REF!</v>
      </c>
      <c r="AY30" s="25" t="e">
        <f>#REF!</f>
        <v>#REF!</v>
      </c>
      <c r="AZ30" s="25" t="e">
        <f>#REF!</f>
        <v>#REF!</v>
      </c>
      <c r="BA30" s="25" t="e">
        <f>#REF!</f>
        <v>#REF!</v>
      </c>
      <c r="BB30" s="25" t="e">
        <f>#REF!</f>
        <v>#REF!</v>
      </c>
      <c r="BC30" s="25" t="e">
        <f>#REF!</f>
        <v>#REF!</v>
      </c>
      <c r="BD30" s="25" t="e">
        <f>#REF!</f>
        <v>#REF!</v>
      </c>
    </row>
    <row r="31" spans="1:56" s="4" customFormat="1" ht="37.5" customHeight="1">
      <c r="A31" s="142" t="s">
        <v>144</v>
      </c>
      <c r="B31" s="59" t="s">
        <v>145</v>
      </c>
      <c r="C31" s="143"/>
      <c r="D31" s="25">
        <f t="shared" si="27"/>
        <v>8305.5984000000008</v>
      </c>
      <c r="E31" s="60">
        <v>0</v>
      </c>
      <c r="F31" s="60">
        <v>0</v>
      </c>
      <c r="G31" s="60">
        <v>3164.7384000000002</v>
      </c>
      <c r="H31" s="61">
        <v>1015.8336</v>
      </c>
      <c r="I31" s="61">
        <v>3796.3872000000001</v>
      </c>
      <c r="J31" s="61">
        <v>328.63920000000002</v>
      </c>
      <c r="M31" s="25">
        <f t="shared" si="28"/>
        <v>8305.5984000000008</v>
      </c>
      <c r="N31" s="60">
        <f>[52]СводПЗ!E30</f>
        <v>0</v>
      </c>
      <c r="O31" s="60">
        <f>[52]СводПЗ!F30</f>
        <v>0</v>
      </c>
      <c r="P31" s="60">
        <f>[52]СводПЗ!G30</f>
        <v>3164.7384000000002</v>
      </c>
      <c r="Q31" s="61">
        <f>[52]СводПЗ!H30</f>
        <v>1015.8336</v>
      </c>
      <c r="R31" s="61">
        <f>[52]СводПЗ!I30</f>
        <v>3796.3872000000001</v>
      </c>
      <c r="S31" s="61">
        <f>[52]СводПЗ!J30</f>
        <v>328.63920000000002</v>
      </c>
      <c r="U31" s="91">
        <f t="shared" si="5"/>
        <v>0</v>
      </c>
      <c r="V31" s="96">
        <f t="shared" si="6"/>
        <v>0</v>
      </c>
      <c r="X31" s="15"/>
      <c r="Y31" s="15"/>
      <c r="AT31" s="92" t="e">
        <f>#REF!</f>
        <v>#REF!</v>
      </c>
      <c r="AU31" s="92" t="e">
        <f>D31-AT31</f>
        <v>#REF!</v>
      </c>
      <c r="AV31" s="97" t="e">
        <f t="shared" si="29"/>
        <v>#REF!</v>
      </c>
      <c r="AX31" s="25" t="e">
        <f t="shared" si="30"/>
        <v>#REF!</v>
      </c>
      <c r="AY31" s="25" t="e">
        <f>#REF!</f>
        <v>#REF!</v>
      </c>
      <c r="AZ31" s="25" t="e">
        <f>#REF!</f>
        <v>#REF!</v>
      </c>
      <c r="BA31" s="25" t="e">
        <f>#REF!</f>
        <v>#REF!</v>
      </c>
      <c r="BB31" s="25" t="e">
        <f>#REF!</f>
        <v>#REF!</v>
      </c>
      <c r="BC31" s="25" t="e">
        <f>#REF!</f>
        <v>#REF!</v>
      </c>
      <c r="BD31" s="25" t="e">
        <f>#REF!</f>
        <v>#REF!</v>
      </c>
    </row>
    <row r="32" spans="1:56" s="4" customFormat="1" ht="42.75" customHeight="1">
      <c r="A32" s="142" t="s">
        <v>146</v>
      </c>
      <c r="B32" s="59" t="s">
        <v>147</v>
      </c>
      <c r="C32" s="143"/>
      <c r="D32" s="25">
        <f t="shared" si="27"/>
        <v>15738.068159999997</v>
      </c>
      <c r="E32" s="60">
        <v>1474.9399470820929</v>
      </c>
      <c r="F32" s="60">
        <v>2033.9009027118102</v>
      </c>
      <c r="G32" s="60">
        <v>4635.8514304046284</v>
      </c>
      <c r="H32" s="61">
        <v>2294.5254779759721</v>
      </c>
      <c r="I32" s="61">
        <v>4249.8315600982596</v>
      </c>
      <c r="J32" s="61">
        <v>1049.018841727235</v>
      </c>
      <c r="M32" s="25">
        <f t="shared" si="28"/>
        <v>7869.0340800000004</v>
      </c>
      <c r="N32" s="60">
        <f>[52]СводПЗ!E31</f>
        <v>574.89206045934134</v>
      </c>
      <c r="O32" s="60">
        <f>[52]СводПЗ!F31</f>
        <v>933.40470639800094</v>
      </c>
      <c r="P32" s="60">
        <f>[52]СводПЗ!G31</f>
        <v>2602.2729142565054</v>
      </c>
      <c r="Q32" s="61">
        <f>[52]СводПЗ!H31</f>
        <v>1100.5670191383047</v>
      </c>
      <c r="R32" s="61">
        <f>[52]СводПЗ!I31</f>
        <v>2354.6831609927503</v>
      </c>
      <c r="S32" s="61">
        <f>[52]СводПЗ!J31</f>
        <v>303.21421875509702</v>
      </c>
      <c r="U32" s="91">
        <f t="shared" si="5"/>
        <v>7869.0340799999967</v>
      </c>
      <c r="V32" s="96">
        <f t="shared" si="6"/>
        <v>0.49999999999999989</v>
      </c>
      <c r="X32" s="15"/>
      <c r="Y32" s="15"/>
      <c r="AT32" s="92" t="e">
        <f>#REF!</f>
        <v>#REF!</v>
      </c>
      <c r="AU32" s="92" t="e">
        <f>D32-AT32</f>
        <v>#REF!</v>
      </c>
      <c r="AV32" s="97" t="e">
        <f t="shared" si="29"/>
        <v>#REF!</v>
      </c>
      <c r="AX32" s="25" t="e">
        <f t="shared" si="30"/>
        <v>#REF!</v>
      </c>
      <c r="AY32" s="25" t="e">
        <f>#REF!</f>
        <v>#REF!</v>
      </c>
      <c r="AZ32" s="25" t="e">
        <f>#REF!</f>
        <v>#REF!</v>
      </c>
      <c r="BA32" s="25" t="e">
        <f>#REF!</f>
        <v>#REF!</v>
      </c>
      <c r="BB32" s="25" t="e">
        <f>#REF!</f>
        <v>#REF!</v>
      </c>
      <c r="BC32" s="25" t="e">
        <f>#REF!</f>
        <v>#REF!</v>
      </c>
      <c r="BD32" s="25" t="e">
        <f>#REF!</f>
        <v>#REF!</v>
      </c>
    </row>
    <row r="33" spans="1:56" s="6" customFormat="1" ht="45.75" customHeight="1">
      <c r="A33" s="78" t="s">
        <v>21</v>
      </c>
      <c r="B33" s="17" t="s">
        <v>22</v>
      </c>
      <c r="C33" s="43" t="s">
        <v>9</v>
      </c>
      <c r="D33" s="31">
        <f t="shared" si="27"/>
        <v>2489153.8038947885</v>
      </c>
      <c r="E33" s="46">
        <v>1099839.5662673169</v>
      </c>
      <c r="F33" s="46">
        <v>837186.90265264537</v>
      </c>
      <c r="G33" s="46">
        <v>225025.69975796001</v>
      </c>
      <c r="H33" s="46">
        <v>99816.955462476995</v>
      </c>
      <c r="I33" s="46">
        <v>175927.24146127226</v>
      </c>
      <c r="J33" s="46">
        <v>51357.438293116582</v>
      </c>
      <c r="M33" s="31">
        <f t="shared" si="28"/>
        <v>2220718.321853674</v>
      </c>
      <c r="N33" s="46">
        <f>[52]СводПЗ!E32</f>
        <v>895527.52671471401</v>
      </c>
      <c r="O33" s="46">
        <f>[52]СводПЗ!F32</f>
        <v>736461.054635223</v>
      </c>
      <c r="P33" s="46">
        <f>[52]СводПЗ!G32</f>
        <v>496370.4941388361</v>
      </c>
      <c r="Q33" s="46">
        <f>[52]СводПЗ!H32</f>
        <v>46019.949909628544</v>
      </c>
      <c r="R33" s="46">
        <f>[52]СводПЗ!I32</f>
        <v>36948.170721742405</v>
      </c>
      <c r="S33" s="46">
        <f>[52]СводПЗ!J32</f>
        <v>9391.1257335300597</v>
      </c>
      <c r="U33" s="91">
        <f t="shared" si="5"/>
        <v>268435.48204111448</v>
      </c>
      <c r="V33" s="96">
        <f t="shared" si="6"/>
        <v>0.10784206328314971</v>
      </c>
      <c r="X33" s="15"/>
      <c r="Y33" s="15"/>
      <c r="AT33" s="91" t="e">
        <f>#REF!</f>
        <v>#REF!</v>
      </c>
      <c r="AU33" s="91" t="e">
        <f>D33-AT33</f>
        <v>#REF!</v>
      </c>
      <c r="AV33" s="98" t="e">
        <f t="shared" si="29"/>
        <v>#REF!</v>
      </c>
      <c r="AX33" s="31" t="e">
        <f t="shared" si="30"/>
        <v>#REF!</v>
      </c>
      <c r="AY33" s="46" t="e">
        <f>#REF!</f>
        <v>#REF!</v>
      </c>
      <c r="AZ33" s="46" t="e">
        <f>#REF!</f>
        <v>#REF!</v>
      </c>
      <c r="BA33" s="46" t="e">
        <f>#REF!</f>
        <v>#REF!</v>
      </c>
      <c r="BB33" s="46" t="e">
        <f>#REF!</f>
        <v>#REF!</v>
      </c>
      <c r="BC33" s="46" t="e">
        <f>#REF!</f>
        <v>#REF!</v>
      </c>
      <c r="BD33" s="46" t="e">
        <f>#REF!</f>
        <v>#REF!</v>
      </c>
    </row>
    <row r="34" spans="1:56" s="6" customFormat="1" ht="25.5" customHeight="1">
      <c r="A34" s="19" t="s">
        <v>23</v>
      </c>
      <c r="B34" s="17" t="s">
        <v>24</v>
      </c>
      <c r="C34" s="7" t="s">
        <v>9</v>
      </c>
      <c r="D34" s="31">
        <f>SUM(E34:I34)</f>
        <v>0</v>
      </c>
      <c r="E34" s="31"/>
      <c r="F34" s="31"/>
      <c r="G34" s="31"/>
      <c r="H34" s="31"/>
      <c r="I34" s="31"/>
      <c r="J34" s="31"/>
      <c r="M34" s="31">
        <f>SUM(N34:R34)</f>
        <v>0</v>
      </c>
      <c r="N34" s="31"/>
      <c r="O34" s="31"/>
      <c r="P34" s="31"/>
      <c r="Q34" s="31"/>
      <c r="R34" s="31"/>
      <c r="S34" s="31"/>
      <c r="U34" s="91"/>
      <c r="V34" s="96"/>
      <c r="X34" s="15"/>
      <c r="Y34" s="15"/>
      <c r="AT34" s="91"/>
      <c r="AU34" s="92"/>
      <c r="AV34" s="97"/>
      <c r="AX34" s="31">
        <f>SUM(AY34:BC34)</f>
        <v>0</v>
      </c>
      <c r="AY34" s="31"/>
      <c r="AZ34" s="31"/>
      <c r="BA34" s="31"/>
      <c r="BB34" s="31"/>
      <c r="BC34" s="31"/>
      <c r="BD34" s="31"/>
    </row>
    <row r="35" spans="1:56" s="6" customFormat="1">
      <c r="A35" s="19" t="s">
        <v>25</v>
      </c>
      <c r="B35" s="17" t="s">
        <v>26</v>
      </c>
      <c r="C35" s="7" t="s">
        <v>9</v>
      </c>
      <c r="D35" s="31">
        <f>SUM(E35:J35)</f>
        <v>915347.05063624785</v>
      </c>
      <c r="E35" s="27">
        <f>E37+E38+E39+E40+E46+E69+E71+E76</f>
        <v>199103.09201767843</v>
      </c>
      <c r="F35" s="27">
        <f t="shared" ref="F35:AT35" si="31">F37+F38+F39+F40+F46+F69+F71+F76</f>
        <v>169679.97834059433</v>
      </c>
      <c r="G35" s="27">
        <f t="shared" si="31"/>
        <v>197888.92081579604</v>
      </c>
      <c r="H35" s="27">
        <f t="shared" si="31"/>
        <v>140647.59516813426</v>
      </c>
      <c r="I35" s="27">
        <f t="shared" si="31"/>
        <v>179834.13492647422</v>
      </c>
      <c r="J35" s="27">
        <f t="shared" si="31"/>
        <v>28193.329367570681</v>
      </c>
      <c r="M35" s="31">
        <f>SUM(N35:S35)</f>
        <v>858965.64125132258</v>
      </c>
      <c r="N35" s="27">
        <f>N37+N38+N39+N40+N46+N69+N71+N76</f>
        <v>164738.23756560116</v>
      </c>
      <c r="O35" s="27">
        <f t="shared" ref="O35:S35" si="32">O37+O38+O39+O40+O46+O69+O71+O76</f>
        <v>136072.90154033893</v>
      </c>
      <c r="P35" s="27">
        <f t="shared" si="32"/>
        <v>243041.35317007365</v>
      </c>
      <c r="Q35" s="27">
        <f t="shared" si="32"/>
        <v>131847.97812531592</v>
      </c>
      <c r="R35" s="27">
        <f t="shared" si="32"/>
        <v>170084.23628307015</v>
      </c>
      <c r="S35" s="27">
        <f t="shared" si="32"/>
        <v>13180.934566922686</v>
      </c>
      <c r="U35" s="91">
        <f t="shared" si="5"/>
        <v>56381.409384925268</v>
      </c>
      <c r="V35" s="96">
        <f t="shared" si="6"/>
        <v>6.1595664011519058E-2</v>
      </c>
      <c r="X35" s="15"/>
      <c r="Y35" s="15"/>
      <c r="AT35" s="99" t="e">
        <f t="shared" si="31"/>
        <v>#REF!</v>
      </c>
      <c r="AU35" s="91" t="e">
        <f>D35-AT35</f>
        <v>#REF!</v>
      </c>
      <c r="AV35" s="98" t="e">
        <f t="shared" si="29"/>
        <v>#REF!</v>
      </c>
      <c r="AX35" s="31" t="e">
        <f>SUM(AY35:BD35)</f>
        <v>#REF!</v>
      </c>
      <c r="AY35" s="27" t="e">
        <f>AY37+AY38+AY39+AY40+AY46+AY69+AY71+AY76</f>
        <v>#REF!</v>
      </c>
      <c r="AZ35" s="27" t="e">
        <f t="shared" ref="AZ35:BD35" si="33">AZ37+AZ38+AZ39+AZ40+AZ46+AZ69+AZ71+AZ76</f>
        <v>#REF!</v>
      </c>
      <c r="BA35" s="27" t="e">
        <f t="shared" si="33"/>
        <v>#REF!</v>
      </c>
      <c r="BB35" s="27" t="e">
        <f t="shared" si="33"/>
        <v>#REF!</v>
      </c>
      <c r="BC35" s="27" t="e">
        <f t="shared" si="33"/>
        <v>#REF!</v>
      </c>
      <c r="BD35" s="27" t="e">
        <f t="shared" si="33"/>
        <v>#REF!</v>
      </c>
    </row>
    <row r="36" spans="1:56" s="4" customFormat="1" ht="28.5" customHeight="1">
      <c r="A36" s="13"/>
      <c r="B36" s="12" t="s">
        <v>7</v>
      </c>
      <c r="C36" s="145"/>
      <c r="D36" s="25"/>
      <c r="E36" s="31"/>
      <c r="F36" s="31"/>
      <c r="G36" s="31"/>
      <c r="H36" s="32"/>
      <c r="I36" s="33"/>
      <c r="J36" s="33"/>
      <c r="M36" s="25"/>
      <c r="N36" s="31"/>
      <c r="O36" s="31"/>
      <c r="P36" s="31"/>
      <c r="Q36" s="32"/>
      <c r="R36" s="33"/>
      <c r="S36" s="33"/>
      <c r="U36" s="91"/>
      <c r="V36" s="96"/>
      <c r="X36" s="15"/>
      <c r="Y36" s="15"/>
      <c r="AT36" s="92"/>
      <c r="AU36" s="92"/>
      <c r="AV36" s="97"/>
      <c r="AX36" s="25"/>
      <c r="AY36" s="31"/>
      <c r="AZ36" s="31"/>
      <c r="BA36" s="31"/>
      <c r="BB36" s="32"/>
      <c r="BC36" s="33"/>
      <c r="BD36" s="33"/>
    </row>
    <row r="37" spans="1:56" s="4" customFormat="1" ht="28.5" customHeight="1">
      <c r="A37" s="13" t="s">
        <v>27</v>
      </c>
      <c r="B37" s="12" t="s">
        <v>28</v>
      </c>
      <c r="C37" s="145" t="s">
        <v>9</v>
      </c>
      <c r="D37" s="25">
        <f t="shared" ref="D37:D90" si="34">SUM(E37:J37)</f>
        <v>6258.5412933942844</v>
      </c>
      <c r="E37" s="25">
        <v>586.53784379658339</v>
      </c>
      <c r="F37" s="25">
        <v>808.81926910486698</v>
      </c>
      <c r="G37" s="25">
        <v>1843.5342452620523</v>
      </c>
      <c r="H37" s="33">
        <v>912.46157448703548</v>
      </c>
      <c r="I37" s="33">
        <v>1690.026122548272</v>
      </c>
      <c r="J37" s="33">
        <v>417.16223819547525</v>
      </c>
      <c r="M37" s="25">
        <f>[52]СводПЗ!$C$36</f>
        <v>6258.5412933942862</v>
      </c>
      <c r="N37" s="25">
        <f>$M$37*N91</f>
        <v>457.23346258900847</v>
      </c>
      <c r="O37" s="25">
        <f>$M$37*O91</f>
        <v>742.37216906810738</v>
      </c>
      <c r="P37" s="25">
        <f t="shared" ref="P37:S37" si="35">$M$37*P91</f>
        <v>2069.686358577294</v>
      </c>
      <c r="Q37" s="25">
        <f t="shared" si="35"/>
        <v>875.32269722041167</v>
      </c>
      <c r="R37" s="25">
        <f t="shared" si="35"/>
        <v>1872.7688361890171</v>
      </c>
      <c r="S37" s="25">
        <f t="shared" si="35"/>
        <v>241.15776975044733</v>
      </c>
      <c r="U37" s="91">
        <f t="shared" si="5"/>
        <v>0</v>
      </c>
      <c r="V37" s="96">
        <f t="shared" si="6"/>
        <v>0</v>
      </c>
      <c r="X37" s="15"/>
      <c r="Y37" s="15"/>
      <c r="AT37" s="92" t="e">
        <f>#REF!</f>
        <v>#REF!</v>
      </c>
      <c r="AU37" s="92" t="e">
        <f t="shared" ref="AU37:AU90" si="36">D37-AT37</f>
        <v>#REF!</v>
      </c>
      <c r="AV37" s="97" t="e">
        <f t="shared" ref="AV37:AV90" si="37">100%-(AT37/D37)</f>
        <v>#REF!</v>
      </c>
      <c r="AX37" s="25" t="e">
        <f t="shared" ref="AX37:AX90" si="38">SUM(AY37:BD37)</f>
        <v>#REF!</v>
      </c>
      <c r="AY37" s="25" t="e">
        <f>#REF!</f>
        <v>#REF!</v>
      </c>
      <c r="AZ37" s="25" t="e">
        <f>#REF!</f>
        <v>#REF!</v>
      </c>
      <c r="BA37" s="25" t="e">
        <f>#REF!</f>
        <v>#REF!</v>
      </c>
      <c r="BB37" s="25" t="e">
        <f>#REF!</f>
        <v>#REF!</v>
      </c>
      <c r="BC37" s="25" t="e">
        <f>#REF!</f>
        <v>#REF!</v>
      </c>
      <c r="BD37" s="25" t="e">
        <f>#REF!</f>
        <v>#REF!</v>
      </c>
    </row>
    <row r="38" spans="1:56" s="4" customFormat="1" ht="28.5" customHeight="1">
      <c r="A38" s="13" t="s">
        <v>29</v>
      </c>
      <c r="B38" s="12" t="s">
        <v>30</v>
      </c>
      <c r="C38" s="145" t="s">
        <v>9</v>
      </c>
      <c r="D38" s="25">
        <f t="shared" si="34"/>
        <v>2234.5857982142857</v>
      </c>
      <c r="E38" s="25">
        <v>209.42086572895963</v>
      </c>
      <c r="F38" s="25">
        <v>288.78551204438469</v>
      </c>
      <c r="G38" s="25">
        <v>658.22613447199387</v>
      </c>
      <c r="H38" s="33">
        <v>325.7905604804518</v>
      </c>
      <c r="I38" s="33">
        <v>603.416706069116</v>
      </c>
      <c r="J38" s="33">
        <v>148.94601941937952</v>
      </c>
      <c r="M38" s="25">
        <f>[52]СводПЗ!$C$37</f>
        <v>1398.3066999999996</v>
      </c>
      <c r="N38" s="25">
        <f>$M$38*N91</f>
        <v>102.15681006646523</v>
      </c>
      <c r="O38" s="25">
        <f t="shared" ref="O38:S38" si="39">$M$38*O91</f>
        <v>165.86356616311124</v>
      </c>
      <c r="P38" s="25">
        <f t="shared" si="39"/>
        <v>462.41706596261128</v>
      </c>
      <c r="Q38" s="25">
        <f t="shared" si="39"/>
        <v>195.5678703402082</v>
      </c>
      <c r="R38" s="25">
        <f t="shared" si="39"/>
        <v>418.42101672450002</v>
      </c>
      <c r="S38" s="25">
        <f t="shared" si="39"/>
        <v>53.880370743103676</v>
      </c>
      <c r="U38" s="91">
        <f t="shared" si="5"/>
        <v>836.27909821428602</v>
      </c>
      <c r="V38" s="96">
        <f t="shared" si="6"/>
        <v>0.3742434498968793</v>
      </c>
      <c r="X38" s="15"/>
      <c r="Y38" s="15"/>
      <c r="AT38" s="92" t="e">
        <f>#REF!</f>
        <v>#REF!</v>
      </c>
      <c r="AU38" s="92" t="e">
        <f t="shared" si="36"/>
        <v>#REF!</v>
      </c>
      <c r="AV38" s="97" t="e">
        <f t="shared" si="37"/>
        <v>#REF!</v>
      </c>
      <c r="AX38" s="25" t="e">
        <f t="shared" si="38"/>
        <v>#REF!</v>
      </c>
      <c r="AY38" s="25" t="e">
        <f>#REF!</f>
        <v>#REF!</v>
      </c>
      <c r="AZ38" s="25" t="e">
        <f>#REF!</f>
        <v>#REF!</v>
      </c>
      <c r="BA38" s="25" t="e">
        <f>#REF!</f>
        <v>#REF!</v>
      </c>
      <c r="BB38" s="25" t="e">
        <f>#REF!</f>
        <v>#REF!</v>
      </c>
      <c r="BC38" s="25" t="e">
        <f>#REF!</f>
        <v>#REF!</v>
      </c>
      <c r="BD38" s="25" t="e">
        <f>#REF!</f>
        <v>#REF!</v>
      </c>
    </row>
    <row r="39" spans="1:56" s="4" customFormat="1" ht="28.5" customHeight="1">
      <c r="A39" s="13" t="s">
        <v>31</v>
      </c>
      <c r="B39" s="12" t="s">
        <v>32</v>
      </c>
      <c r="C39" s="145" t="s">
        <v>9</v>
      </c>
      <c r="D39" s="25">
        <f>SUM(E39:J39)</f>
        <v>20478.45736</v>
      </c>
      <c r="E39" s="25">
        <v>1919.1996443152584</v>
      </c>
      <c r="F39" s="25">
        <v>2646.522590142939</v>
      </c>
      <c r="G39" s="25">
        <v>6032.1943506461594</v>
      </c>
      <c r="H39" s="52">
        <v>2985.6486631307462</v>
      </c>
      <c r="I39" s="33">
        <v>5529.9032578757424</v>
      </c>
      <c r="J39" s="33">
        <v>1364.9888538891528</v>
      </c>
      <c r="M39" s="25">
        <f>[52]СводПЗ!$C$38</f>
        <v>15026.88236</v>
      </c>
      <c r="N39" s="25">
        <f>$M$39*N91</f>
        <v>1097.8266550118349</v>
      </c>
      <c r="O39" s="25">
        <f t="shared" ref="O39:S39" si="40">$M$39*O91</f>
        <v>1782.450371254854</v>
      </c>
      <c r="P39" s="25">
        <f t="shared" si="40"/>
        <v>4969.3581897852027</v>
      </c>
      <c r="Q39" s="25">
        <f t="shared" si="40"/>
        <v>2101.667238666626</v>
      </c>
      <c r="R39" s="25">
        <f t="shared" si="40"/>
        <v>4496.5552945363524</v>
      </c>
      <c r="S39" s="25">
        <f t="shared" si="40"/>
        <v>579.02461074512826</v>
      </c>
      <c r="U39" s="91">
        <f t="shared" si="5"/>
        <v>5451.5750000000007</v>
      </c>
      <c r="V39" s="96">
        <f t="shared" si="6"/>
        <v>0.26621023762504736</v>
      </c>
      <c r="X39" s="15"/>
      <c r="Y39" s="15"/>
      <c r="AT39" s="92" t="e">
        <f>#REF!</f>
        <v>#REF!</v>
      </c>
      <c r="AU39" s="92" t="e">
        <f t="shared" si="36"/>
        <v>#REF!</v>
      </c>
      <c r="AV39" s="97" t="e">
        <f t="shared" si="37"/>
        <v>#REF!</v>
      </c>
      <c r="AX39" s="25" t="e">
        <f>SUM(AY39:BD39)</f>
        <v>#REF!</v>
      </c>
      <c r="AY39" s="25" t="e">
        <f>#REF!</f>
        <v>#REF!</v>
      </c>
      <c r="AZ39" s="25" t="e">
        <f>#REF!</f>
        <v>#REF!</v>
      </c>
      <c r="BA39" s="25" t="e">
        <f>#REF!</f>
        <v>#REF!</v>
      </c>
      <c r="BB39" s="25" t="e">
        <f>#REF!</f>
        <v>#REF!</v>
      </c>
      <c r="BC39" s="25" t="e">
        <f>#REF!</f>
        <v>#REF!</v>
      </c>
      <c r="BD39" s="25" t="e">
        <f>#REF!</f>
        <v>#REF!</v>
      </c>
    </row>
    <row r="40" spans="1:56" s="4" customFormat="1" ht="28.5" customHeight="1">
      <c r="A40" s="13" t="s">
        <v>33</v>
      </c>
      <c r="B40" s="12" t="s">
        <v>34</v>
      </c>
      <c r="C40" s="7" t="s">
        <v>9</v>
      </c>
      <c r="D40" s="25">
        <f t="shared" si="34"/>
        <v>390838.78575275984</v>
      </c>
      <c r="E40" s="25">
        <f>SUM(E41:E45)</f>
        <v>170983.24303371712</v>
      </c>
      <c r="F40" s="25">
        <f t="shared" ref="F40:J40" si="41">SUM(F41:F45)</f>
        <v>130506.12212375256</v>
      </c>
      <c r="G40" s="25">
        <f t="shared" si="41"/>
        <v>36331.179809635156</v>
      </c>
      <c r="H40" s="25">
        <f t="shared" si="41"/>
        <v>16316.845828581792</v>
      </c>
      <c r="I40" s="25">
        <f t="shared" si="41"/>
        <v>28711.717231572711</v>
      </c>
      <c r="J40" s="25">
        <f t="shared" si="41"/>
        <v>7989.6777255004772</v>
      </c>
      <c r="M40" s="25">
        <f t="shared" ref="M40:M73" si="42">SUM(N40:S40)</f>
        <v>327658.90089290589</v>
      </c>
      <c r="N40" s="25">
        <f>SUM(N41:N45)</f>
        <v>143451.66851664681</v>
      </c>
      <c r="O40" s="25">
        <f t="shared" ref="O40:S40" si="43">SUM(O41:O45)</f>
        <v>101806.1526480422</v>
      </c>
      <c r="P40" s="25">
        <f t="shared" si="43"/>
        <v>67819.462679496122</v>
      </c>
      <c r="Q40" s="25">
        <f t="shared" si="43"/>
        <v>6723.7434430102267</v>
      </c>
      <c r="R40" s="25">
        <f t="shared" si="43"/>
        <v>6627.8888512842823</v>
      </c>
      <c r="S40" s="25">
        <f t="shared" si="43"/>
        <v>1229.9847544262102</v>
      </c>
      <c r="U40" s="91">
        <f t="shared" si="5"/>
        <v>63179.884859853948</v>
      </c>
      <c r="V40" s="96">
        <f t="shared" si="6"/>
        <v>0.16165203445243748</v>
      </c>
      <c r="X40" s="15"/>
      <c r="Y40" s="15"/>
      <c r="AT40" s="92" t="e">
        <f>SUM(AT41:AT45)</f>
        <v>#REF!</v>
      </c>
      <c r="AU40" s="92" t="e">
        <f t="shared" si="36"/>
        <v>#REF!</v>
      </c>
      <c r="AV40" s="97" t="e">
        <f t="shared" si="37"/>
        <v>#REF!</v>
      </c>
      <c r="AX40" s="25" t="e">
        <f t="shared" si="38"/>
        <v>#REF!</v>
      </c>
      <c r="AY40" s="25" t="e">
        <f>SUM(AY41:AY45)</f>
        <v>#REF!</v>
      </c>
      <c r="AZ40" s="25" t="e">
        <f t="shared" ref="AZ40:BD40" si="44">SUM(AZ41:AZ45)</f>
        <v>#REF!</v>
      </c>
      <c r="BA40" s="25" t="e">
        <f t="shared" si="44"/>
        <v>#REF!</v>
      </c>
      <c r="BB40" s="25" t="e">
        <f t="shared" si="44"/>
        <v>#REF!</v>
      </c>
      <c r="BC40" s="25" t="e">
        <f t="shared" si="44"/>
        <v>#REF!</v>
      </c>
      <c r="BD40" s="25" t="e">
        <f t="shared" si="44"/>
        <v>#REF!</v>
      </c>
    </row>
    <row r="41" spans="1:56" s="4" customFormat="1" ht="28.5" customHeight="1">
      <c r="A41" s="13"/>
      <c r="B41" s="18" t="s">
        <v>148</v>
      </c>
      <c r="C41" s="7" t="s">
        <v>9</v>
      </c>
      <c r="D41" s="28">
        <f t="shared" si="34"/>
        <v>7049.5699300135602</v>
      </c>
      <c r="E41" s="49">
        <v>3114.8721794794146</v>
      </c>
      <c r="F41" s="49">
        <v>2371.0096200189391</v>
      </c>
      <c r="G41" s="49">
        <v>637.29866913480055</v>
      </c>
      <c r="H41" s="50">
        <v>282.693101018005</v>
      </c>
      <c r="I41" s="50">
        <v>498.24618685075086</v>
      </c>
      <c r="J41" s="50">
        <v>145.45017351165043</v>
      </c>
      <c r="M41" s="28">
        <f>[52]СводПЗ!$C$40</f>
        <v>7049.5699299999997</v>
      </c>
      <c r="N41" s="49">
        <f>$M$41*N93</f>
        <v>3123.4157002076759</v>
      </c>
      <c r="O41" s="49">
        <f t="shared" ref="O41:S41" si="45">$M$41*O93</f>
        <v>2208.3313074915905</v>
      </c>
      <c r="P41" s="49">
        <f t="shared" si="45"/>
        <v>1449.6648856412289</v>
      </c>
      <c r="Q41" s="49">
        <f t="shared" si="45"/>
        <v>128.52151854332087</v>
      </c>
      <c r="R41" s="49">
        <f t="shared" si="45"/>
        <v>113.18047634233631</v>
      </c>
      <c r="S41" s="49">
        <f t="shared" si="45"/>
        <v>26.456041773847414</v>
      </c>
      <c r="U41" s="91">
        <f t="shared" si="5"/>
        <v>1.356056600343436E-8</v>
      </c>
      <c r="V41" s="96">
        <f t="shared" si="6"/>
        <v>1.9235724124655462E-12</v>
      </c>
      <c r="X41" s="15"/>
      <c r="Y41" s="15"/>
      <c r="AT41" s="93" t="e">
        <f>#REF!</f>
        <v>#REF!</v>
      </c>
      <c r="AU41" s="93" t="e">
        <f t="shared" si="36"/>
        <v>#REF!</v>
      </c>
      <c r="AV41" s="97" t="e">
        <f t="shared" si="37"/>
        <v>#REF!</v>
      </c>
      <c r="AX41" s="28" t="e">
        <f t="shared" si="38"/>
        <v>#REF!</v>
      </c>
      <c r="AY41" s="49" t="e">
        <f>#REF!</f>
        <v>#REF!</v>
      </c>
      <c r="AZ41" s="49" t="e">
        <f>#REF!</f>
        <v>#REF!</v>
      </c>
      <c r="BA41" s="49" t="e">
        <f>#REF!</f>
        <v>#REF!</v>
      </c>
      <c r="BB41" s="49" t="e">
        <f>#REF!</f>
        <v>#REF!</v>
      </c>
      <c r="BC41" s="49" t="e">
        <f>#REF!</f>
        <v>#REF!</v>
      </c>
      <c r="BD41" s="49" t="e">
        <f>#REF!</f>
        <v>#REF!</v>
      </c>
    </row>
    <row r="42" spans="1:56" s="4" customFormat="1" ht="28.5" customHeight="1">
      <c r="A42" s="13"/>
      <c r="B42" s="18" t="s">
        <v>97</v>
      </c>
      <c r="C42" s="7" t="s">
        <v>9</v>
      </c>
      <c r="D42" s="28">
        <f t="shared" si="34"/>
        <v>378846.2362985785</v>
      </c>
      <c r="E42" s="49">
        <v>167394.268510314</v>
      </c>
      <c r="F42" s="49">
        <v>127418.84677923474</v>
      </c>
      <c r="G42" s="49">
        <v>34248.642767821715</v>
      </c>
      <c r="H42" s="50">
        <v>15192.021415700614</v>
      </c>
      <c r="I42" s="50">
        <v>26775.916050550088</v>
      </c>
      <c r="J42" s="50">
        <v>7816.5407749573169</v>
      </c>
      <c r="M42" s="177">
        <f>[52]СводПЗ!$C$41</f>
        <v>315666.35143873811</v>
      </c>
      <c r="N42" s="178">
        <f>$M$42*N93</f>
        <v>139860.62240693718</v>
      </c>
      <c r="O42" s="178">
        <f t="shared" ref="O42:S42" si="46">$M$42*O93</f>
        <v>98884.881421952014</v>
      </c>
      <c r="P42" s="178">
        <f t="shared" si="46"/>
        <v>64913.240070408421</v>
      </c>
      <c r="Q42" s="178">
        <f t="shared" si="46"/>
        <v>5754.9494852569296</v>
      </c>
      <c r="R42" s="178">
        <f t="shared" si="46"/>
        <v>5068.0067544324256</v>
      </c>
      <c r="S42" s="178">
        <f t="shared" si="46"/>
        <v>1184.6512997511686</v>
      </c>
      <c r="U42" s="91">
        <f t="shared" si="5"/>
        <v>63179.884859840386</v>
      </c>
      <c r="V42" s="96">
        <f t="shared" si="6"/>
        <v>0.16676920292814179</v>
      </c>
      <c r="X42" s="15"/>
      <c r="Y42" s="15"/>
      <c r="AT42" s="93" t="e">
        <f>#REF!</f>
        <v>#REF!</v>
      </c>
      <c r="AU42" s="93" t="e">
        <f t="shared" si="36"/>
        <v>#REF!</v>
      </c>
      <c r="AV42" s="97" t="e">
        <f t="shared" si="37"/>
        <v>#REF!</v>
      </c>
      <c r="AX42" s="28" t="e">
        <f t="shared" si="38"/>
        <v>#REF!</v>
      </c>
      <c r="AY42" s="49" t="e">
        <f>#REF!</f>
        <v>#REF!</v>
      </c>
      <c r="AZ42" s="49" t="e">
        <f>#REF!</f>
        <v>#REF!</v>
      </c>
      <c r="BA42" s="49" t="e">
        <f>#REF!</f>
        <v>#REF!</v>
      </c>
      <c r="BB42" s="49" t="e">
        <f>#REF!</f>
        <v>#REF!</v>
      </c>
      <c r="BC42" s="49" t="e">
        <f>#REF!</f>
        <v>#REF!</v>
      </c>
      <c r="BD42" s="49" t="e">
        <f>#REF!</f>
        <v>#REF!</v>
      </c>
    </row>
    <row r="43" spans="1:56" s="4" customFormat="1" ht="28.5" customHeight="1" outlineLevel="1">
      <c r="A43" s="13"/>
      <c r="B43" s="18" t="s">
        <v>35</v>
      </c>
      <c r="C43" s="7" t="s">
        <v>9</v>
      </c>
      <c r="D43" s="28">
        <f t="shared" si="34"/>
        <v>128.84779999999998</v>
      </c>
      <c r="E43" s="49">
        <v>16.364254279270934</v>
      </c>
      <c r="F43" s="49">
        <v>23.503136651235732</v>
      </c>
      <c r="G43" s="49">
        <v>30.468116405965723</v>
      </c>
      <c r="H43" s="50">
        <v>16.87976098195557</v>
      </c>
      <c r="I43" s="50">
        <v>27.93108550234945</v>
      </c>
      <c r="J43" s="50">
        <v>13.701446179222581</v>
      </c>
      <c r="M43" s="28">
        <f t="shared" si="42"/>
        <v>128.84780000000001</v>
      </c>
      <c r="N43" s="49">
        <f>[52]СводПЗ!E42</f>
        <v>14.227238952021755</v>
      </c>
      <c r="O43" s="49">
        <f>[52]СводПЗ!F42</f>
        <v>22.404964494161934</v>
      </c>
      <c r="P43" s="49">
        <f>[52]СводПЗ!G42</f>
        <v>34.2057355641954</v>
      </c>
      <c r="Q43" s="50">
        <f>[52]СводПЗ!H42</f>
        <v>16.265966234906799</v>
      </c>
      <c r="R43" s="50">
        <f>[52]СводПЗ!I42</f>
        <v>30.951276901482824</v>
      </c>
      <c r="S43" s="50">
        <f>[52]СводПЗ!J42</f>
        <v>10.792617853231292</v>
      </c>
      <c r="U43" s="91">
        <f t="shared" si="5"/>
        <v>0</v>
      </c>
      <c r="V43" s="96">
        <f t="shared" si="6"/>
        <v>0</v>
      </c>
      <c r="X43" s="15"/>
      <c r="Y43" s="15"/>
      <c r="AT43" s="93" t="e">
        <f>#REF!</f>
        <v>#REF!</v>
      </c>
      <c r="AU43" s="93" t="e">
        <f t="shared" si="36"/>
        <v>#REF!</v>
      </c>
      <c r="AV43" s="97" t="e">
        <f t="shared" si="37"/>
        <v>#REF!</v>
      </c>
      <c r="AX43" s="28" t="e">
        <f t="shared" si="38"/>
        <v>#REF!</v>
      </c>
      <c r="AY43" s="49" t="e">
        <f>#REF!</f>
        <v>#REF!</v>
      </c>
      <c r="AZ43" s="49" t="e">
        <f>#REF!</f>
        <v>#REF!</v>
      </c>
      <c r="BA43" s="49" t="e">
        <f>#REF!</f>
        <v>#REF!</v>
      </c>
      <c r="BB43" s="49" t="e">
        <f>#REF!</f>
        <v>#REF!</v>
      </c>
      <c r="BC43" s="49" t="e">
        <f>#REF!</f>
        <v>#REF!</v>
      </c>
      <c r="BD43" s="49" t="e">
        <f>#REF!</f>
        <v>#REF!</v>
      </c>
    </row>
    <row r="44" spans="1:56" s="4" customFormat="1" ht="28.5" customHeight="1" outlineLevel="1">
      <c r="A44" s="142"/>
      <c r="B44" s="56" t="s">
        <v>36</v>
      </c>
      <c r="C44" s="144"/>
      <c r="D44" s="28">
        <f t="shared" si="34"/>
        <v>4655.3017241677644</v>
      </c>
      <c r="E44" s="49">
        <v>442.85286298169564</v>
      </c>
      <c r="F44" s="49">
        <v>672.23627692475134</v>
      </c>
      <c r="G44" s="49">
        <v>1367.9848264978496</v>
      </c>
      <c r="H44" s="50">
        <v>802.09499329347022</v>
      </c>
      <c r="I44" s="50">
        <v>1366.7342261603294</v>
      </c>
      <c r="J44" s="50">
        <v>3.3985383096677753</v>
      </c>
      <c r="M44" s="28">
        <f t="shared" si="42"/>
        <v>4655.3017241677644</v>
      </c>
      <c r="N44" s="49">
        <f>[52]СводПЗ!E43</f>
        <v>441.79944574277499</v>
      </c>
      <c r="O44" s="49">
        <f>[52]СводПЗ!F43</f>
        <v>671.69494553287348</v>
      </c>
      <c r="P44" s="49">
        <f>[52]СводПЗ!G43</f>
        <v>1369.8272430699701</v>
      </c>
      <c r="Q44" s="50">
        <f>[52]СводПЗ!H43</f>
        <v>801.79243020023659</v>
      </c>
      <c r="R44" s="50">
        <f>[52]СводПЗ!I43</f>
        <v>1368.2229949324196</v>
      </c>
      <c r="S44" s="50">
        <f>[52]СводПЗ!J43</f>
        <v>1.9646646894892064</v>
      </c>
      <c r="U44" s="91">
        <f t="shared" si="5"/>
        <v>0</v>
      </c>
      <c r="V44" s="96">
        <f t="shared" si="6"/>
        <v>0</v>
      </c>
      <c r="X44" s="15"/>
      <c r="Y44" s="15"/>
      <c r="AT44" s="93" t="e">
        <f>#REF!</f>
        <v>#REF!</v>
      </c>
      <c r="AU44" s="93" t="e">
        <f t="shared" si="36"/>
        <v>#REF!</v>
      </c>
      <c r="AV44" s="97" t="e">
        <f t="shared" si="37"/>
        <v>#REF!</v>
      </c>
      <c r="AX44" s="28" t="e">
        <f t="shared" si="38"/>
        <v>#REF!</v>
      </c>
      <c r="AY44" s="49" t="e">
        <f>#REF!</f>
        <v>#REF!</v>
      </c>
      <c r="AZ44" s="49" t="e">
        <f>#REF!</f>
        <v>#REF!</v>
      </c>
      <c r="BA44" s="49" t="e">
        <f>#REF!</f>
        <v>#REF!</v>
      </c>
      <c r="BB44" s="49" t="e">
        <f>#REF!</f>
        <v>#REF!</v>
      </c>
      <c r="BC44" s="49" t="e">
        <f>#REF!</f>
        <v>#REF!</v>
      </c>
      <c r="BD44" s="49" t="e">
        <f>#REF!</f>
        <v>#REF!</v>
      </c>
    </row>
    <row r="45" spans="1:56" s="4" customFormat="1" ht="39" customHeight="1" outlineLevel="1">
      <c r="A45" s="142"/>
      <c r="B45" s="56" t="s">
        <v>37</v>
      </c>
      <c r="C45" s="144"/>
      <c r="D45" s="28">
        <f t="shared" si="34"/>
        <v>158.83000000000001</v>
      </c>
      <c r="E45" s="49">
        <v>14.885226662727124</v>
      </c>
      <c r="F45" s="49">
        <v>20.526310922885013</v>
      </c>
      <c r="G45" s="49">
        <v>46.78542977482995</v>
      </c>
      <c r="H45" s="50">
        <v>23.156557587746757</v>
      </c>
      <c r="I45" s="50">
        <v>42.889682509190926</v>
      </c>
      <c r="J45" s="50">
        <v>10.58679254262022</v>
      </c>
      <c r="M45" s="28">
        <f>[52]СводПЗ!$C$44</f>
        <v>158.83000000000001</v>
      </c>
      <c r="N45" s="49">
        <f>$M$45*N91</f>
        <v>11.603724807194787</v>
      </c>
      <c r="O45" s="49">
        <f t="shared" ref="O45:S45" si="47">$M$45*O91</f>
        <v>18.840008571572294</v>
      </c>
      <c r="P45" s="49">
        <f t="shared" si="47"/>
        <v>52.524744812308754</v>
      </c>
      <c r="Q45" s="49">
        <f t="shared" si="47"/>
        <v>22.214042774832787</v>
      </c>
      <c r="R45" s="49">
        <f t="shared" si="47"/>
        <v>47.527348675617702</v>
      </c>
      <c r="S45" s="49">
        <f t="shared" si="47"/>
        <v>6.1201303584736877</v>
      </c>
      <c r="U45" s="91">
        <f t="shared" si="5"/>
        <v>0</v>
      </c>
      <c r="V45" s="96">
        <f t="shared" si="6"/>
        <v>0</v>
      </c>
      <c r="X45" s="15"/>
      <c r="Y45" s="15"/>
      <c r="AT45" s="93" t="e">
        <f>#REF!</f>
        <v>#REF!</v>
      </c>
      <c r="AU45" s="93" t="e">
        <f t="shared" si="36"/>
        <v>#REF!</v>
      </c>
      <c r="AV45" s="97" t="e">
        <f t="shared" si="37"/>
        <v>#REF!</v>
      </c>
      <c r="AX45" s="28" t="e">
        <f t="shared" si="38"/>
        <v>#REF!</v>
      </c>
      <c r="AY45" s="49" t="e">
        <f>#REF!</f>
        <v>#REF!</v>
      </c>
      <c r="AZ45" s="49" t="e">
        <f>#REF!</f>
        <v>#REF!</v>
      </c>
      <c r="BA45" s="49" t="e">
        <f>#REF!</f>
        <v>#REF!</v>
      </c>
      <c r="BB45" s="49" t="e">
        <f>#REF!</f>
        <v>#REF!</v>
      </c>
      <c r="BC45" s="49" t="e">
        <f>#REF!</f>
        <v>#REF!</v>
      </c>
      <c r="BD45" s="49" t="e">
        <f>#REF!</f>
        <v>#REF!</v>
      </c>
    </row>
    <row r="46" spans="1:56" s="4" customFormat="1" ht="25.5" customHeight="1">
      <c r="A46" s="13" t="s">
        <v>38</v>
      </c>
      <c r="B46" s="12" t="s">
        <v>39</v>
      </c>
      <c r="C46" s="7" t="s">
        <v>9</v>
      </c>
      <c r="D46" s="25">
        <f t="shared" si="34"/>
        <v>422232.40846603567</v>
      </c>
      <c r="E46" s="33">
        <f>SUM(E47:E68)</f>
        <v>18500.474236874688</v>
      </c>
      <c r="F46" s="33">
        <f t="shared" ref="F46:J46" si="48">SUM(F47:F68)</f>
        <v>25901.191315607528</v>
      </c>
      <c r="G46" s="33">
        <f t="shared" si="48"/>
        <v>131498.13799513964</v>
      </c>
      <c r="H46" s="33">
        <f t="shared" si="48"/>
        <v>109437.67208880799</v>
      </c>
      <c r="I46" s="33">
        <f t="shared" si="48"/>
        <v>123565.8293360911</v>
      </c>
      <c r="J46" s="33">
        <f t="shared" si="48"/>
        <v>13329.103493514727</v>
      </c>
      <c r="M46" s="25">
        <f t="shared" si="42"/>
        <v>436895.13103917852</v>
      </c>
      <c r="N46" s="33">
        <f>SUM(N47:N68)</f>
        <v>14350.099081205322</v>
      </c>
      <c r="O46" s="33">
        <f t="shared" ref="O46:S46" si="49">SUM(O47:O68)</f>
        <v>23010.368854798577</v>
      </c>
      <c r="P46" s="33">
        <f t="shared" si="49"/>
        <v>144075.47180702037</v>
      </c>
      <c r="Q46" s="33">
        <f t="shared" si="49"/>
        <v>111936.61999077603</v>
      </c>
      <c r="R46" s="33">
        <f t="shared" si="49"/>
        <v>135273.3128247658</v>
      </c>
      <c r="S46" s="33">
        <f t="shared" si="49"/>
        <v>8249.2584806124269</v>
      </c>
      <c r="U46" s="91">
        <f t="shared" si="5"/>
        <v>-14662.722573142848</v>
      </c>
      <c r="V46" s="96">
        <f t="shared" si="6"/>
        <v>-3.4726663039467587E-2</v>
      </c>
      <c r="X46" s="15"/>
      <c r="Y46" s="15"/>
      <c r="AT46" s="92" t="e">
        <f>SUM(AT47:AT68)</f>
        <v>#REF!</v>
      </c>
      <c r="AU46" s="92" t="e">
        <f t="shared" si="36"/>
        <v>#REF!</v>
      </c>
      <c r="AV46" s="97" t="e">
        <f t="shared" si="37"/>
        <v>#REF!</v>
      </c>
      <c r="AX46" s="25" t="e">
        <f t="shared" si="38"/>
        <v>#REF!</v>
      </c>
      <c r="AY46" s="33" t="e">
        <f>SUM(AY47:AY68)</f>
        <v>#REF!</v>
      </c>
      <c r="AZ46" s="33" t="e">
        <f t="shared" ref="AZ46:BD46" si="50">SUM(AZ47:AZ68)</f>
        <v>#REF!</v>
      </c>
      <c r="BA46" s="33" t="e">
        <f t="shared" si="50"/>
        <v>#REF!</v>
      </c>
      <c r="BB46" s="33" t="e">
        <f t="shared" si="50"/>
        <v>#REF!</v>
      </c>
      <c r="BC46" s="33" t="e">
        <f t="shared" si="50"/>
        <v>#REF!</v>
      </c>
      <c r="BD46" s="33" t="e">
        <f t="shared" si="50"/>
        <v>#REF!</v>
      </c>
    </row>
    <row r="47" spans="1:56" s="4" customFormat="1" ht="30" customHeight="1" outlineLevel="1">
      <c r="A47" s="9"/>
      <c r="B47" s="18" t="s">
        <v>149</v>
      </c>
      <c r="C47" s="7" t="s">
        <v>9</v>
      </c>
      <c r="D47" s="28">
        <f t="shared" si="34"/>
        <v>5683.5645714285702</v>
      </c>
      <c r="E47" s="29">
        <v>532.65218723137843</v>
      </c>
      <c r="F47" s="29">
        <v>734.51245698820458</v>
      </c>
      <c r="G47" s="29">
        <v>1674.1674187954598</v>
      </c>
      <c r="H47" s="29">
        <v>828.63306870215274</v>
      </c>
      <c r="I47" s="29">
        <v>1534.7621985081987</v>
      </c>
      <c r="J47" s="29">
        <v>378.83724120317623</v>
      </c>
      <c r="M47" s="28">
        <f>[52]СводПЗ!$C$46</f>
        <v>5683.5645714285711</v>
      </c>
      <c r="N47" s="29">
        <f>$M$47*N91</f>
        <v>415.22709318629421</v>
      </c>
      <c r="O47" s="29">
        <f t="shared" ref="O47:S47" si="51">$M$47*O91</f>
        <v>674.16990016243074</v>
      </c>
      <c r="P47" s="29">
        <f t="shared" si="51"/>
        <v>1879.5427736483323</v>
      </c>
      <c r="Q47" s="29">
        <f t="shared" si="51"/>
        <v>794.90616699136467</v>
      </c>
      <c r="R47" s="29">
        <f t="shared" si="51"/>
        <v>1700.7162066780418</v>
      </c>
      <c r="S47" s="29">
        <f t="shared" si="51"/>
        <v>219.00243076210722</v>
      </c>
      <c r="U47" s="91">
        <f t="shared" si="5"/>
        <v>0</v>
      </c>
      <c r="V47" s="96">
        <f t="shared" si="6"/>
        <v>0</v>
      </c>
      <c r="X47" s="15"/>
      <c r="Y47" s="15"/>
      <c r="AT47" s="93" t="e">
        <f>#REF!</f>
        <v>#REF!</v>
      </c>
      <c r="AU47" s="93" t="e">
        <f t="shared" si="36"/>
        <v>#REF!</v>
      </c>
      <c r="AV47" s="97" t="e">
        <f t="shared" si="37"/>
        <v>#REF!</v>
      </c>
      <c r="AX47" s="28" t="e">
        <f t="shared" si="38"/>
        <v>#REF!</v>
      </c>
      <c r="AY47" s="29" t="e">
        <f>#REF!</f>
        <v>#REF!</v>
      </c>
      <c r="AZ47" s="29" t="e">
        <f>#REF!</f>
        <v>#REF!</v>
      </c>
      <c r="BA47" s="29" t="e">
        <f>#REF!</f>
        <v>#REF!</v>
      </c>
      <c r="BB47" s="29" t="e">
        <f>#REF!</f>
        <v>#REF!</v>
      </c>
      <c r="BC47" s="29" t="e">
        <f>#REF!</f>
        <v>#REF!</v>
      </c>
      <c r="BD47" s="29" t="e">
        <f>#REF!</f>
        <v>#REF!</v>
      </c>
    </row>
    <row r="48" spans="1:56" s="4" customFormat="1" ht="75" hidden="1" outlineLevel="1">
      <c r="A48" s="9"/>
      <c r="B48" s="18" t="s">
        <v>84</v>
      </c>
      <c r="C48" s="7" t="s">
        <v>9</v>
      </c>
      <c r="D48" s="28">
        <f t="shared" si="34"/>
        <v>0</v>
      </c>
      <c r="E48" s="29">
        <v>0</v>
      </c>
      <c r="F48" s="29">
        <v>0</v>
      </c>
      <c r="G48" s="29"/>
      <c r="H48" s="29"/>
      <c r="I48" s="29"/>
      <c r="J48" s="29">
        <v>0</v>
      </c>
      <c r="M48" s="28">
        <f t="shared" si="42"/>
        <v>0</v>
      </c>
      <c r="N48" s="29">
        <v>0</v>
      </c>
      <c r="O48" s="29">
        <v>0</v>
      </c>
      <c r="P48" s="29"/>
      <c r="Q48" s="29"/>
      <c r="R48" s="29"/>
      <c r="S48" s="29">
        <v>0</v>
      </c>
      <c r="U48" s="91">
        <f t="shared" si="5"/>
        <v>0</v>
      </c>
      <c r="V48" s="96" t="e">
        <f t="shared" si="6"/>
        <v>#DIV/0!</v>
      </c>
      <c r="X48" s="15"/>
      <c r="Y48" s="15"/>
      <c r="AT48" s="93" t="e">
        <f>#REF!</f>
        <v>#REF!</v>
      </c>
      <c r="AU48" s="93" t="e">
        <f t="shared" si="36"/>
        <v>#REF!</v>
      </c>
      <c r="AV48" s="97" t="e">
        <f t="shared" si="37"/>
        <v>#REF!</v>
      </c>
      <c r="AX48" s="28" t="e">
        <f t="shared" si="38"/>
        <v>#REF!</v>
      </c>
      <c r="AY48" s="29" t="e">
        <f>#REF!</f>
        <v>#REF!</v>
      </c>
      <c r="AZ48" s="29" t="e">
        <f>#REF!</f>
        <v>#REF!</v>
      </c>
      <c r="BA48" s="29" t="e">
        <f>#REF!</f>
        <v>#REF!</v>
      </c>
      <c r="BB48" s="29" t="e">
        <f>#REF!</f>
        <v>#REF!</v>
      </c>
      <c r="BC48" s="29" t="e">
        <f>#REF!</f>
        <v>#REF!</v>
      </c>
      <c r="BD48" s="29" t="e">
        <f>#REF!</f>
        <v>#REF!</v>
      </c>
    </row>
    <row r="49" spans="1:56" s="4" customFormat="1" ht="66" customHeight="1" outlineLevel="1">
      <c r="A49" s="9"/>
      <c r="B49" s="18" t="s">
        <v>85</v>
      </c>
      <c r="C49" s="7" t="s">
        <v>9</v>
      </c>
      <c r="D49" s="28">
        <f t="shared" si="34"/>
        <v>11224.196428571428</v>
      </c>
      <c r="E49" s="29">
        <v>2688.4027686458444</v>
      </c>
      <c r="F49" s="29">
        <v>4056.7659885831386</v>
      </c>
      <c r="G49" s="29">
        <v>631.20627321435245</v>
      </c>
      <c r="H49" s="29">
        <v>983.48565211288519</v>
      </c>
      <c r="I49" s="29">
        <v>578.64674507142752</v>
      </c>
      <c r="J49" s="29">
        <v>2285.6890009437789</v>
      </c>
      <c r="M49" s="28">
        <f t="shared" si="42"/>
        <v>11224.196428571428</v>
      </c>
      <c r="N49" s="29">
        <f>[52]СводПЗ!E48</f>
        <v>2644.130340953177</v>
      </c>
      <c r="O49" s="29">
        <f>[52]СводПЗ!F48</f>
        <v>4034.0152170756946</v>
      </c>
      <c r="P49" s="29">
        <f>[52]СводПЗ!G48</f>
        <v>708.63832146196842</v>
      </c>
      <c r="Q49" s="29">
        <f>[52]СводПЗ!H48</f>
        <v>970.76970047212853</v>
      </c>
      <c r="R49" s="29">
        <f>[52]СводПЗ!I48</f>
        <v>641.21588233085276</v>
      </c>
      <c r="S49" s="29">
        <f>[52]СводПЗ!J48</f>
        <v>2225.426966277606</v>
      </c>
      <c r="U49" s="91">
        <f t="shared" si="5"/>
        <v>0</v>
      </c>
      <c r="V49" s="96">
        <f t="shared" si="6"/>
        <v>0</v>
      </c>
      <c r="X49" s="15"/>
      <c r="Y49" s="15"/>
      <c r="AT49" s="93" t="e">
        <f>#REF!</f>
        <v>#REF!</v>
      </c>
      <c r="AU49" s="93" t="e">
        <f t="shared" si="36"/>
        <v>#REF!</v>
      </c>
      <c r="AV49" s="97" t="e">
        <f t="shared" si="37"/>
        <v>#REF!</v>
      </c>
      <c r="AX49" s="28" t="e">
        <f t="shared" si="38"/>
        <v>#REF!</v>
      </c>
      <c r="AY49" s="29" t="e">
        <f>#REF!</f>
        <v>#REF!</v>
      </c>
      <c r="AZ49" s="29" t="e">
        <f>#REF!</f>
        <v>#REF!</v>
      </c>
      <c r="BA49" s="29" t="e">
        <f>#REF!</f>
        <v>#REF!</v>
      </c>
      <c r="BB49" s="29" t="e">
        <f>#REF!</f>
        <v>#REF!</v>
      </c>
      <c r="BC49" s="29" t="e">
        <f>#REF!</f>
        <v>#REF!</v>
      </c>
      <c r="BD49" s="29" t="e">
        <f>#REF!</f>
        <v>#REF!</v>
      </c>
    </row>
    <row r="50" spans="1:56" s="4" customFormat="1" ht="37.5" outlineLevel="1">
      <c r="A50" s="9"/>
      <c r="B50" s="18" t="s">
        <v>86</v>
      </c>
      <c r="C50" s="7" t="s">
        <v>9</v>
      </c>
      <c r="D50" s="28">
        <f t="shared" si="34"/>
        <v>39095.405430428575</v>
      </c>
      <c r="E50" s="29">
        <v>0</v>
      </c>
      <c r="F50" s="29">
        <v>0</v>
      </c>
      <c r="G50" s="29">
        <v>0</v>
      </c>
      <c r="H50" s="29">
        <v>39095.405430428575</v>
      </c>
      <c r="I50" s="29">
        <v>0</v>
      </c>
      <c r="J50" s="29">
        <v>0</v>
      </c>
      <c r="M50" s="28">
        <f t="shared" si="42"/>
        <v>39095.405430428575</v>
      </c>
      <c r="N50" s="29">
        <f>[52]СводПЗ!E49</f>
        <v>0</v>
      </c>
      <c r="O50" s="29">
        <f>[52]СводПЗ!F49</f>
        <v>0</v>
      </c>
      <c r="P50" s="29">
        <f>[52]СводПЗ!G49</f>
        <v>0</v>
      </c>
      <c r="Q50" s="29">
        <f>[52]СводПЗ!H49</f>
        <v>39095.405430428575</v>
      </c>
      <c r="R50" s="29">
        <f>[52]СводПЗ!I49</f>
        <v>0</v>
      </c>
      <c r="S50" s="29">
        <f>[52]СводПЗ!J49</f>
        <v>0</v>
      </c>
      <c r="U50" s="91">
        <f t="shared" si="5"/>
        <v>0</v>
      </c>
      <c r="V50" s="96">
        <f t="shared" si="6"/>
        <v>0</v>
      </c>
      <c r="X50" s="15"/>
      <c r="Y50" s="15"/>
      <c r="AT50" s="93" t="e">
        <f>#REF!</f>
        <v>#REF!</v>
      </c>
      <c r="AU50" s="93" t="e">
        <f t="shared" si="36"/>
        <v>#REF!</v>
      </c>
      <c r="AV50" s="97" t="e">
        <f t="shared" si="37"/>
        <v>#REF!</v>
      </c>
      <c r="AX50" s="28" t="e">
        <f t="shared" si="38"/>
        <v>#REF!</v>
      </c>
      <c r="AY50" s="29" t="e">
        <f>#REF!</f>
        <v>#REF!</v>
      </c>
      <c r="AZ50" s="29" t="e">
        <f>#REF!</f>
        <v>#REF!</v>
      </c>
      <c r="BA50" s="29" t="e">
        <f>#REF!</f>
        <v>#REF!</v>
      </c>
      <c r="BB50" s="29" t="e">
        <f>#REF!</f>
        <v>#REF!</v>
      </c>
      <c r="BC50" s="29" t="e">
        <f>#REF!</f>
        <v>#REF!</v>
      </c>
      <c r="BD50" s="29" t="e">
        <f>#REF!</f>
        <v>#REF!</v>
      </c>
    </row>
    <row r="51" spans="1:56" s="4" customFormat="1" ht="56.25" outlineLevel="1">
      <c r="A51" s="9"/>
      <c r="B51" s="18" t="s">
        <v>87</v>
      </c>
      <c r="C51" s="7" t="s">
        <v>9</v>
      </c>
      <c r="D51" s="28">
        <f t="shared" si="34"/>
        <v>1442.808</v>
      </c>
      <c r="E51" s="29">
        <v>0</v>
      </c>
      <c r="F51" s="29">
        <v>0</v>
      </c>
      <c r="G51" s="29">
        <v>0</v>
      </c>
      <c r="H51" s="29">
        <v>1442.808</v>
      </c>
      <c r="I51" s="29">
        <v>0</v>
      </c>
      <c r="J51" s="29">
        <v>0</v>
      </c>
      <c r="M51" s="28">
        <f t="shared" si="42"/>
        <v>1442.808</v>
      </c>
      <c r="N51" s="29">
        <f>[52]СводПЗ!E50</f>
        <v>0</v>
      </c>
      <c r="O51" s="29">
        <f>[52]СводПЗ!F50</f>
        <v>0</v>
      </c>
      <c r="P51" s="29">
        <f>[52]СводПЗ!G50</f>
        <v>0</v>
      </c>
      <c r="Q51" s="29">
        <f>[52]СводПЗ!H50</f>
        <v>1442.808</v>
      </c>
      <c r="R51" s="29">
        <f>[52]СводПЗ!I50</f>
        <v>0</v>
      </c>
      <c r="S51" s="29">
        <f>[52]СводПЗ!J50</f>
        <v>0</v>
      </c>
      <c r="U51" s="91">
        <f t="shared" si="5"/>
        <v>0</v>
      </c>
      <c r="V51" s="96">
        <f t="shared" si="6"/>
        <v>0</v>
      </c>
      <c r="X51" s="15"/>
      <c r="Y51" s="15"/>
      <c r="AT51" s="93" t="e">
        <f>#REF!</f>
        <v>#REF!</v>
      </c>
      <c r="AU51" s="93" t="e">
        <f t="shared" si="36"/>
        <v>#REF!</v>
      </c>
      <c r="AV51" s="97" t="e">
        <f t="shared" si="37"/>
        <v>#REF!</v>
      </c>
      <c r="AX51" s="28" t="e">
        <f t="shared" si="38"/>
        <v>#REF!</v>
      </c>
      <c r="AY51" s="29" t="e">
        <f>#REF!</f>
        <v>#REF!</v>
      </c>
      <c r="AZ51" s="29" t="e">
        <f>#REF!</f>
        <v>#REF!</v>
      </c>
      <c r="BA51" s="29" t="e">
        <f>#REF!</f>
        <v>#REF!</v>
      </c>
      <c r="BB51" s="29" t="e">
        <f>#REF!</f>
        <v>#REF!</v>
      </c>
      <c r="BC51" s="29" t="e">
        <f>#REF!</f>
        <v>#REF!</v>
      </c>
      <c r="BD51" s="29" t="e">
        <f>#REF!</f>
        <v>#REF!</v>
      </c>
    </row>
    <row r="52" spans="1:56" s="4" customFormat="1" ht="57.75" customHeight="1" outlineLevel="1">
      <c r="A52" s="9"/>
      <c r="B52" s="18" t="s">
        <v>124</v>
      </c>
      <c r="C52" s="7" t="s">
        <v>9</v>
      </c>
      <c r="D52" s="28">
        <f t="shared" si="34"/>
        <v>2223.2142857142853</v>
      </c>
      <c r="E52" s="29">
        <v>0</v>
      </c>
      <c r="F52" s="29">
        <v>0</v>
      </c>
      <c r="G52" s="29">
        <v>2223.2142857142853</v>
      </c>
      <c r="H52" s="50">
        <v>0</v>
      </c>
      <c r="I52" s="30">
        <v>0</v>
      </c>
      <c r="J52" s="30">
        <v>0</v>
      </c>
      <c r="M52" s="28">
        <f t="shared" si="42"/>
        <v>2223.2142857142853</v>
      </c>
      <c r="N52" s="29">
        <f>[52]СводПЗ!E51</f>
        <v>0</v>
      </c>
      <c r="O52" s="29">
        <f>[52]СводПЗ!F51</f>
        <v>0</v>
      </c>
      <c r="P52" s="29">
        <f>[52]СводПЗ!G51</f>
        <v>2223.2142857142853</v>
      </c>
      <c r="Q52" s="50">
        <f>[52]СводПЗ!H51</f>
        <v>0</v>
      </c>
      <c r="R52" s="29">
        <f>[52]СводПЗ!I51</f>
        <v>0</v>
      </c>
      <c r="S52" s="29">
        <f>[52]СводПЗ!J51</f>
        <v>0</v>
      </c>
      <c r="U52" s="91">
        <f t="shared" si="5"/>
        <v>0</v>
      </c>
      <c r="V52" s="96">
        <f t="shared" si="6"/>
        <v>0</v>
      </c>
      <c r="X52" s="15"/>
      <c r="Y52" s="15"/>
      <c r="AT52" s="93" t="e">
        <f>#REF!</f>
        <v>#REF!</v>
      </c>
      <c r="AU52" s="93" t="e">
        <f t="shared" si="36"/>
        <v>#REF!</v>
      </c>
      <c r="AV52" s="97" t="e">
        <f t="shared" si="37"/>
        <v>#REF!</v>
      </c>
      <c r="AX52" s="28" t="e">
        <f t="shared" si="38"/>
        <v>#REF!</v>
      </c>
      <c r="AY52" s="29" t="e">
        <f>#REF!</f>
        <v>#REF!</v>
      </c>
      <c r="AZ52" s="29" t="e">
        <f>#REF!</f>
        <v>#REF!</v>
      </c>
      <c r="BA52" s="29" t="e">
        <f>#REF!</f>
        <v>#REF!</v>
      </c>
      <c r="BB52" s="29" t="e">
        <f>#REF!</f>
        <v>#REF!</v>
      </c>
      <c r="BC52" s="29" t="e">
        <f>#REF!</f>
        <v>#REF!</v>
      </c>
      <c r="BD52" s="29" t="e">
        <f>#REF!</f>
        <v>#REF!</v>
      </c>
    </row>
    <row r="53" spans="1:56" s="4" customFormat="1" ht="37.5" outlineLevel="1">
      <c r="A53" s="9"/>
      <c r="B53" s="18" t="s">
        <v>150</v>
      </c>
      <c r="C53" s="7" t="s">
        <v>9</v>
      </c>
      <c r="D53" s="28">
        <f t="shared" si="34"/>
        <v>4560</v>
      </c>
      <c r="E53" s="29">
        <v>0</v>
      </c>
      <c r="F53" s="29">
        <v>0</v>
      </c>
      <c r="G53" s="29">
        <v>0</v>
      </c>
      <c r="H53" s="29">
        <v>4560</v>
      </c>
      <c r="I53" s="30">
        <v>0</v>
      </c>
      <c r="J53" s="30">
        <v>0</v>
      </c>
      <c r="M53" s="28">
        <f t="shared" si="42"/>
        <v>4560</v>
      </c>
      <c r="N53" s="29">
        <f>[52]СводПЗ!E52</f>
        <v>0</v>
      </c>
      <c r="O53" s="29">
        <f>[52]СводПЗ!F52</f>
        <v>0</v>
      </c>
      <c r="P53" s="29">
        <f>[52]СводПЗ!G52</f>
        <v>0</v>
      </c>
      <c r="Q53" s="29">
        <f>[52]СводПЗ!H52</f>
        <v>4560</v>
      </c>
      <c r="R53" s="29">
        <f>[52]СводПЗ!I52</f>
        <v>0</v>
      </c>
      <c r="S53" s="29">
        <f>[52]СводПЗ!J52</f>
        <v>0</v>
      </c>
      <c r="U53" s="91">
        <f t="shared" si="5"/>
        <v>0</v>
      </c>
      <c r="V53" s="96">
        <f t="shared" si="6"/>
        <v>0</v>
      </c>
      <c r="X53" s="15"/>
      <c r="Y53" s="15"/>
      <c r="AT53" s="93" t="e">
        <f>#REF!</f>
        <v>#REF!</v>
      </c>
      <c r="AU53" s="93" t="e">
        <f t="shared" si="36"/>
        <v>#REF!</v>
      </c>
      <c r="AV53" s="97" t="e">
        <f t="shared" si="37"/>
        <v>#REF!</v>
      </c>
      <c r="AX53" s="28" t="e">
        <f t="shared" si="38"/>
        <v>#REF!</v>
      </c>
      <c r="AY53" s="29" t="e">
        <f>#REF!</f>
        <v>#REF!</v>
      </c>
      <c r="AZ53" s="29" t="e">
        <f>#REF!</f>
        <v>#REF!</v>
      </c>
      <c r="BA53" s="29" t="e">
        <f>#REF!</f>
        <v>#REF!</v>
      </c>
      <c r="BB53" s="29" t="e">
        <f>#REF!</f>
        <v>#REF!</v>
      </c>
      <c r="BC53" s="29" t="e">
        <f>#REF!</f>
        <v>#REF!</v>
      </c>
      <c r="BD53" s="29" t="e">
        <f>#REF!</f>
        <v>#REF!</v>
      </c>
    </row>
    <row r="54" spans="1:56" s="4" customFormat="1" ht="27.75" customHeight="1" outlineLevel="1">
      <c r="A54" s="9"/>
      <c r="B54" s="18" t="s">
        <v>123</v>
      </c>
      <c r="C54" s="7" t="s">
        <v>9</v>
      </c>
      <c r="D54" s="28">
        <f t="shared" si="34"/>
        <v>22552.37260714285</v>
      </c>
      <c r="E54" s="29">
        <v>2113.5627906541563</v>
      </c>
      <c r="F54" s="29">
        <v>2914.5439286216024</v>
      </c>
      <c r="G54" s="29">
        <v>6643.0928972315087</v>
      </c>
      <c r="H54" s="29">
        <v>3288.0143236014983</v>
      </c>
      <c r="I54" s="30">
        <v>6089.9332679552444</v>
      </c>
      <c r="J54" s="30">
        <v>1503.225399078842</v>
      </c>
      <c r="M54" s="28">
        <f>[52]СводПЗ!C53</f>
        <v>22552.372607142854</v>
      </c>
      <c r="N54" s="29">
        <f>$M$54*N91</f>
        <v>1647.6202573984995</v>
      </c>
      <c r="O54" s="29">
        <f t="shared" ref="O54:S54" si="52">$M$54*O91</f>
        <v>2675.104786424879</v>
      </c>
      <c r="P54" s="29">
        <f t="shared" si="52"/>
        <v>7458.0218856782758</v>
      </c>
      <c r="Q54" s="29">
        <f t="shared" si="52"/>
        <v>3154.1860465216805</v>
      </c>
      <c r="R54" s="29">
        <f t="shared" si="52"/>
        <v>6748.4384333068547</v>
      </c>
      <c r="S54" s="29">
        <f t="shared" si="52"/>
        <v>869.00119781266358</v>
      </c>
      <c r="U54" s="91">
        <f t="shared" si="5"/>
        <v>0</v>
      </c>
      <c r="V54" s="96">
        <f t="shared" si="6"/>
        <v>0</v>
      </c>
      <c r="X54" s="15"/>
      <c r="Y54" s="15"/>
      <c r="AT54" s="93" t="e">
        <f>#REF!</f>
        <v>#REF!</v>
      </c>
      <c r="AU54" s="93" t="e">
        <f t="shared" si="36"/>
        <v>#REF!</v>
      </c>
      <c r="AV54" s="97" t="e">
        <f t="shared" si="37"/>
        <v>#REF!</v>
      </c>
      <c r="AX54" s="28" t="e">
        <f t="shared" si="38"/>
        <v>#REF!</v>
      </c>
      <c r="AY54" s="29" t="e">
        <f>#REF!</f>
        <v>#REF!</v>
      </c>
      <c r="AZ54" s="29" t="e">
        <f>#REF!</f>
        <v>#REF!</v>
      </c>
      <c r="BA54" s="29" t="e">
        <f>#REF!</f>
        <v>#REF!</v>
      </c>
      <c r="BB54" s="29" t="e">
        <f>#REF!</f>
        <v>#REF!</v>
      </c>
      <c r="BC54" s="29" t="e">
        <f>#REF!</f>
        <v>#REF!</v>
      </c>
      <c r="BD54" s="29" t="e">
        <f>#REF!</f>
        <v>#REF!</v>
      </c>
    </row>
    <row r="55" spans="1:56" s="4" customFormat="1" ht="27.75" customHeight="1" outlineLevel="1">
      <c r="A55" s="9"/>
      <c r="B55" s="18" t="s">
        <v>125</v>
      </c>
      <c r="C55" s="7" t="s">
        <v>9</v>
      </c>
      <c r="D55" s="28">
        <f t="shared" si="34"/>
        <v>719.99999999999989</v>
      </c>
      <c r="E55" s="29">
        <v>67.476945143634893</v>
      </c>
      <c r="F55" s="29">
        <v>93.048818639282317</v>
      </c>
      <c r="G55" s="29">
        <v>212.08530780002241</v>
      </c>
      <c r="H55" s="29">
        <v>104.97211775595079</v>
      </c>
      <c r="I55" s="30">
        <v>194.42530634399967</v>
      </c>
      <c r="J55" s="30">
        <v>47.99150431710985</v>
      </c>
      <c r="M55" s="28">
        <f>[52]СводПЗ!C54</f>
        <v>720</v>
      </c>
      <c r="N55" s="29">
        <f>$M$55*N91</f>
        <v>52.601409438898479</v>
      </c>
      <c r="O55" s="29">
        <f t="shared" ref="O55:S55" si="53">$M$55*O91</f>
        <v>85.404559412781268</v>
      </c>
      <c r="P55" s="29">
        <f t="shared" si="53"/>
        <v>238.10247601122143</v>
      </c>
      <c r="Q55" s="29">
        <f t="shared" si="53"/>
        <v>100.69955800465659</v>
      </c>
      <c r="R55" s="29">
        <f t="shared" si="53"/>
        <v>215.44853646316653</v>
      </c>
      <c r="S55" s="29">
        <f t="shared" si="53"/>
        <v>27.74346066927567</v>
      </c>
      <c r="U55" s="91">
        <f t="shared" si="5"/>
        <v>0</v>
      </c>
      <c r="V55" s="96">
        <f t="shared" si="6"/>
        <v>0</v>
      </c>
      <c r="X55" s="15"/>
      <c r="Y55" s="15"/>
      <c r="AT55" s="93" t="e">
        <f>#REF!</f>
        <v>#REF!</v>
      </c>
      <c r="AU55" s="93" t="e">
        <f t="shared" si="36"/>
        <v>#REF!</v>
      </c>
      <c r="AV55" s="97" t="e">
        <f t="shared" si="37"/>
        <v>#REF!</v>
      </c>
      <c r="AX55" s="28" t="e">
        <f t="shared" si="38"/>
        <v>#REF!</v>
      </c>
      <c r="AY55" s="29" t="e">
        <f>#REF!</f>
        <v>#REF!</v>
      </c>
      <c r="AZ55" s="29" t="e">
        <f>#REF!</f>
        <v>#REF!</v>
      </c>
      <c r="BA55" s="29" t="e">
        <f>#REF!</f>
        <v>#REF!</v>
      </c>
      <c r="BB55" s="29" t="e">
        <f>#REF!</f>
        <v>#REF!</v>
      </c>
      <c r="BC55" s="29" t="e">
        <f>#REF!</f>
        <v>#REF!</v>
      </c>
      <c r="BD55" s="29" t="e">
        <f>#REF!</f>
        <v>#REF!</v>
      </c>
    </row>
    <row r="56" spans="1:56" s="4" customFormat="1" ht="27.75" customHeight="1" outlineLevel="1">
      <c r="A56" s="9"/>
      <c r="B56" s="18" t="s">
        <v>151</v>
      </c>
      <c r="C56" s="7" t="s">
        <v>9</v>
      </c>
      <c r="D56" s="28">
        <f t="shared" si="34"/>
        <v>1347.9985937499998</v>
      </c>
      <c r="E56" s="29">
        <v>143.68574828732955</v>
      </c>
      <c r="F56" s="29">
        <v>207.96529359386497</v>
      </c>
      <c r="G56" s="29">
        <v>563.45530331532257</v>
      </c>
      <c r="H56" s="29">
        <v>145.04426163143057</v>
      </c>
      <c r="I56" s="30">
        <v>235.39429960499737</v>
      </c>
      <c r="J56" s="30">
        <v>52.453687317054701</v>
      </c>
      <c r="M56" s="28">
        <f t="shared" si="42"/>
        <v>1347.9985937499996</v>
      </c>
      <c r="N56" s="29">
        <f>[52]СводПЗ!E55</f>
        <v>127.42710606236093</v>
      </c>
      <c r="O56" s="29">
        <f>[52]СводПЗ!F55</f>
        <v>199.61028182786703</v>
      </c>
      <c r="P56" s="29">
        <f>[52]СводПЗ!G55</f>
        <v>591.89151146599932</v>
      </c>
      <c r="Q56" s="29">
        <f>[52]СводПЗ!H55</f>
        <v>140.37444524566001</v>
      </c>
      <c r="R56" s="29">
        <f>[52]СводПЗ!I55</f>
        <v>258.37224027922036</v>
      </c>
      <c r="S56" s="29">
        <f>[52]СводПЗ!J55</f>
        <v>30.323008868892011</v>
      </c>
      <c r="U56" s="91">
        <f t="shared" si="5"/>
        <v>0</v>
      </c>
      <c r="V56" s="96">
        <f t="shared" si="6"/>
        <v>0</v>
      </c>
      <c r="X56" s="15"/>
      <c r="Y56" s="15"/>
      <c r="AT56" s="93" t="e">
        <f>#REF!</f>
        <v>#REF!</v>
      </c>
      <c r="AU56" s="93" t="e">
        <f t="shared" si="36"/>
        <v>#REF!</v>
      </c>
      <c r="AV56" s="97" t="e">
        <f t="shared" si="37"/>
        <v>#REF!</v>
      </c>
      <c r="AX56" s="28" t="e">
        <f t="shared" si="38"/>
        <v>#REF!</v>
      </c>
      <c r="AY56" s="29" t="e">
        <f>#REF!</f>
        <v>#REF!</v>
      </c>
      <c r="AZ56" s="29" t="e">
        <f>#REF!</f>
        <v>#REF!</v>
      </c>
      <c r="BA56" s="29" t="e">
        <f>#REF!</f>
        <v>#REF!</v>
      </c>
      <c r="BB56" s="29" t="e">
        <f>#REF!</f>
        <v>#REF!</v>
      </c>
      <c r="BC56" s="29" t="e">
        <f>#REF!</f>
        <v>#REF!</v>
      </c>
      <c r="BD56" s="29" t="e">
        <f>#REF!</f>
        <v>#REF!</v>
      </c>
    </row>
    <row r="57" spans="1:56" s="4" customFormat="1" ht="27.75" customHeight="1" outlineLevel="1">
      <c r="A57" s="9"/>
      <c r="B57" s="18" t="s">
        <v>88</v>
      </c>
      <c r="C57" s="7" t="s">
        <v>9</v>
      </c>
      <c r="D57" s="28">
        <f t="shared" si="34"/>
        <v>56063.999999999993</v>
      </c>
      <c r="E57" s="29">
        <v>5254.2047951843697</v>
      </c>
      <c r="F57" s="29">
        <v>7245.401344712116</v>
      </c>
      <c r="G57" s="29">
        <v>16514.375967361746</v>
      </c>
      <c r="H57" s="29">
        <v>8173.8289025967015</v>
      </c>
      <c r="I57" s="30">
        <v>15139.250520652775</v>
      </c>
      <c r="J57" s="30">
        <v>3736.9384694922874</v>
      </c>
      <c r="M57" s="28">
        <f>[52]СводПЗ!C56</f>
        <v>56064</v>
      </c>
      <c r="N57" s="29">
        <f>$M$57*N91</f>
        <v>4095.8964149755616</v>
      </c>
      <c r="O57" s="29">
        <f t="shared" ref="O57:S57" si="54">$M$57*O91</f>
        <v>6650.1683596085686</v>
      </c>
      <c r="P57" s="29">
        <f t="shared" si="54"/>
        <v>18540.246132073775</v>
      </c>
      <c r="Q57" s="29">
        <f t="shared" si="54"/>
        <v>7841.1389166292593</v>
      </c>
      <c r="R57" s="29">
        <f t="shared" si="54"/>
        <v>16776.259372598568</v>
      </c>
      <c r="S57" s="29">
        <f t="shared" si="54"/>
        <v>2160.2908041142655</v>
      </c>
      <c r="U57" s="91">
        <f t="shared" si="5"/>
        <v>0</v>
      </c>
      <c r="V57" s="96">
        <f t="shared" si="6"/>
        <v>0</v>
      </c>
      <c r="X57" s="15"/>
      <c r="Y57" s="15"/>
      <c r="AT57" s="93" t="e">
        <f>#REF!</f>
        <v>#REF!</v>
      </c>
      <c r="AU57" s="93" t="e">
        <f t="shared" si="36"/>
        <v>#REF!</v>
      </c>
      <c r="AV57" s="97" t="e">
        <f t="shared" si="37"/>
        <v>#REF!</v>
      </c>
      <c r="AX57" s="28" t="e">
        <f t="shared" si="38"/>
        <v>#REF!</v>
      </c>
      <c r="AY57" s="29" t="e">
        <f>#REF!</f>
        <v>#REF!</v>
      </c>
      <c r="AZ57" s="29" t="e">
        <f>#REF!</f>
        <v>#REF!</v>
      </c>
      <c r="BA57" s="29" t="e">
        <f>#REF!</f>
        <v>#REF!</v>
      </c>
      <c r="BB57" s="29" t="e">
        <f>#REF!</f>
        <v>#REF!</v>
      </c>
      <c r="BC57" s="29" t="e">
        <f>#REF!</f>
        <v>#REF!</v>
      </c>
      <c r="BD57" s="29" t="e">
        <f>#REF!</f>
        <v>#REF!</v>
      </c>
    </row>
    <row r="58" spans="1:56" s="4" customFormat="1" ht="27.75" customHeight="1" outlineLevel="1">
      <c r="A58" s="9"/>
      <c r="B58" s="18" t="s">
        <v>40</v>
      </c>
      <c r="C58" s="7" t="s">
        <v>9</v>
      </c>
      <c r="D58" s="28">
        <f t="shared" si="34"/>
        <v>599.3850000000001</v>
      </c>
      <c r="E58" s="29">
        <v>214.89098405029395</v>
      </c>
      <c r="F58" s="29">
        <v>326.52334376273365</v>
      </c>
      <c r="G58" s="29">
        <v>0</v>
      </c>
      <c r="H58" s="29">
        <v>57.970672186972457</v>
      </c>
      <c r="I58" s="30">
        <v>0</v>
      </c>
      <c r="J58" s="30">
        <v>0</v>
      </c>
      <c r="M58" s="28">
        <f>[52]СводПЗ!C57</f>
        <v>599.3850000000001</v>
      </c>
      <c r="N58" s="29">
        <f>$M$58*N94</f>
        <v>214.89098405029398</v>
      </c>
      <c r="O58" s="29">
        <f t="shared" ref="O58:S58" si="55">$M$58*O94</f>
        <v>326.52334376273365</v>
      </c>
      <c r="P58" s="29">
        <f t="shared" si="55"/>
        <v>0</v>
      </c>
      <c r="Q58" s="29">
        <f t="shared" si="55"/>
        <v>57.970672186972472</v>
      </c>
      <c r="R58" s="29">
        <f t="shared" si="55"/>
        <v>0</v>
      </c>
      <c r="S58" s="29">
        <f t="shared" si="55"/>
        <v>0</v>
      </c>
      <c r="U58" s="91">
        <f t="shared" si="5"/>
        <v>0</v>
      </c>
      <c r="V58" s="96">
        <f t="shared" si="6"/>
        <v>0</v>
      </c>
      <c r="X58" s="15"/>
      <c r="Y58" s="15"/>
      <c r="AT58" s="93" t="e">
        <f>#REF!</f>
        <v>#REF!</v>
      </c>
      <c r="AU58" s="93" t="e">
        <f t="shared" si="36"/>
        <v>#REF!</v>
      </c>
      <c r="AV58" s="97" t="e">
        <f t="shared" si="37"/>
        <v>#REF!</v>
      </c>
      <c r="AX58" s="28" t="e">
        <f t="shared" si="38"/>
        <v>#REF!</v>
      </c>
      <c r="AY58" s="29" t="e">
        <f>#REF!</f>
        <v>#REF!</v>
      </c>
      <c r="AZ58" s="29" t="e">
        <f>#REF!</f>
        <v>#REF!</v>
      </c>
      <c r="BA58" s="29" t="e">
        <f>#REF!</f>
        <v>#REF!</v>
      </c>
      <c r="BB58" s="29" t="e">
        <f>#REF!</f>
        <v>#REF!</v>
      </c>
      <c r="BC58" s="29" t="e">
        <f>#REF!</f>
        <v>#REF!</v>
      </c>
      <c r="BD58" s="29" t="e">
        <f>#REF!</f>
        <v>#REF!</v>
      </c>
    </row>
    <row r="59" spans="1:56" s="4" customFormat="1" ht="27.75" customHeight="1" outlineLevel="1">
      <c r="A59" s="63"/>
      <c r="B59" s="18" t="s">
        <v>166</v>
      </c>
      <c r="C59" s="7" t="s">
        <v>9</v>
      </c>
      <c r="D59" s="28">
        <f t="shared" ref="D59" si="56">SUM(E59:J59)</f>
        <v>1974.2999999999995</v>
      </c>
      <c r="E59" s="58">
        <v>185.0274066626088</v>
      </c>
      <c r="F59" s="58">
        <v>255.14761477713196</v>
      </c>
      <c r="G59" s="58">
        <v>581.55558776331134</v>
      </c>
      <c r="H59" s="58">
        <v>287.84229456329666</v>
      </c>
      <c r="I59" s="64">
        <v>533.13039210410898</v>
      </c>
      <c r="J59" s="64">
        <v>131.59670412954162</v>
      </c>
      <c r="M59" s="28">
        <f>[52]СводПЗ!C58</f>
        <v>1974.2999999999995</v>
      </c>
      <c r="N59" s="58">
        <f>$M$59*N91</f>
        <v>144.23744813224619</v>
      </c>
      <c r="O59" s="58">
        <f t="shared" ref="O59:S59" si="57">$M$59*O91</f>
        <v>234.18641895646394</v>
      </c>
      <c r="P59" s="58">
        <f t="shared" si="57"/>
        <v>652.89683109576993</v>
      </c>
      <c r="Q59" s="58">
        <f t="shared" si="57"/>
        <v>276.12657967860201</v>
      </c>
      <c r="R59" s="58">
        <f t="shared" si="57"/>
        <v>590.77784102670773</v>
      </c>
      <c r="S59" s="58">
        <f t="shared" si="57"/>
        <v>76.074881110209645</v>
      </c>
      <c r="U59" s="91">
        <f t="shared" si="5"/>
        <v>0</v>
      </c>
      <c r="V59" s="96">
        <f t="shared" si="6"/>
        <v>0</v>
      </c>
      <c r="X59" s="15"/>
      <c r="Y59" s="15"/>
      <c r="AT59" s="93" t="e">
        <f>#REF!</f>
        <v>#REF!</v>
      </c>
      <c r="AU59" s="93" t="e">
        <f t="shared" si="36"/>
        <v>#REF!</v>
      </c>
      <c r="AV59" s="97" t="e">
        <f t="shared" si="37"/>
        <v>#REF!</v>
      </c>
      <c r="AX59" s="28" t="e">
        <f t="shared" ref="AX59" si="58">SUM(AY59:BD59)</f>
        <v>#REF!</v>
      </c>
      <c r="AY59" s="29" t="e">
        <f>#REF!</f>
        <v>#REF!</v>
      </c>
      <c r="AZ59" s="29" t="e">
        <f>#REF!</f>
        <v>#REF!</v>
      </c>
      <c r="BA59" s="29" t="e">
        <f>#REF!</f>
        <v>#REF!</v>
      </c>
      <c r="BB59" s="29" t="e">
        <f>#REF!</f>
        <v>#REF!</v>
      </c>
      <c r="BC59" s="29" t="e">
        <f>#REF!</f>
        <v>#REF!</v>
      </c>
      <c r="BD59" s="29" t="e">
        <f>#REF!</f>
        <v>#REF!</v>
      </c>
    </row>
    <row r="60" spans="1:56" s="4" customFormat="1" ht="27.75" customHeight="1" outlineLevel="1">
      <c r="A60" s="9"/>
      <c r="B60" s="18" t="s">
        <v>115</v>
      </c>
      <c r="C60" s="7" t="s">
        <v>9</v>
      </c>
      <c r="D60" s="28">
        <f t="shared" si="34"/>
        <v>9240</v>
      </c>
      <c r="E60" s="29">
        <v>865.95412934331443</v>
      </c>
      <c r="F60" s="29">
        <v>1194.1265058707895</v>
      </c>
      <c r="G60" s="29">
        <v>2721.7614501002877</v>
      </c>
      <c r="H60" s="29">
        <v>1347.1421778680351</v>
      </c>
      <c r="I60" s="30">
        <v>2495.1247647479959</v>
      </c>
      <c r="J60" s="30">
        <v>615.89097206957649</v>
      </c>
      <c r="M60" s="28">
        <f>[52]СводПЗ!C59</f>
        <v>9240</v>
      </c>
      <c r="N60" s="29">
        <f>$M$60*N91</f>
        <v>675.05142113253055</v>
      </c>
      <c r="O60" s="29">
        <f t="shared" ref="O60:S60" si="59">$M$60*O91</f>
        <v>1096.025179130693</v>
      </c>
      <c r="P60" s="29">
        <f t="shared" si="59"/>
        <v>3055.6484421440082</v>
      </c>
      <c r="Q60" s="29">
        <f t="shared" si="59"/>
        <v>1292.3109943930929</v>
      </c>
      <c r="R60" s="29">
        <f t="shared" si="59"/>
        <v>2764.9228846106371</v>
      </c>
      <c r="S60" s="29">
        <f t="shared" si="59"/>
        <v>356.0410785890378</v>
      </c>
      <c r="U60" s="91">
        <f t="shared" si="5"/>
        <v>0</v>
      </c>
      <c r="V60" s="96">
        <f t="shared" si="6"/>
        <v>0</v>
      </c>
      <c r="X60" s="15"/>
      <c r="Y60" s="15"/>
      <c r="AT60" s="93" t="e">
        <f>#REF!</f>
        <v>#REF!</v>
      </c>
      <c r="AU60" s="93" t="e">
        <f t="shared" si="36"/>
        <v>#REF!</v>
      </c>
      <c r="AV60" s="97" t="e">
        <f t="shared" si="37"/>
        <v>#REF!</v>
      </c>
      <c r="AX60" s="28" t="e">
        <f t="shared" si="38"/>
        <v>#REF!</v>
      </c>
      <c r="AY60" s="29" t="e">
        <f>#REF!</f>
        <v>#REF!</v>
      </c>
      <c r="AZ60" s="29" t="e">
        <f>#REF!</f>
        <v>#REF!</v>
      </c>
      <c r="BA60" s="29" t="e">
        <f>#REF!</f>
        <v>#REF!</v>
      </c>
      <c r="BB60" s="29" t="e">
        <f>#REF!</f>
        <v>#REF!</v>
      </c>
      <c r="BC60" s="29" t="e">
        <f>#REF!</f>
        <v>#REF!</v>
      </c>
      <c r="BD60" s="29" t="e">
        <f>#REF!</f>
        <v>#REF!</v>
      </c>
    </row>
    <row r="61" spans="1:56" s="4" customFormat="1" ht="27.75" customHeight="1" outlineLevel="1">
      <c r="A61" s="9"/>
      <c r="B61" s="18" t="s">
        <v>116</v>
      </c>
      <c r="C61" s="7" t="s">
        <v>9</v>
      </c>
      <c r="D61" s="28">
        <f t="shared" si="34"/>
        <v>10183.257142857141</v>
      </c>
      <c r="E61" s="29">
        <v>954.35428279458267</v>
      </c>
      <c r="F61" s="29">
        <v>1316.0278431151253</v>
      </c>
      <c r="G61" s="29">
        <v>2999.610035485603</v>
      </c>
      <c r="H61" s="29">
        <v>1484.6639832487874</v>
      </c>
      <c r="I61" s="30">
        <v>2749.8373466385033</v>
      </c>
      <c r="J61" s="30">
        <v>678.76365157453927</v>
      </c>
      <c r="M61" s="28">
        <f>[52]СводПЗ!C60</f>
        <v>10183.257142857141</v>
      </c>
      <c r="N61" s="29">
        <f>$M$61*N91</f>
        <v>743.96344221252218</v>
      </c>
      <c r="O61" s="29">
        <f t="shared" ref="O61:S61" si="60">$M$61*O91</f>
        <v>1207.9119301010721</v>
      </c>
      <c r="P61" s="29">
        <f t="shared" si="60"/>
        <v>3367.5815827406132</v>
      </c>
      <c r="Q61" s="29">
        <f t="shared" si="60"/>
        <v>1424.2354074076059</v>
      </c>
      <c r="R61" s="29">
        <f t="shared" si="60"/>
        <v>3047.1775664675802</v>
      </c>
      <c r="S61" s="29">
        <f t="shared" si="60"/>
        <v>392.3872139277467</v>
      </c>
      <c r="U61" s="91">
        <f t="shared" si="5"/>
        <v>0</v>
      </c>
      <c r="V61" s="96">
        <f t="shared" si="6"/>
        <v>0</v>
      </c>
      <c r="X61" s="15"/>
      <c r="Y61" s="15"/>
      <c r="AT61" s="93" t="e">
        <f>#REF!</f>
        <v>#REF!</v>
      </c>
      <c r="AU61" s="93" t="e">
        <f t="shared" si="36"/>
        <v>#REF!</v>
      </c>
      <c r="AV61" s="97" t="e">
        <f t="shared" si="37"/>
        <v>#REF!</v>
      </c>
      <c r="AX61" s="28" t="e">
        <f t="shared" si="38"/>
        <v>#REF!</v>
      </c>
      <c r="AY61" s="29" t="e">
        <f>#REF!</f>
        <v>#REF!</v>
      </c>
      <c r="AZ61" s="29" t="e">
        <f>#REF!</f>
        <v>#REF!</v>
      </c>
      <c r="BA61" s="29" t="e">
        <f>#REF!</f>
        <v>#REF!</v>
      </c>
      <c r="BB61" s="29" t="e">
        <f>#REF!</f>
        <v>#REF!</v>
      </c>
      <c r="BC61" s="29" t="e">
        <f>#REF!</f>
        <v>#REF!</v>
      </c>
      <c r="BD61" s="29" t="e">
        <f>#REF!</f>
        <v>#REF!</v>
      </c>
    </row>
    <row r="62" spans="1:56" s="4" customFormat="1" ht="39" customHeight="1" outlineLevel="1">
      <c r="A62" s="9"/>
      <c r="B62" s="18" t="s">
        <v>152</v>
      </c>
      <c r="C62" s="7" t="s">
        <v>9</v>
      </c>
      <c r="D62" s="28">
        <f t="shared" si="34"/>
        <v>375.28928571428565</v>
      </c>
      <c r="E62" s="29">
        <v>35.171353534912186</v>
      </c>
      <c r="F62" s="29">
        <v>48.500312060686625</v>
      </c>
      <c r="G62" s="29">
        <v>110.54631065939562</v>
      </c>
      <c r="H62" s="29">
        <v>54.715154295203689</v>
      </c>
      <c r="I62" s="29">
        <v>101.34129769808446</v>
      </c>
      <c r="J62" s="29">
        <v>25.014857466003075</v>
      </c>
      <c r="M62" s="28">
        <f>[52]СводПЗ!C61</f>
        <v>375.28928571428565</v>
      </c>
      <c r="N62" s="29">
        <f>$M$62*N91</f>
        <v>27.417701910956797</v>
      </c>
      <c r="O62" s="29">
        <f t="shared" ref="O62:S62" si="61">$M$62*O91</f>
        <v>44.515855692730497</v>
      </c>
      <c r="P62" s="29">
        <f t="shared" si="61"/>
        <v>124.10737242924183</v>
      </c>
      <c r="Q62" s="29">
        <f t="shared" si="61"/>
        <v>52.488146104599785</v>
      </c>
      <c r="R62" s="29">
        <f t="shared" si="61"/>
        <v>112.29934355201389</v>
      </c>
      <c r="S62" s="29">
        <f t="shared" si="61"/>
        <v>14.460866024742838</v>
      </c>
      <c r="U62" s="91">
        <f t="shared" si="5"/>
        <v>0</v>
      </c>
      <c r="V62" s="96">
        <f t="shared" si="6"/>
        <v>0</v>
      </c>
      <c r="X62" s="15"/>
      <c r="Y62" s="15"/>
      <c r="AT62" s="93" t="e">
        <f>#REF!</f>
        <v>#REF!</v>
      </c>
      <c r="AU62" s="93" t="e">
        <f t="shared" si="36"/>
        <v>#REF!</v>
      </c>
      <c r="AV62" s="97" t="e">
        <f t="shared" si="37"/>
        <v>#REF!</v>
      </c>
      <c r="AX62" s="28" t="e">
        <f t="shared" si="38"/>
        <v>#REF!</v>
      </c>
      <c r="AY62" s="29" t="e">
        <f>#REF!</f>
        <v>#REF!</v>
      </c>
      <c r="AZ62" s="29" t="e">
        <f>#REF!</f>
        <v>#REF!</v>
      </c>
      <c r="BA62" s="29" t="e">
        <f>#REF!</f>
        <v>#REF!</v>
      </c>
      <c r="BB62" s="29" t="e">
        <f>#REF!</f>
        <v>#REF!</v>
      </c>
      <c r="BC62" s="29" t="e">
        <f>#REF!</f>
        <v>#REF!</v>
      </c>
      <c r="BD62" s="29" t="e">
        <f>#REF!</f>
        <v>#REF!</v>
      </c>
    </row>
    <row r="63" spans="1:56" s="4" customFormat="1" ht="40.5" customHeight="1" outlineLevel="1">
      <c r="A63" s="63"/>
      <c r="B63" s="56" t="s">
        <v>126</v>
      </c>
      <c r="C63" s="144"/>
      <c r="D63" s="28">
        <f t="shared" si="34"/>
        <v>41712.393750000003</v>
      </c>
      <c r="E63" s="58">
        <v>3909.2012567756233</v>
      </c>
      <c r="F63" s="58">
        <v>5390.6791125751151</v>
      </c>
      <c r="G63" s="58">
        <v>12286.924816034003</v>
      </c>
      <c r="H63" s="58">
        <v>6081.4420952883138</v>
      </c>
      <c r="I63" s="58">
        <v>11263.812407201787</v>
      </c>
      <c r="J63" s="58">
        <v>2780.3340621251541</v>
      </c>
      <c r="M63" s="28">
        <f>[52]СводПЗ!C62</f>
        <v>41712.393749999996</v>
      </c>
      <c r="N63" s="58">
        <f>$M$63*N91</f>
        <v>3047.4037532226384</v>
      </c>
      <c r="O63" s="58">
        <f t="shared" ref="O63:S63" si="62">$M$63*O91</f>
        <v>4947.8175142655573</v>
      </c>
      <c r="P63" s="58">
        <f t="shared" si="62"/>
        <v>13794.200322541661</v>
      </c>
      <c r="Q63" s="58">
        <f t="shared" si="62"/>
        <v>5833.9161304738882</v>
      </c>
      <c r="R63" s="58">
        <f t="shared" si="62"/>
        <v>12481.769702517826</v>
      </c>
      <c r="S63" s="58">
        <f t="shared" si="62"/>
        <v>1607.2863269784239</v>
      </c>
      <c r="U63" s="91">
        <f t="shared" si="5"/>
        <v>0</v>
      </c>
      <c r="V63" s="96">
        <f t="shared" si="6"/>
        <v>0</v>
      </c>
      <c r="X63" s="15"/>
      <c r="Y63" s="15"/>
      <c r="AT63" s="93" t="e">
        <f>#REF!</f>
        <v>#REF!</v>
      </c>
      <c r="AU63" s="93" t="e">
        <f t="shared" si="36"/>
        <v>#REF!</v>
      </c>
      <c r="AV63" s="97" t="e">
        <f t="shared" si="37"/>
        <v>#REF!</v>
      </c>
      <c r="AX63" s="28" t="e">
        <f t="shared" si="38"/>
        <v>#REF!</v>
      </c>
      <c r="AY63" s="29" t="e">
        <f>#REF!</f>
        <v>#REF!</v>
      </c>
      <c r="AZ63" s="29" t="e">
        <f>#REF!</f>
        <v>#REF!</v>
      </c>
      <c r="BA63" s="29" t="e">
        <f>#REF!</f>
        <v>#REF!</v>
      </c>
      <c r="BB63" s="29" t="e">
        <f>#REF!</f>
        <v>#REF!</v>
      </c>
      <c r="BC63" s="29" t="e">
        <f>#REF!</f>
        <v>#REF!</v>
      </c>
      <c r="BD63" s="29" t="e">
        <f>#REF!</f>
        <v>#REF!</v>
      </c>
    </row>
    <row r="64" spans="1:56" s="4" customFormat="1" ht="42.75" customHeight="1" outlineLevel="1">
      <c r="A64" s="63"/>
      <c r="B64" s="56" t="s">
        <v>153</v>
      </c>
      <c r="C64" s="144"/>
      <c r="D64" s="28">
        <f t="shared" si="34"/>
        <v>13507.419798999999</v>
      </c>
      <c r="E64" s="58">
        <v>1265.8880900127374</v>
      </c>
      <c r="F64" s="58">
        <v>1745.6242432802806</v>
      </c>
      <c r="G64" s="58">
        <v>3978.7851189653225</v>
      </c>
      <c r="H64" s="58">
        <v>1969.3089746106796</v>
      </c>
      <c r="I64" s="58">
        <v>3647.4781004688634</v>
      </c>
      <c r="J64" s="58">
        <v>900.33527166211616</v>
      </c>
      <c r="M64" s="28">
        <f>[52]СводПЗ!C63</f>
        <v>4157.7245149999999</v>
      </c>
      <c r="N64" s="58">
        <f>$M$64*N91</f>
        <v>303.7530132606397</v>
      </c>
      <c r="O64" s="58">
        <f t="shared" ref="O64:S64" si="63">$M$64*O91</f>
        <v>493.17865328235376</v>
      </c>
      <c r="P64" s="58">
        <f t="shared" si="63"/>
        <v>1374.9506966584092</v>
      </c>
      <c r="Q64" s="58">
        <f t="shared" si="63"/>
        <v>581.50141800781273</v>
      </c>
      <c r="R64" s="58">
        <f t="shared" si="63"/>
        <v>1244.1328635746929</v>
      </c>
      <c r="S64" s="58">
        <f t="shared" si="63"/>
        <v>160.20787021609135</v>
      </c>
      <c r="U64" s="91">
        <f>D64-M64</f>
        <v>9349.6952839999994</v>
      </c>
      <c r="V64" s="96">
        <f t="shared" si="6"/>
        <v>0.69218958343859205</v>
      </c>
      <c r="X64" s="15"/>
      <c r="Y64" s="15"/>
      <c r="AT64" s="93" t="e">
        <f>#REF!</f>
        <v>#REF!</v>
      </c>
      <c r="AU64" s="93" t="e">
        <f t="shared" si="36"/>
        <v>#REF!</v>
      </c>
      <c r="AV64" s="97" t="e">
        <f t="shared" si="37"/>
        <v>#REF!</v>
      </c>
      <c r="AX64" s="28" t="e">
        <f t="shared" si="38"/>
        <v>#REF!</v>
      </c>
      <c r="AY64" s="29" t="e">
        <f>#REF!</f>
        <v>#REF!</v>
      </c>
      <c r="AZ64" s="29" t="e">
        <f>#REF!</f>
        <v>#REF!</v>
      </c>
      <c r="BA64" s="29" t="e">
        <f>#REF!</f>
        <v>#REF!</v>
      </c>
      <c r="BB64" s="29" t="e">
        <f>#REF!</f>
        <v>#REF!</v>
      </c>
      <c r="BC64" s="29" t="e">
        <f>#REF!</f>
        <v>#REF!</v>
      </c>
      <c r="BD64" s="29" t="e">
        <f>#REF!</f>
        <v>#REF!</v>
      </c>
    </row>
    <row r="65" spans="1:56" s="4" customFormat="1" hidden="1" outlineLevel="1">
      <c r="A65" s="63"/>
      <c r="B65" s="56" t="s">
        <v>118</v>
      </c>
      <c r="C65" s="144"/>
      <c r="D65" s="28">
        <f t="shared" si="34"/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M65" s="28">
        <f>[52]СводПЗ!C64</f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U65" s="91">
        <f t="shared" si="5"/>
        <v>0</v>
      </c>
      <c r="V65" s="96" t="e">
        <f t="shared" si="6"/>
        <v>#DIV/0!</v>
      </c>
      <c r="X65" s="15"/>
      <c r="Y65" s="15"/>
      <c r="AT65" s="93" t="e">
        <f>#REF!</f>
        <v>#REF!</v>
      </c>
      <c r="AU65" s="93" t="e">
        <f t="shared" si="36"/>
        <v>#REF!</v>
      </c>
      <c r="AV65" s="97" t="e">
        <f t="shared" si="37"/>
        <v>#REF!</v>
      </c>
      <c r="AX65" s="28" t="e">
        <f t="shared" si="38"/>
        <v>#REF!</v>
      </c>
      <c r="AY65" s="29" t="e">
        <f>#REF!</f>
        <v>#REF!</v>
      </c>
      <c r="AZ65" s="29" t="e">
        <f>#REF!</f>
        <v>#REF!</v>
      </c>
      <c r="BA65" s="29" t="e">
        <f>#REF!</f>
        <v>#REF!</v>
      </c>
      <c r="BB65" s="29" t="e">
        <f>#REF!</f>
        <v>#REF!</v>
      </c>
      <c r="BC65" s="29" t="e">
        <f>#REF!</f>
        <v>#REF!</v>
      </c>
      <c r="BD65" s="29" t="e">
        <f>#REF!</f>
        <v>#REF!</v>
      </c>
    </row>
    <row r="66" spans="1:56" s="4" customFormat="1" ht="27.75" customHeight="1" outlineLevel="1">
      <c r="A66" s="63"/>
      <c r="B66" s="56" t="s">
        <v>93</v>
      </c>
      <c r="C66" s="144"/>
      <c r="D66" s="28">
        <f t="shared" si="34"/>
        <v>2880.9999999999995</v>
      </c>
      <c r="E66" s="58">
        <v>270.00149855390572</v>
      </c>
      <c r="F66" s="58">
        <v>372.3245090274616</v>
      </c>
      <c r="G66" s="58">
        <v>848.63579412758975</v>
      </c>
      <c r="H66" s="58">
        <v>420.03426563179755</v>
      </c>
      <c r="I66" s="58">
        <v>777.97126052369867</v>
      </c>
      <c r="J66" s="58">
        <v>192.03267213554651</v>
      </c>
      <c r="M66" s="28">
        <f>[52]СводПЗ!C65</f>
        <v>2880.9999999999995</v>
      </c>
      <c r="N66" s="58">
        <f>$M$66*N91</f>
        <v>210.47869526870346</v>
      </c>
      <c r="O66" s="58">
        <f t="shared" ref="O66:S66" si="64">$M$66*O91</f>
        <v>341.73685509475393</v>
      </c>
      <c r="P66" s="58">
        <f t="shared" si="64"/>
        <v>952.74060192823447</v>
      </c>
      <c r="Q66" s="58">
        <f t="shared" si="64"/>
        <v>402.93809251585498</v>
      </c>
      <c r="R66" s="58">
        <f t="shared" si="64"/>
        <v>862.09337993108704</v>
      </c>
      <c r="S66" s="58">
        <f t="shared" si="64"/>
        <v>111.01237526136555</v>
      </c>
      <c r="U66" s="91">
        <f t="shared" si="5"/>
        <v>0</v>
      </c>
      <c r="V66" s="96">
        <f t="shared" si="6"/>
        <v>0</v>
      </c>
      <c r="X66" s="15"/>
      <c r="Y66" s="15"/>
      <c r="AT66" s="93" t="e">
        <f>#REF!</f>
        <v>#REF!</v>
      </c>
      <c r="AU66" s="93" t="e">
        <f t="shared" si="36"/>
        <v>#REF!</v>
      </c>
      <c r="AV66" s="97" t="e">
        <f t="shared" si="37"/>
        <v>#REF!</v>
      </c>
      <c r="AX66" s="28" t="e">
        <f t="shared" si="38"/>
        <v>#REF!</v>
      </c>
      <c r="AY66" s="29" t="e">
        <f>#REF!</f>
        <v>#REF!</v>
      </c>
      <c r="AZ66" s="29" t="e">
        <f>#REF!</f>
        <v>#REF!</v>
      </c>
      <c r="BA66" s="29" t="e">
        <f>#REF!</f>
        <v>#REF!</v>
      </c>
      <c r="BB66" s="29" t="e">
        <f>#REF!</f>
        <v>#REF!</v>
      </c>
      <c r="BC66" s="29" t="e">
        <f>#REF!</f>
        <v>#REF!</v>
      </c>
      <c r="BD66" s="29" t="e">
        <f>#REF!</f>
        <v>#REF!</v>
      </c>
    </row>
    <row r="67" spans="1:56" s="4" customFormat="1" outlineLevel="1">
      <c r="A67" s="63"/>
      <c r="B67" s="56" t="s">
        <v>154</v>
      </c>
      <c r="C67" s="144"/>
      <c r="D67" s="28">
        <f t="shared" si="34"/>
        <v>1284</v>
      </c>
      <c r="E67" s="58">
        <v>0</v>
      </c>
      <c r="F67" s="58">
        <v>0</v>
      </c>
      <c r="G67" s="58">
        <v>1284</v>
      </c>
      <c r="H67" s="58">
        <v>0</v>
      </c>
      <c r="I67" s="58">
        <v>0</v>
      </c>
      <c r="J67" s="58">
        <v>0</v>
      </c>
      <c r="M67" s="28">
        <f t="shared" si="42"/>
        <v>1284</v>
      </c>
      <c r="N67" s="58">
        <f>[52]СводПЗ!E66</f>
        <v>0</v>
      </c>
      <c r="O67" s="58">
        <f>[52]СводПЗ!F66</f>
        <v>0</v>
      </c>
      <c r="P67" s="58">
        <f>[52]СводПЗ!G66</f>
        <v>1284</v>
      </c>
      <c r="Q67" s="58">
        <f>[52]СводПЗ!H66</f>
        <v>0</v>
      </c>
      <c r="R67" s="58">
        <f>[52]СводПЗ!I66</f>
        <v>0</v>
      </c>
      <c r="S67" s="58">
        <f>[52]СводПЗ!J66</f>
        <v>0</v>
      </c>
      <c r="U67" s="91">
        <f t="shared" si="5"/>
        <v>0</v>
      </c>
      <c r="V67" s="96">
        <f t="shared" si="6"/>
        <v>0</v>
      </c>
      <c r="X67" s="15"/>
      <c r="Y67" s="15"/>
      <c r="AT67" s="93" t="e">
        <f>#REF!</f>
        <v>#REF!</v>
      </c>
      <c r="AU67" s="93" t="e">
        <f t="shared" si="36"/>
        <v>#REF!</v>
      </c>
      <c r="AV67" s="97" t="e">
        <f t="shared" si="37"/>
        <v>#REF!</v>
      </c>
      <c r="AX67" s="28" t="e">
        <f t="shared" si="38"/>
        <v>#REF!</v>
      </c>
      <c r="AY67" s="29" t="e">
        <f>#REF!</f>
        <v>#REF!</v>
      </c>
      <c r="AZ67" s="29" t="e">
        <f>#REF!</f>
        <v>#REF!</v>
      </c>
      <c r="BA67" s="29" t="e">
        <f>#REF!</f>
        <v>#REF!</v>
      </c>
      <c r="BB67" s="29" t="e">
        <f>#REF!</f>
        <v>#REF!</v>
      </c>
      <c r="BC67" s="29" t="e">
        <f>#REF!</f>
        <v>#REF!</v>
      </c>
      <c r="BD67" s="29" t="e">
        <f>#REF!</f>
        <v>#REF!</v>
      </c>
    </row>
    <row r="68" spans="1:56" s="4" customFormat="1" outlineLevel="1">
      <c r="A68" s="63"/>
      <c r="B68" s="56" t="s">
        <v>127</v>
      </c>
      <c r="C68" s="144"/>
      <c r="D68" s="28">
        <f t="shared" si="34"/>
        <v>195561.80357142852</v>
      </c>
      <c r="E68" s="58">
        <v>0</v>
      </c>
      <c r="F68" s="58">
        <v>0</v>
      </c>
      <c r="G68" s="58">
        <v>78224.721428571414</v>
      </c>
      <c r="H68" s="58">
        <v>39112.360714285707</v>
      </c>
      <c r="I68" s="58">
        <v>78224.721428571414</v>
      </c>
      <c r="J68" s="58">
        <v>0</v>
      </c>
      <c r="M68" s="28">
        <f t="shared" si="42"/>
        <v>219574.22142857141</v>
      </c>
      <c r="N68" s="58">
        <f>[52]СводПЗ!E67</f>
        <v>0</v>
      </c>
      <c r="O68" s="58">
        <f>[52]СводПЗ!F67</f>
        <v>0</v>
      </c>
      <c r="P68" s="58">
        <f>[52]СводПЗ!G67</f>
        <v>87829.68857142856</v>
      </c>
      <c r="Q68" s="58">
        <f>[52]СводПЗ!H67</f>
        <v>43914.84428571428</v>
      </c>
      <c r="R68" s="58">
        <f>[52]СводПЗ!I67</f>
        <v>87829.68857142856</v>
      </c>
      <c r="S68" s="58">
        <f>[52]СводПЗ!J67</f>
        <v>0</v>
      </c>
      <c r="U68" s="91">
        <f t="shared" si="5"/>
        <v>-24012.417857142893</v>
      </c>
      <c r="V68" s="96">
        <f t="shared" si="6"/>
        <v>-0.12278685008329049</v>
      </c>
      <c r="X68" s="315">
        <v>195561.80357142852</v>
      </c>
      <c r="Y68" s="15"/>
      <c r="AT68" s="93" t="e">
        <f>#REF!</f>
        <v>#REF!</v>
      </c>
      <c r="AU68" s="93" t="e">
        <f t="shared" si="36"/>
        <v>#REF!</v>
      </c>
      <c r="AV68" s="97" t="e">
        <f t="shared" si="37"/>
        <v>#REF!</v>
      </c>
      <c r="AX68" s="28" t="e">
        <f t="shared" si="38"/>
        <v>#REF!</v>
      </c>
      <c r="AY68" s="29" t="e">
        <f>#REF!</f>
        <v>#REF!</v>
      </c>
      <c r="AZ68" s="29" t="e">
        <f>#REF!</f>
        <v>#REF!</v>
      </c>
      <c r="BA68" s="29" t="e">
        <f>#REF!</f>
        <v>#REF!</v>
      </c>
      <c r="BB68" s="29" t="e">
        <f>#REF!</f>
        <v>#REF!</v>
      </c>
      <c r="BC68" s="29" t="e">
        <f>#REF!</f>
        <v>#REF!</v>
      </c>
      <c r="BD68" s="29" t="e">
        <f>#REF!</f>
        <v>#REF!</v>
      </c>
    </row>
    <row r="69" spans="1:56" s="4" customFormat="1" ht="50.25" customHeight="1">
      <c r="A69" s="79" t="s">
        <v>41</v>
      </c>
      <c r="B69" s="12" t="s">
        <v>108</v>
      </c>
      <c r="C69" s="7" t="s">
        <v>9</v>
      </c>
      <c r="D69" s="25">
        <f t="shared" si="34"/>
        <v>24630.262846479996</v>
      </c>
      <c r="E69" s="33">
        <f t="shared" ref="E69:J69" si="65">E70</f>
        <v>2308.298465229499</v>
      </c>
      <c r="F69" s="33">
        <f t="shared" si="65"/>
        <v>3183.0789731110704</v>
      </c>
      <c r="G69" s="33">
        <f t="shared" si="65"/>
        <v>7255.1623291543983</v>
      </c>
      <c r="H69" s="33">
        <f>H70</f>
        <v>3590.9595165009973</v>
      </c>
      <c r="I69" s="33">
        <f t="shared" si="65"/>
        <v>6651.036665639037</v>
      </c>
      <c r="J69" s="33">
        <f t="shared" si="65"/>
        <v>1641.7268968449932</v>
      </c>
      <c r="M69" s="25">
        <f t="shared" si="42"/>
        <v>24630.262846479996</v>
      </c>
      <c r="N69" s="33">
        <f t="shared" ref="N69:S69" si="66">N70</f>
        <v>1799.4257507991438</v>
      </c>
      <c r="O69" s="33">
        <f t="shared" si="66"/>
        <v>2921.5788147564167</v>
      </c>
      <c r="P69" s="33">
        <f t="shared" si="66"/>
        <v>8145.1757896584468</v>
      </c>
      <c r="Q69" s="33">
        <f>Q70</f>
        <v>3444.8008085820147</v>
      </c>
      <c r="R69" s="33">
        <f t="shared" si="66"/>
        <v>7370.2140041350303</v>
      </c>
      <c r="S69" s="33">
        <f t="shared" si="66"/>
        <v>949.06767854894395</v>
      </c>
      <c r="U69" s="91">
        <f t="shared" si="5"/>
        <v>0</v>
      </c>
      <c r="V69" s="96">
        <f t="shared" si="6"/>
        <v>0</v>
      </c>
      <c r="X69" s="15"/>
      <c r="Y69" s="15"/>
      <c r="AT69" s="92" t="e">
        <f>AT70</f>
        <v>#REF!</v>
      </c>
      <c r="AU69" s="92" t="e">
        <f t="shared" si="36"/>
        <v>#REF!</v>
      </c>
      <c r="AV69" s="97" t="e">
        <f t="shared" si="37"/>
        <v>#REF!</v>
      </c>
      <c r="AX69" s="25" t="e">
        <f t="shared" si="38"/>
        <v>#REF!</v>
      </c>
      <c r="AY69" s="33" t="e">
        <f t="shared" ref="AY69:BD69" si="67">AY70</f>
        <v>#REF!</v>
      </c>
      <c r="AZ69" s="33" t="e">
        <f t="shared" si="67"/>
        <v>#REF!</v>
      </c>
      <c r="BA69" s="33" t="e">
        <f t="shared" si="67"/>
        <v>#REF!</v>
      </c>
      <c r="BB69" s="33" t="e">
        <f>BB70</f>
        <v>#REF!</v>
      </c>
      <c r="BC69" s="33" t="e">
        <f t="shared" si="67"/>
        <v>#REF!</v>
      </c>
      <c r="BD69" s="33" t="e">
        <f t="shared" si="67"/>
        <v>#REF!</v>
      </c>
    </row>
    <row r="70" spans="1:56" s="4" customFormat="1" ht="25.5" customHeight="1" outlineLevel="1">
      <c r="A70" s="13"/>
      <c r="B70" s="18" t="s">
        <v>168</v>
      </c>
      <c r="C70" s="7" t="s">
        <v>9</v>
      </c>
      <c r="D70" s="28">
        <f t="shared" si="34"/>
        <v>24630.262846479996</v>
      </c>
      <c r="E70" s="29">
        <v>2308.298465229499</v>
      </c>
      <c r="F70" s="29">
        <v>3183.0789731110704</v>
      </c>
      <c r="G70" s="29">
        <v>7255.1623291543983</v>
      </c>
      <c r="H70" s="66">
        <v>3590.9595165009973</v>
      </c>
      <c r="I70" s="30">
        <v>6651.036665639037</v>
      </c>
      <c r="J70" s="30">
        <v>1641.7268968449932</v>
      </c>
      <c r="M70" s="28">
        <f>[52]СводПЗ!$C$69</f>
        <v>24630.262846479996</v>
      </c>
      <c r="N70" s="29">
        <f>$M$70*N91</f>
        <v>1799.4257507991438</v>
      </c>
      <c r="O70" s="29">
        <f t="shared" ref="O70:S70" si="68">$M$70*O91</f>
        <v>2921.5788147564167</v>
      </c>
      <c r="P70" s="29">
        <f t="shared" si="68"/>
        <v>8145.1757896584468</v>
      </c>
      <c r="Q70" s="29">
        <f t="shared" si="68"/>
        <v>3444.8008085820147</v>
      </c>
      <c r="R70" s="29">
        <f t="shared" si="68"/>
        <v>7370.2140041350303</v>
      </c>
      <c r="S70" s="29">
        <f t="shared" si="68"/>
        <v>949.06767854894395</v>
      </c>
      <c r="U70" s="91">
        <f t="shared" si="5"/>
        <v>0</v>
      </c>
      <c r="V70" s="96">
        <f t="shared" si="6"/>
        <v>0</v>
      </c>
      <c r="X70" s="15"/>
      <c r="Y70" s="15"/>
      <c r="AT70" s="93" t="e">
        <f>#REF!</f>
        <v>#REF!</v>
      </c>
      <c r="AU70" s="93" t="e">
        <f t="shared" si="36"/>
        <v>#REF!</v>
      </c>
      <c r="AV70" s="97" t="e">
        <f t="shared" si="37"/>
        <v>#REF!</v>
      </c>
      <c r="AX70" s="28" t="e">
        <f t="shared" si="38"/>
        <v>#REF!</v>
      </c>
      <c r="AY70" s="29" t="e">
        <f>#REF!</f>
        <v>#REF!</v>
      </c>
      <c r="AZ70" s="29" t="e">
        <f>#REF!</f>
        <v>#REF!</v>
      </c>
      <c r="BA70" s="29" t="e">
        <f>#REF!</f>
        <v>#REF!</v>
      </c>
      <c r="BB70" s="29" t="e">
        <f>#REF!</f>
        <v>#REF!</v>
      </c>
      <c r="BC70" s="29" t="e">
        <f>#REF!</f>
        <v>#REF!</v>
      </c>
      <c r="BD70" s="29" t="e">
        <f>#REF!</f>
        <v>#REF!</v>
      </c>
    </row>
    <row r="71" spans="1:56" s="4" customFormat="1" ht="25.5" customHeight="1" outlineLevel="1">
      <c r="A71" s="142" t="s">
        <v>43</v>
      </c>
      <c r="B71" s="65" t="s">
        <v>160</v>
      </c>
      <c r="C71" s="144"/>
      <c r="D71" s="25">
        <f t="shared" si="34"/>
        <v>5755.7888171200002</v>
      </c>
      <c r="E71" s="61">
        <f>SUM(E72:E75)</f>
        <v>567.51610114249934</v>
      </c>
      <c r="F71" s="61">
        <f t="shared" ref="F71:J71" si="69">SUM(F72:F75)</f>
        <v>789.22704102149214</v>
      </c>
      <c r="G71" s="61">
        <f t="shared" si="69"/>
        <v>1635.2583214322565</v>
      </c>
      <c r="H71" s="61">
        <f t="shared" si="69"/>
        <v>822.11961822090677</v>
      </c>
      <c r="I71" s="61">
        <f t="shared" si="69"/>
        <v>1499.0929989163894</v>
      </c>
      <c r="J71" s="61">
        <f t="shared" si="69"/>
        <v>442.57473638645547</v>
      </c>
      <c r="M71" s="25">
        <f t="shared" si="42"/>
        <v>5755.7888171200002</v>
      </c>
      <c r="N71" s="61">
        <f>SUM(N72:N75)</f>
        <v>452.82006774319626</v>
      </c>
      <c r="O71" s="61">
        <f t="shared" ref="O71:S71" si="70">SUM(O72:O75)</f>
        <v>730.28689735483226</v>
      </c>
      <c r="P71" s="61">
        <f t="shared" si="70"/>
        <v>1835.8605755854855</v>
      </c>
      <c r="Q71" s="61">
        <f t="shared" si="70"/>
        <v>789.17655884732562</v>
      </c>
      <c r="R71" s="61">
        <f t="shared" si="70"/>
        <v>1661.1900925451887</v>
      </c>
      <c r="S71" s="61">
        <f t="shared" si="70"/>
        <v>286.45462504397187</v>
      </c>
      <c r="U71" s="91">
        <f t="shared" si="5"/>
        <v>0</v>
      </c>
      <c r="V71" s="96">
        <f t="shared" si="6"/>
        <v>0</v>
      </c>
      <c r="X71" s="15"/>
      <c r="Y71" s="15"/>
      <c r="AT71" s="92" t="e">
        <f>SUM(AT72:AT75)</f>
        <v>#REF!</v>
      </c>
      <c r="AU71" s="92" t="e">
        <f t="shared" si="36"/>
        <v>#REF!</v>
      </c>
      <c r="AV71" s="97" t="e">
        <f t="shared" si="37"/>
        <v>#REF!</v>
      </c>
      <c r="AX71" s="25" t="e">
        <f t="shared" si="38"/>
        <v>#REF!</v>
      </c>
      <c r="AY71" s="61" t="e">
        <f>SUM(AY72:AY75)</f>
        <v>#REF!</v>
      </c>
      <c r="AZ71" s="61" t="e">
        <f t="shared" ref="AZ71:BD71" si="71">SUM(AZ72:AZ75)</f>
        <v>#REF!</v>
      </c>
      <c r="BA71" s="61" t="e">
        <f t="shared" si="71"/>
        <v>#REF!</v>
      </c>
      <c r="BB71" s="61" t="e">
        <f t="shared" si="71"/>
        <v>#REF!</v>
      </c>
      <c r="BC71" s="61" t="e">
        <f t="shared" si="71"/>
        <v>#REF!</v>
      </c>
      <c r="BD71" s="61" t="e">
        <f t="shared" si="71"/>
        <v>#REF!</v>
      </c>
    </row>
    <row r="72" spans="1:56" s="4" customFormat="1" ht="61.5" customHeight="1" outlineLevel="1">
      <c r="A72" s="142"/>
      <c r="B72" s="56" t="s">
        <v>90</v>
      </c>
      <c r="C72" s="144"/>
      <c r="D72" s="28">
        <f t="shared" si="34"/>
        <v>228.50450973599993</v>
      </c>
      <c r="E72" s="58">
        <v>36.081415530352459</v>
      </c>
      <c r="F72" s="58">
        <v>52.545424106373261</v>
      </c>
      <c r="G72" s="58">
        <v>50.994118711623408</v>
      </c>
      <c r="H72" s="139">
        <v>30.596479318510326</v>
      </c>
      <c r="I72" s="58">
        <v>46.747920707445708</v>
      </c>
      <c r="J72" s="58">
        <v>11.539151361694788</v>
      </c>
      <c r="M72" s="28">
        <f t="shared" si="42"/>
        <v>228.50450973599996</v>
      </c>
      <c r="N72" s="58">
        <f>[52]СводПЗ!E71</f>
        <v>32.504718768587239</v>
      </c>
      <c r="O72" s="58">
        <f>[52]СводПЗ!F71</f>
        <v>50.707426620822901</v>
      </c>
      <c r="P72" s="58">
        <f>[52]СводПЗ!G71</f>
        <v>57.249726787752543</v>
      </c>
      <c r="Q72" s="146">
        <f>[52]СводПЗ!H71</f>
        <v>29.569178458210104</v>
      </c>
      <c r="R72" s="58">
        <f>[52]СводПЗ!I71</f>
        <v>51.802778601748464</v>
      </c>
      <c r="S72" s="58">
        <f>[52]СводПЗ!J71</f>
        <v>6.6706804988787098</v>
      </c>
      <c r="U72" s="91">
        <f t="shared" ref="U72:U132" si="72">D72-M72</f>
        <v>0</v>
      </c>
      <c r="V72" s="96">
        <f t="shared" ref="V72:V132" si="73">100%-(M72/D72)</f>
        <v>0</v>
      </c>
      <c r="X72" s="15"/>
      <c r="Y72" s="15"/>
      <c r="AT72" s="93" t="e">
        <f>#REF!</f>
        <v>#REF!</v>
      </c>
      <c r="AU72" s="93" t="e">
        <f t="shared" si="36"/>
        <v>#REF!</v>
      </c>
      <c r="AV72" s="97" t="e">
        <f t="shared" si="37"/>
        <v>#REF!</v>
      </c>
      <c r="AX72" s="28" t="e">
        <f t="shared" si="38"/>
        <v>#REF!</v>
      </c>
      <c r="AY72" s="58" t="e">
        <f>#REF!</f>
        <v>#REF!</v>
      </c>
      <c r="AZ72" s="58" t="e">
        <f>#REF!</f>
        <v>#REF!</v>
      </c>
      <c r="BA72" s="58" t="e">
        <f>#REF!</f>
        <v>#REF!</v>
      </c>
      <c r="BB72" s="58" t="e">
        <f>#REF!</f>
        <v>#REF!</v>
      </c>
      <c r="BC72" s="58" t="e">
        <f>#REF!</f>
        <v>#REF!</v>
      </c>
      <c r="BD72" s="58" t="e">
        <f>#REF!</f>
        <v>#REF!</v>
      </c>
    </row>
    <row r="73" spans="1:56" s="4" customFormat="1" ht="63.75" customHeight="1" outlineLevel="1">
      <c r="A73" s="142"/>
      <c r="B73" s="56" t="s">
        <v>105</v>
      </c>
      <c r="C73" s="144"/>
      <c r="D73" s="28">
        <f t="shared" si="34"/>
        <v>148.92859858399999</v>
      </c>
      <c r="E73" s="58">
        <v>27.386056270961983</v>
      </c>
      <c r="F73" s="58">
        <v>41.612665629452472</v>
      </c>
      <c r="G73" s="58">
        <v>0</v>
      </c>
      <c r="H73" s="139">
        <v>7.3878766835855387</v>
      </c>
      <c r="I73" s="58">
        <v>0</v>
      </c>
      <c r="J73" s="58">
        <v>72.542000000000002</v>
      </c>
      <c r="M73" s="28">
        <f t="shared" si="42"/>
        <v>148.92859858399999</v>
      </c>
      <c r="N73" s="58">
        <f>[52]СводПЗ!E72</f>
        <v>27.386056270961983</v>
      </c>
      <c r="O73" s="58">
        <f>[52]СводПЗ!F72</f>
        <v>41.612665629452472</v>
      </c>
      <c r="P73" s="58">
        <f>[52]СводПЗ!G72</f>
        <v>0</v>
      </c>
      <c r="Q73" s="146">
        <f>[52]СводПЗ!H72</f>
        <v>7.3878766835855387</v>
      </c>
      <c r="R73" s="58">
        <f>[52]СводПЗ!I72</f>
        <v>0</v>
      </c>
      <c r="S73" s="58">
        <f>[52]СводПЗ!J72</f>
        <v>72.542000000000002</v>
      </c>
      <c r="U73" s="91">
        <f t="shared" si="72"/>
        <v>0</v>
      </c>
      <c r="V73" s="96">
        <f t="shared" si="73"/>
        <v>0</v>
      </c>
      <c r="X73" s="15"/>
      <c r="Y73" s="15"/>
      <c r="AT73" s="93" t="e">
        <f>#REF!</f>
        <v>#REF!</v>
      </c>
      <c r="AU73" s="93" t="e">
        <f t="shared" si="36"/>
        <v>#REF!</v>
      </c>
      <c r="AV73" s="97" t="e">
        <f t="shared" si="37"/>
        <v>#REF!</v>
      </c>
      <c r="AX73" s="28" t="e">
        <f t="shared" si="38"/>
        <v>#REF!</v>
      </c>
      <c r="AY73" s="58" t="e">
        <f>#REF!</f>
        <v>#REF!</v>
      </c>
      <c r="AZ73" s="58" t="e">
        <f>#REF!</f>
        <v>#REF!</v>
      </c>
      <c r="BA73" s="58" t="e">
        <f>#REF!</f>
        <v>#REF!</v>
      </c>
      <c r="BB73" s="58" t="e">
        <f>#REF!</f>
        <v>#REF!</v>
      </c>
      <c r="BC73" s="58" t="e">
        <f>#REF!</f>
        <v>#REF!</v>
      </c>
      <c r="BD73" s="58" t="e">
        <f>#REF!</f>
        <v>#REF!</v>
      </c>
    </row>
    <row r="74" spans="1:56" s="4" customFormat="1" outlineLevel="1">
      <c r="A74" s="142"/>
      <c r="B74" s="56" t="s">
        <v>91</v>
      </c>
      <c r="C74" s="144"/>
      <c r="D74" s="28">
        <f t="shared" si="34"/>
        <v>4257.4697087999994</v>
      </c>
      <c r="E74" s="58">
        <v>399.00145832136781</v>
      </c>
      <c r="F74" s="58">
        <v>550.21184277273505</v>
      </c>
      <c r="G74" s="58">
        <v>1254.0927411668331</v>
      </c>
      <c r="H74" s="139">
        <v>620.71612724242664</v>
      </c>
      <c r="I74" s="58">
        <v>1149.6664616440821</v>
      </c>
      <c r="J74" s="58">
        <v>283.7810776525551</v>
      </c>
      <c r="M74" s="28">
        <f>[52]СводПЗ!C73</f>
        <v>4257.4697088000003</v>
      </c>
      <c r="N74" s="58">
        <f>$M$74*N91</f>
        <v>311.04014906430098</v>
      </c>
      <c r="O74" s="58">
        <f t="shared" ref="O74:S74" si="74">$M$74*O91</f>
        <v>505.01017318517529</v>
      </c>
      <c r="P74" s="58">
        <f t="shared" si="74"/>
        <v>1407.9362211222972</v>
      </c>
      <c r="Q74" s="58">
        <f t="shared" si="74"/>
        <v>595.45183040885286</v>
      </c>
      <c r="R74" s="58">
        <f t="shared" si="74"/>
        <v>1273.9800247183666</v>
      </c>
      <c r="S74" s="58">
        <f t="shared" si="74"/>
        <v>164.05131030100745</v>
      </c>
      <c r="U74" s="91">
        <f t="shared" si="72"/>
        <v>0</v>
      </c>
      <c r="V74" s="96">
        <f t="shared" si="73"/>
        <v>0</v>
      </c>
      <c r="X74" s="15"/>
      <c r="Y74" s="15"/>
      <c r="AT74" s="93" t="e">
        <f>#REF!</f>
        <v>#REF!</v>
      </c>
      <c r="AU74" s="93" t="e">
        <f t="shared" si="36"/>
        <v>#REF!</v>
      </c>
      <c r="AV74" s="97" t="e">
        <f t="shared" si="37"/>
        <v>#REF!</v>
      </c>
      <c r="AX74" s="28" t="e">
        <f t="shared" si="38"/>
        <v>#REF!</v>
      </c>
      <c r="AY74" s="58" t="e">
        <f>#REF!</f>
        <v>#REF!</v>
      </c>
      <c r="AZ74" s="58" t="e">
        <f>#REF!</f>
        <v>#REF!</v>
      </c>
      <c r="BA74" s="58" t="e">
        <f>#REF!</f>
        <v>#REF!</v>
      </c>
      <c r="BB74" s="58" t="e">
        <f>#REF!</f>
        <v>#REF!</v>
      </c>
      <c r="BC74" s="58" t="e">
        <f>#REF!</f>
        <v>#REF!</v>
      </c>
      <c r="BD74" s="58" t="e">
        <f>#REF!</f>
        <v>#REF!</v>
      </c>
    </row>
    <row r="75" spans="1:56" s="4" customFormat="1" outlineLevel="1">
      <c r="A75" s="142"/>
      <c r="B75" s="56" t="s">
        <v>129</v>
      </c>
      <c r="C75" s="144"/>
      <c r="D75" s="28">
        <f t="shared" si="34"/>
        <v>1120.886</v>
      </c>
      <c r="E75" s="58">
        <v>105.04717101981713</v>
      </c>
      <c r="F75" s="58">
        <v>144.85710851293135</v>
      </c>
      <c r="G75" s="58">
        <v>330.17146155379993</v>
      </c>
      <c r="H75" s="139">
        <v>163.41913497638427</v>
      </c>
      <c r="I75" s="58">
        <v>302.67861656486167</v>
      </c>
      <c r="J75" s="58">
        <v>74.71250737220555</v>
      </c>
      <c r="M75" s="28">
        <f>[52]СводПЗ!C74</f>
        <v>1120.886</v>
      </c>
      <c r="N75" s="58">
        <f>$M$75*N91</f>
        <v>81.889143639346059</v>
      </c>
      <c r="O75" s="58">
        <f t="shared" ref="O75:S75" si="75">$M$75*O91</f>
        <v>132.95663191938161</v>
      </c>
      <c r="P75" s="58">
        <f t="shared" si="75"/>
        <v>370.674627675436</v>
      </c>
      <c r="Q75" s="58">
        <f t="shared" si="75"/>
        <v>156.76767329667709</v>
      </c>
      <c r="R75" s="58">
        <f t="shared" si="75"/>
        <v>335.40728922507344</v>
      </c>
      <c r="S75" s="58">
        <f t="shared" si="75"/>
        <v>43.190634244085736</v>
      </c>
      <c r="U75" s="91">
        <f t="shared" si="72"/>
        <v>0</v>
      </c>
      <c r="V75" s="96">
        <f t="shared" si="73"/>
        <v>0</v>
      </c>
      <c r="X75" s="15"/>
      <c r="Y75" s="15"/>
      <c r="AT75" s="93" t="e">
        <f>#REF!</f>
        <v>#REF!</v>
      </c>
      <c r="AU75" s="93" t="e">
        <f t="shared" si="36"/>
        <v>#REF!</v>
      </c>
      <c r="AV75" s="97" t="e">
        <f t="shared" si="37"/>
        <v>#REF!</v>
      </c>
      <c r="AX75" s="28" t="e">
        <f t="shared" si="38"/>
        <v>#REF!</v>
      </c>
      <c r="AY75" s="58" t="e">
        <f>#REF!</f>
        <v>#REF!</v>
      </c>
      <c r="AZ75" s="58" t="e">
        <f>#REF!</f>
        <v>#REF!</v>
      </c>
      <c r="BA75" s="58" t="e">
        <f>#REF!</f>
        <v>#REF!</v>
      </c>
      <c r="BB75" s="58" t="e">
        <f>#REF!</f>
        <v>#REF!</v>
      </c>
      <c r="BC75" s="58" t="e">
        <f>#REF!</f>
        <v>#REF!</v>
      </c>
      <c r="BD75" s="58" t="e">
        <f>#REF!</f>
        <v>#REF!</v>
      </c>
    </row>
    <row r="76" spans="1:56" s="4" customFormat="1" ht="30" customHeight="1">
      <c r="A76" s="13" t="s">
        <v>159</v>
      </c>
      <c r="B76" s="12" t="s">
        <v>44</v>
      </c>
      <c r="C76" s="7" t="s">
        <v>9</v>
      </c>
      <c r="D76" s="25">
        <f t="shared" ref="D76:J76" si="76">SUM(D77:D90)</f>
        <v>42918.220302243899</v>
      </c>
      <c r="E76" s="25">
        <f t="shared" si="76"/>
        <v>4028.4018268738014</v>
      </c>
      <c r="F76" s="25">
        <f t="shared" si="76"/>
        <v>5556.2315158095189</v>
      </c>
      <c r="G76" s="25">
        <f t="shared" si="76"/>
        <v>12635.227630054374</v>
      </c>
      <c r="H76" s="25">
        <f t="shared" si="76"/>
        <v>6256.0973179243392</v>
      </c>
      <c r="I76" s="25">
        <f t="shared" si="76"/>
        <v>11583.112607761841</v>
      </c>
      <c r="J76" s="25">
        <f t="shared" si="76"/>
        <v>2859.1494038200231</v>
      </c>
      <c r="M76" s="25">
        <f t="shared" ref="M76:S76" si="77">SUM(M77:M90)</f>
        <v>41341.827302243895</v>
      </c>
      <c r="N76" s="25">
        <f t="shared" si="77"/>
        <v>3027.0072215393811</v>
      </c>
      <c r="O76" s="25">
        <f t="shared" si="77"/>
        <v>4913.8282189008278</v>
      </c>
      <c r="P76" s="25">
        <f t="shared" si="77"/>
        <v>13663.920703988155</v>
      </c>
      <c r="Q76" s="25">
        <f t="shared" si="77"/>
        <v>5781.0795178730741</v>
      </c>
      <c r="R76" s="25">
        <f t="shared" si="77"/>
        <v>12363.885362890003</v>
      </c>
      <c r="S76" s="25">
        <f t="shared" si="77"/>
        <v>1592.1062770524541</v>
      </c>
      <c r="U76" s="91">
        <f t="shared" si="72"/>
        <v>1576.3930000000037</v>
      </c>
      <c r="V76" s="96">
        <f t="shared" si="73"/>
        <v>3.6730157702219213E-2</v>
      </c>
      <c r="X76" s="15"/>
      <c r="Y76" s="15"/>
      <c r="AT76" s="92" t="e">
        <f>SUM(AT77:AT90)</f>
        <v>#REF!</v>
      </c>
      <c r="AU76" s="92" t="e">
        <f t="shared" si="36"/>
        <v>#REF!</v>
      </c>
      <c r="AV76" s="97" t="e">
        <f t="shared" si="37"/>
        <v>#REF!</v>
      </c>
      <c r="AX76" s="25" t="e">
        <f t="shared" ref="AX76:BD76" si="78">SUM(AX77:AX90)</f>
        <v>#REF!</v>
      </c>
      <c r="AY76" s="25" t="e">
        <f t="shared" si="78"/>
        <v>#REF!</v>
      </c>
      <c r="AZ76" s="25" t="e">
        <f t="shared" si="78"/>
        <v>#REF!</v>
      </c>
      <c r="BA76" s="25" t="e">
        <f t="shared" si="78"/>
        <v>#REF!</v>
      </c>
      <c r="BB76" s="25" t="e">
        <f t="shared" si="78"/>
        <v>#REF!</v>
      </c>
      <c r="BC76" s="25" t="e">
        <f t="shared" si="78"/>
        <v>#REF!</v>
      </c>
      <c r="BD76" s="25" t="e">
        <f t="shared" si="78"/>
        <v>#REF!</v>
      </c>
    </row>
    <row r="77" spans="1:56" s="4" customFormat="1" ht="59.25" customHeight="1">
      <c r="A77" s="13"/>
      <c r="B77" s="18" t="s">
        <v>92</v>
      </c>
      <c r="C77" s="7" t="s">
        <v>9</v>
      </c>
      <c r="D77" s="28">
        <f t="shared" si="34"/>
        <v>1946.9999999999998</v>
      </c>
      <c r="E77" s="28">
        <v>182.46890582591269</v>
      </c>
      <c r="F77" s="28">
        <v>251.61951373705924</v>
      </c>
      <c r="G77" s="49">
        <v>573.51401984256063</v>
      </c>
      <c r="H77" s="50">
        <v>283.86210176505028</v>
      </c>
      <c r="I77" s="50">
        <v>525.75843257189911</v>
      </c>
      <c r="J77" s="50">
        <v>129.77702625751789</v>
      </c>
      <c r="M77" s="28">
        <f>[52]СводПЗ!C76</f>
        <v>1947.0000000000002</v>
      </c>
      <c r="N77" s="28">
        <f>$M$77*N91</f>
        <v>142.24297802435467</v>
      </c>
      <c r="O77" s="28">
        <f t="shared" ref="O77:S77" si="79">$M$77*O91</f>
        <v>230.94816274539605</v>
      </c>
      <c r="P77" s="28">
        <f t="shared" si="79"/>
        <v>643.86877888034462</v>
      </c>
      <c r="Q77" s="28">
        <f t="shared" si="79"/>
        <v>272.30838810425888</v>
      </c>
      <c r="R77" s="28">
        <f t="shared" si="79"/>
        <v>582.60875068581288</v>
      </c>
      <c r="S77" s="28">
        <f t="shared" si="79"/>
        <v>75.022941559832972</v>
      </c>
      <c r="U77" s="91">
        <f t="shared" si="72"/>
        <v>0</v>
      </c>
      <c r="V77" s="96">
        <f t="shared" si="73"/>
        <v>0</v>
      </c>
      <c r="X77" s="15"/>
      <c r="Y77" s="15"/>
      <c r="AT77" s="93" t="e">
        <f>#REF!</f>
        <v>#REF!</v>
      </c>
      <c r="AU77" s="93" t="e">
        <f t="shared" si="36"/>
        <v>#REF!</v>
      </c>
      <c r="AV77" s="97" t="e">
        <f t="shared" si="37"/>
        <v>#REF!</v>
      </c>
      <c r="AX77" s="28" t="e">
        <f t="shared" si="38"/>
        <v>#REF!</v>
      </c>
      <c r="AY77" s="28" t="e">
        <f>#REF!</f>
        <v>#REF!</v>
      </c>
      <c r="AZ77" s="28" t="e">
        <f>#REF!</f>
        <v>#REF!</v>
      </c>
      <c r="BA77" s="28" t="e">
        <f>#REF!</f>
        <v>#REF!</v>
      </c>
      <c r="BB77" s="28" t="e">
        <f>#REF!</f>
        <v>#REF!</v>
      </c>
      <c r="BC77" s="28" t="e">
        <f>#REF!</f>
        <v>#REF!</v>
      </c>
      <c r="BD77" s="28" t="e">
        <f>#REF!</f>
        <v>#REF!</v>
      </c>
    </row>
    <row r="78" spans="1:56" s="4" customFormat="1" ht="37.5" customHeight="1">
      <c r="A78" s="13"/>
      <c r="B78" s="18" t="s">
        <v>104</v>
      </c>
      <c r="C78" s="7" t="s">
        <v>9</v>
      </c>
      <c r="D78" s="28">
        <f t="shared" si="34"/>
        <v>1455</v>
      </c>
      <c r="E78" s="49">
        <v>136.35965997776216</v>
      </c>
      <c r="F78" s="49">
        <v>188.03615433354966</v>
      </c>
      <c r="G78" s="49">
        <v>428.58905951254536</v>
      </c>
      <c r="H78" s="50">
        <v>212.13115463181722</v>
      </c>
      <c r="I78" s="50">
        <v>392.90113990349931</v>
      </c>
      <c r="J78" s="50">
        <v>96.982831640826163</v>
      </c>
      <c r="M78" s="28">
        <f>[52]СводПЗ!C77</f>
        <v>1455</v>
      </c>
      <c r="N78" s="49">
        <f>$M$78*N91</f>
        <v>106.29868157444068</v>
      </c>
      <c r="O78" s="49">
        <f t="shared" ref="O78:S78" si="80">$M$78*O91</f>
        <v>172.58838047999549</v>
      </c>
      <c r="P78" s="49">
        <f t="shared" si="80"/>
        <v>481.16542027267661</v>
      </c>
      <c r="Q78" s="49">
        <f t="shared" si="80"/>
        <v>203.49702346774353</v>
      </c>
      <c r="R78" s="49">
        <f t="shared" si="80"/>
        <v>435.38558410264903</v>
      </c>
      <c r="S78" s="49">
        <f t="shared" si="80"/>
        <v>56.064910102494586</v>
      </c>
      <c r="U78" s="91">
        <f t="shared" si="72"/>
        <v>0</v>
      </c>
      <c r="V78" s="96">
        <f t="shared" si="73"/>
        <v>0</v>
      </c>
      <c r="X78" s="15"/>
      <c r="Y78" s="15"/>
      <c r="AT78" s="93" t="e">
        <f>#REF!</f>
        <v>#REF!</v>
      </c>
      <c r="AU78" s="93" t="e">
        <f t="shared" si="36"/>
        <v>#REF!</v>
      </c>
      <c r="AV78" s="97" t="e">
        <f t="shared" si="37"/>
        <v>#REF!</v>
      </c>
      <c r="AX78" s="28" t="e">
        <f t="shared" si="38"/>
        <v>#REF!</v>
      </c>
      <c r="AY78" s="28" t="e">
        <f>#REF!</f>
        <v>#REF!</v>
      </c>
      <c r="AZ78" s="28" t="e">
        <f>#REF!</f>
        <v>#REF!</v>
      </c>
      <c r="BA78" s="28" t="e">
        <f>#REF!</f>
        <v>#REF!</v>
      </c>
      <c r="BB78" s="28" t="e">
        <f>#REF!</f>
        <v>#REF!</v>
      </c>
      <c r="BC78" s="28" t="e">
        <f>#REF!</f>
        <v>#REF!</v>
      </c>
      <c r="BD78" s="28" t="e">
        <f>#REF!</f>
        <v>#REF!</v>
      </c>
    </row>
    <row r="79" spans="1:56" s="4" customFormat="1" ht="26.25" customHeight="1">
      <c r="A79" s="13"/>
      <c r="B79" s="18" t="s">
        <v>117</v>
      </c>
      <c r="C79" s="7" t="s">
        <v>9</v>
      </c>
      <c r="D79" s="28">
        <f t="shared" si="34"/>
        <v>1079.6035714285713</v>
      </c>
      <c r="E79" s="49">
        <v>101.17826523077503</v>
      </c>
      <c r="F79" s="49">
        <v>139.52199572247028</v>
      </c>
      <c r="G79" s="49">
        <v>318.01118853948901</v>
      </c>
      <c r="H79" s="50">
        <v>157.40037948575699</v>
      </c>
      <c r="I79" s="50">
        <v>291.53090986816125</v>
      </c>
      <c r="J79" s="50">
        <v>71.960832581918751</v>
      </c>
      <c r="M79" s="28">
        <f>[52]СводПЗ!C78</f>
        <v>1079.6035714285713</v>
      </c>
      <c r="N79" s="49">
        <f>$M$79*N91</f>
        <v>78.873152072793559</v>
      </c>
      <c r="O79" s="49">
        <f t="shared" ref="O79:S79" si="81">$M$79*O91</f>
        <v>128.05981577544759</v>
      </c>
      <c r="P79" s="49">
        <f t="shared" si="81"/>
        <v>357.02261592736164</v>
      </c>
      <c r="Q79" s="49">
        <f t="shared" si="81"/>
        <v>150.99389230986921</v>
      </c>
      <c r="R79" s="49">
        <f t="shared" si="81"/>
        <v>323.05417975651858</v>
      </c>
      <c r="S79" s="49">
        <f t="shared" si="81"/>
        <v>41.599915586580714</v>
      </c>
      <c r="U79" s="91">
        <f t="shared" si="72"/>
        <v>0</v>
      </c>
      <c r="V79" s="96">
        <f t="shared" si="73"/>
        <v>0</v>
      </c>
      <c r="X79" s="15"/>
      <c r="Y79" s="15"/>
      <c r="AT79" s="93" t="e">
        <f>#REF!</f>
        <v>#REF!</v>
      </c>
      <c r="AU79" s="93" t="e">
        <f t="shared" si="36"/>
        <v>#REF!</v>
      </c>
      <c r="AV79" s="97" t="e">
        <f t="shared" si="37"/>
        <v>#REF!</v>
      </c>
      <c r="AX79" s="28" t="e">
        <f t="shared" si="38"/>
        <v>#REF!</v>
      </c>
      <c r="AY79" s="28" t="e">
        <f>#REF!</f>
        <v>#REF!</v>
      </c>
      <c r="AZ79" s="28" t="e">
        <f>#REF!</f>
        <v>#REF!</v>
      </c>
      <c r="BA79" s="28" t="e">
        <f>#REF!</f>
        <v>#REF!</v>
      </c>
      <c r="BB79" s="28" t="e">
        <f>#REF!</f>
        <v>#REF!</v>
      </c>
      <c r="BC79" s="28" t="e">
        <f>#REF!</f>
        <v>#REF!</v>
      </c>
      <c r="BD79" s="28" t="e">
        <f>#REF!</f>
        <v>#REF!</v>
      </c>
    </row>
    <row r="80" spans="1:56" s="4" customFormat="1" ht="26.25" customHeight="1">
      <c r="A80" s="13"/>
      <c r="B80" s="18" t="s">
        <v>155</v>
      </c>
      <c r="C80" s="7" t="s">
        <v>9</v>
      </c>
      <c r="D80" s="28">
        <f t="shared" si="34"/>
        <v>319.07734806629833</v>
      </c>
      <c r="E80" s="49">
        <v>29.903284322286265</v>
      </c>
      <c r="F80" s="49">
        <v>41.235792072394652</v>
      </c>
      <c r="G80" s="49">
        <v>93.988357745355245</v>
      </c>
      <c r="H80" s="50">
        <v>46.519756881211066</v>
      </c>
      <c r="I80" s="50">
        <v>86.162098812807031</v>
      </c>
      <c r="J80" s="50">
        <v>21.268058232244059</v>
      </c>
      <c r="M80" s="28">
        <f>[52]СводПЗ!C79</f>
        <v>319.07734806629838</v>
      </c>
      <c r="N80" s="49">
        <f>$M$80*N91</f>
        <v>23.310997539324006</v>
      </c>
      <c r="O80" s="49">
        <f t="shared" ref="O80:S80" si="82">$M$80*O91</f>
        <v>37.84813934750121</v>
      </c>
      <c r="P80" s="49">
        <f t="shared" si="82"/>
        <v>105.51820363011106</v>
      </c>
      <c r="Q80" s="49">
        <f t="shared" si="82"/>
        <v>44.626316554964184</v>
      </c>
      <c r="R80" s="49">
        <f t="shared" si="82"/>
        <v>95.478816193656073</v>
      </c>
      <c r="S80" s="49">
        <f t="shared" si="82"/>
        <v>12.294874800741852</v>
      </c>
      <c r="U80" s="91">
        <f t="shared" si="72"/>
        <v>0</v>
      </c>
      <c r="V80" s="96">
        <f t="shared" si="73"/>
        <v>0</v>
      </c>
      <c r="X80" s="15"/>
      <c r="Y80" s="15"/>
      <c r="AT80" s="93" t="e">
        <f>#REF!</f>
        <v>#REF!</v>
      </c>
      <c r="AU80" s="93" t="e">
        <f t="shared" si="36"/>
        <v>#REF!</v>
      </c>
      <c r="AV80" s="97" t="e">
        <f t="shared" si="37"/>
        <v>#REF!</v>
      </c>
      <c r="AX80" s="28" t="e">
        <f t="shared" si="38"/>
        <v>#REF!</v>
      </c>
      <c r="AY80" s="28" t="e">
        <f>#REF!</f>
        <v>#REF!</v>
      </c>
      <c r="AZ80" s="28" t="e">
        <f>#REF!</f>
        <v>#REF!</v>
      </c>
      <c r="BA80" s="28" t="e">
        <f>#REF!</f>
        <v>#REF!</v>
      </c>
      <c r="BB80" s="28" t="e">
        <f>#REF!</f>
        <v>#REF!</v>
      </c>
      <c r="BC80" s="28" t="e">
        <f>#REF!</f>
        <v>#REF!</v>
      </c>
      <c r="BD80" s="28" t="e">
        <f>#REF!</f>
        <v>#REF!</v>
      </c>
    </row>
    <row r="81" spans="1:56" s="4" customFormat="1" ht="45" customHeight="1">
      <c r="A81" s="13"/>
      <c r="B81" s="18" t="s">
        <v>156</v>
      </c>
      <c r="C81" s="7" t="s">
        <v>9</v>
      </c>
      <c r="D81" s="28">
        <f t="shared" si="34"/>
        <v>53.805714285714274</v>
      </c>
      <c r="E81" s="49">
        <v>11.235504977027016</v>
      </c>
      <c r="F81" s="49">
        <v>16.671600429063247</v>
      </c>
      <c r="G81" s="49">
        <v>8.9601834503688043</v>
      </c>
      <c r="H81" s="50">
        <v>6.6967961645587692</v>
      </c>
      <c r="I81" s="50">
        <v>8.2140834285372719</v>
      </c>
      <c r="J81" s="50">
        <v>2.0275458361591667</v>
      </c>
      <c r="M81" s="28">
        <f>SUM(N81:S81)</f>
        <v>53.805714285714281</v>
      </c>
      <c r="N81" s="49">
        <f>[52]СводПЗ!E80</f>
        <v>10.6070431084537</v>
      </c>
      <c r="O81" s="49">
        <f>[52]СводПЗ!F80</f>
        <v>16.348645643924584</v>
      </c>
      <c r="P81" s="49">
        <f>[52]СводПЗ!G80</f>
        <v>10.05935718592646</v>
      </c>
      <c r="Q81" s="50">
        <f>[52]СводПЗ!H80</f>
        <v>6.5162889923676834</v>
      </c>
      <c r="R81" s="50">
        <f>[52]СводПЗ!I80</f>
        <v>9.1022731883138981</v>
      </c>
      <c r="S81" s="50">
        <f>[52]СводПЗ!J80</f>
        <v>1.17210616672795</v>
      </c>
      <c r="U81" s="91">
        <f t="shared" si="72"/>
        <v>0</v>
      </c>
      <c r="V81" s="96">
        <f t="shared" si="73"/>
        <v>0</v>
      </c>
      <c r="X81" s="15"/>
      <c r="Y81" s="15"/>
      <c r="AT81" s="93" t="e">
        <f>#REF!</f>
        <v>#REF!</v>
      </c>
      <c r="AU81" s="93" t="e">
        <f t="shared" si="36"/>
        <v>#REF!</v>
      </c>
      <c r="AV81" s="97" t="e">
        <f t="shared" si="37"/>
        <v>#REF!</v>
      </c>
      <c r="AX81" s="28" t="e">
        <f t="shared" si="38"/>
        <v>#REF!</v>
      </c>
      <c r="AY81" s="28" t="e">
        <f>#REF!</f>
        <v>#REF!</v>
      </c>
      <c r="AZ81" s="28" t="e">
        <f>#REF!</f>
        <v>#REF!</v>
      </c>
      <c r="BA81" s="28" t="e">
        <f>#REF!</f>
        <v>#REF!</v>
      </c>
      <c r="BB81" s="28" t="e">
        <f>#REF!</f>
        <v>#REF!</v>
      </c>
      <c r="BC81" s="28" t="e">
        <f>#REF!</f>
        <v>#REF!</v>
      </c>
      <c r="BD81" s="28" t="e">
        <f>#REF!</f>
        <v>#REF!</v>
      </c>
    </row>
    <row r="82" spans="1:56" s="4" customFormat="1" ht="24.75" customHeight="1">
      <c r="A82" s="13"/>
      <c r="B82" s="18" t="s">
        <v>128</v>
      </c>
      <c r="C82" s="7" t="s">
        <v>9</v>
      </c>
      <c r="D82" s="28">
        <f t="shared" si="34"/>
        <v>3363.9782603333329</v>
      </c>
      <c r="E82" s="49">
        <v>315.26524519012867</v>
      </c>
      <c r="F82" s="49">
        <v>434.74194868367323</v>
      </c>
      <c r="G82" s="49">
        <v>990.90328441024849</v>
      </c>
      <c r="H82" s="50">
        <v>490.4498917669016</v>
      </c>
      <c r="I82" s="50">
        <v>908.3923663886992</v>
      </c>
      <c r="J82" s="50">
        <v>224.22552389368172</v>
      </c>
      <c r="M82" s="28">
        <f>[52]СводПЗ!C81</f>
        <v>3363.9782603333329</v>
      </c>
      <c r="N82" s="49">
        <f>$M$82*N91</f>
        <v>245.76388585464869</v>
      </c>
      <c r="O82" s="49">
        <f t="shared" ref="O82:S82" si="83">$M$82*O91</f>
        <v>399.02650166380931</v>
      </c>
      <c r="P82" s="49">
        <f t="shared" si="83"/>
        <v>1112.4604903240108</v>
      </c>
      <c r="Q82" s="49">
        <f t="shared" si="83"/>
        <v>470.48767215672251</v>
      </c>
      <c r="R82" s="49">
        <f t="shared" si="83"/>
        <v>1006.6169345593411</v>
      </c>
      <c r="S82" s="49">
        <f t="shared" si="83"/>
        <v>129.62277577480029</v>
      </c>
      <c r="U82" s="91">
        <f t="shared" si="72"/>
        <v>0</v>
      </c>
      <c r="V82" s="96">
        <f t="shared" si="73"/>
        <v>0</v>
      </c>
      <c r="X82" s="15"/>
      <c r="Y82" s="15"/>
      <c r="AT82" s="93" t="e">
        <f>#REF!</f>
        <v>#REF!</v>
      </c>
      <c r="AU82" s="93" t="e">
        <f t="shared" si="36"/>
        <v>#REF!</v>
      </c>
      <c r="AV82" s="97" t="e">
        <f t="shared" si="37"/>
        <v>#REF!</v>
      </c>
      <c r="AX82" s="28" t="e">
        <f t="shared" si="38"/>
        <v>#REF!</v>
      </c>
      <c r="AY82" s="28" t="e">
        <f>#REF!</f>
        <v>#REF!</v>
      </c>
      <c r="AZ82" s="28" t="e">
        <f>#REF!</f>
        <v>#REF!</v>
      </c>
      <c r="BA82" s="28" t="e">
        <f>#REF!</f>
        <v>#REF!</v>
      </c>
      <c r="BB82" s="28" t="e">
        <f>#REF!</f>
        <v>#REF!</v>
      </c>
      <c r="BC82" s="28" t="e">
        <f>#REF!</f>
        <v>#REF!</v>
      </c>
      <c r="BD82" s="28" t="e">
        <f>#REF!</f>
        <v>#REF!</v>
      </c>
    </row>
    <row r="83" spans="1:56" s="4" customFormat="1" ht="24.75" customHeight="1">
      <c r="A83" s="13"/>
      <c r="B83" s="18" t="s">
        <v>121</v>
      </c>
      <c r="C83" s="7" t="s">
        <v>9</v>
      </c>
      <c r="D83" s="28">
        <f t="shared" si="34"/>
        <v>5638.1570000000002</v>
      </c>
      <c r="E83" s="28">
        <v>528.39668138916818</v>
      </c>
      <c r="F83" s="28">
        <v>728.64423354555561</v>
      </c>
      <c r="G83" s="28">
        <v>1660.792031624793</v>
      </c>
      <c r="H83" s="29">
        <v>822.01288962574756</v>
      </c>
      <c r="I83" s="29">
        <v>1522.5005582507863</v>
      </c>
      <c r="J83" s="29">
        <v>375.8106055639488</v>
      </c>
      <c r="M83" s="28">
        <f>[52]СводПЗ!C82</f>
        <v>5638.1570000000002</v>
      </c>
      <c r="N83" s="28">
        <f>$M$83*N91</f>
        <v>411.90972894137718</v>
      </c>
      <c r="O83" s="28">
        <f t="shared" ref="O83:S83" si="84">$M$83*O91</f>
        <v>668.78377011817872</v>
      </c>
      <c r="P83" s="28">
        <f t="shared" si="84"/>
        <v>1864.526585888889</v>
      </c>
      <c r="Q83" s="28">
        <f t="shared" si="84"/>
        <v>788.55544147341755</v>
      </c>
      <c r="R83" s="28">
        <f t="shared" si="84"/>
        <v>1687.1287138882747</v>
      </c>
      <c r="S83" s="28">
        <f t="shared" si="84"/>
        <v>217.25275968986293</v>
      </c>
      <c r="U83" s="91">
        <f t="shared" si="72"/>
        <v>0</v>
      </c>
      <c r="V83" s="96">
        <f t="shared" si="73"/>
        <v>0</v>
      </c>
      <c r="X83" s="15"/>
      <c r="Y83" s="15"/>
      <c r="AT83" s="93" t="e">
        <f>#REF!</f>
        <v>#REF!</v>
      </c>
      <c r="AU83" s="93" t="e">
        <f t="shared" si="36"/>
        <v>#REF!</v>
      </c>
      <c r="AV83" s="97" t="e">
        <f t="shared" si="37"/>
        <v>#REF!</v>
      </c>
      <c r="AX83" s="28" t="e">
        <f t="shared" si="38"/>
        <v>#REF!</v>
      </c>
      <c r="AY83" s="28" t="e">
        <f>#REF!</f>
        <v>#REF!</v>
      </c>
      <c r="AZ83" s="28" t="e">
        <f>#REF!</f>
        <v>#REF!</v>
      </c>
      <c r="BA83" s="28" t="e">
        <f>#REF!</f>
        <v>#REF!</v>
      </c>
      <c r="BB83" s="28" t="e">
        <f>#REF!</f>
        <v>#REF!</v>
      </c>
      <c r="BC83" s="28" t="e">
        <f>#REF!</f>
        <v>#REF!</v>
      </c>
      <c r="BD83" s="28" t="e">
        <f>#REF!</f>
        <v>#REF!</v>
      </c>
    </row>
    <row r="84" spans="1:56" s="4" customFormat="1" ht="24.75" hidden="1" customHeight="1">
      <c r="A84" s="13"/>
      <c r="B84" s="18" t="s">
        <v>114</v>
      </c>
      <c r="C84" s="7" t="s">
        <v>9</v>
      </c>
      <c r="D84" s="28">
        <f t="shared" si="34"/>
        <v>0</v>
      </c>
      <c r="E84" s="28">
        <v>0</v>
      </c>
      <c r="F84" s="28">
        <v>0</v>
      </c>
      <c r="G84" s="28">
        <v>0</v>
      </c>
      <c r="H84" s="29">
        <v>0</v>
      </c>
      <c r="I84" s="29">
        <v>0</v>
      </c>
      <c r="J84" s="29">
        <v>0</v>
      </c>
      <c r="M84" s="28">
        <f>[52]СводПЗ!C83</f>
        <v>0</v>
      </c>
      <c r="N84" s="28">
        <v>0</v>
      </c>
      <c r="O84" s="28">
        <v>0</v>
      </c>
      <c r="P84" s="28">
        <v>0</v>
      </c>
      <c r="Q84" s="29">
        <v>0</v>
      </c>
      <c r="R84" s="29">
        <v>0</v>
      </c>
      <c r="S84" s="29">
        <v>0</v>
      </c>
      <c r="U84" s="91">
        <f t="shared" si="72"/>
        <v>0</v>
      </c>
      <c r="V84" s="96" t="e">
        <f t="shared" si="73"/>
        <v>#DIV/0!</v>
      </c>
      <c r="X84" s="15"/>
      <c r="Y84" s="15"/>
      <c r="AT84" s="93" t="e">
        <f>#REF!</f>
        <v>#REF!</v>
      </c>
      <c r="AU84" s="93" t="e">
        <f t="shared" si="36"/>
        <v>#REF!</v>
      </c>
      <c r="AV84" s="97" t="e">
        <f t="shared" si="37"/>
        <v>#REF!</v>
      </c>
      <c r="AX84" s="28" t="e">
        <f t="shared" si="38"/>
        <v>#REF!</v>
      </c>
      <c r="AY84" s="28" t="e">
        <f>#REF!</f>
        <v>#REF!</v>
      </c>
      <c r="AZ84" s="28" t="e">
        <f>#REF!</f>
        <v>#REF!</v>
      </c>
      <c r="BA84" s="28" t="e">
        <f>#REF!</f>
        <v>#REF!</v>
      </c>
      <c r="BB84" s="28" t="e">
        <f>#REF!</f>
        <v>#REF!</v>
      </c>
      <c r="BC84" s="28" t="e">
        <f>#REF!</f>
        <v>#REF!</v>
      </c>
      <c r="BD84" s="28" t="e">
        <f>#REF!</f>
        <v>#REF!</v>
      </c>
    </row>
    <row r="85" spans="1:56" s="4" customFormat="1" ht="24.75" customHeight="1">
      <c r="A85" s="13"/>
      <c r="B85" s="18" t="s">
        <v>119</v>
      </c>
      <c r="C85" s="7" t="s">
        <v>9</v>
      </c>
      <c r="D85" s="28">
        <f t="shared" si="34"/>
        <v>7555.9349999999995</v>
      </c>
      <c r="E85" s="28">
        <v>708.12696042204288</v>
      </c>
      <c r="F85" s="28">
        <v>976.48725759056322</v>
      </c>
      <c r="G85" s="28">
        <v>2225.698333599948</v>
      </c>
      <c r="H85" s="29">
        <v>1101.6145813559863</v>
      </c>
      <c r="I85" s="29">
        <v>2040.3680237365961</v>
      </c>
      <c r="J85" s="29">
        <v>503.63984329486311</v>
      </c>
      <c r="M85" s="28">
        <f>[52]СводПЗ!C84</f>
        <v>7555.9349999999995</v>
      </c>
      <c r="N85" s="28">
        <f>$M$85*N91</f>
        <v>552.01782031764355</v>
      </c>
      <c r="O85" s="28">
        <f t="shared" ref="O85:S85" si="85">$M$85*O91</f>
        <v>896.26569392585202</v>
      </c>
      <c r="P85" s="28">
        <f t="shared" si="85"/>
        <v>2498.7317112220112</v>
      </c>
      <c r="Q85" s="28">
        <f t="shared" si="85"/>
        <v>1056.7768261276594</v>
      </c>
      <c r="R85" s="28">
        <f t="shared" si="85"/>
        <v>2260.9932463344671</v>
      </c>
      <c r="S85" s="28">
        <f t="shared" si="85"/>
        <v>291.14970207236593</v>
      </c>
      <c r="U85" s="91">
        <f t="shared" si="72"/>
        <v>0</v>
      </c>
      <c r="V85" s="96">
        <f t="shared" si="73"/>
        <v>0</v>
      </c>
      <c r="X85" s="15"/>
      <c r="Y85" s="15"/>
      <c r="AT85" s="93" t="e">
        <f>#REF!</f>
        <v>#REF!</v>
      </c>
      <c r="AU85" s="93" t="e">
        <f t="shared" si="36"/>
        <v>#REF!</v>
      </c>
      <c r="AV85" s="97" t="e">
        <f t="shared" si="37"/>
        <v>#REF!</v>
      </c>
      <c r="AX85" s="28" t="e">
        <f t="shared" si="38"/>
        <v>#REF!</v>
      </c>
      <c r="AY85" s="28" t="e">
        <f>#REF!</f>
        <v>#REF!</v>
      </c>
      <c r="AZ85" s="28" t="e">
        <f>#REF!</f>
        <v>#REF!</v>
      </c>
      <c r="BA85" s="28" t="e">
        <f>#REF!</f>
        <v>#REF!</v>
      </c>
      <c r="BB85" s="28" t="e">
        <f>#REF!</f>
        <v>#REF!</v>
      </c>
      <c r="BC85" s="28" t="e">
        <f>#REF!</f>
        <v>#REF!</v>
      </c>
      <c r="BD85" s="28" t="e">
        <f>#REF!</f>
        <v>#REF!</v>
      </c>
    </row>
    <row r="86" spans="1:56" s="4" customFormat="1" ht="24.75" customHeight="1">
      <c r="A86" s="13"/>
      <c r="B86" s="18" t="s">
        <v>176</v>
      </c>
      <c r="C86" s="7"/>
      <c r="D86" s="28">
        <f t="shared" si="34"/>
        <v>10333.674999999999</v>
      </c>
      <c r="E86" s="28">
        <v>968.45114042659895</v>
      </c>
      <c r="F86" s="28">
        <v>1335.4670152115077</v>
      </c>
      <c r="G86" s="28">
        <v>3043.9175598338843</v>
      </c>
      <c r="H86" s="29">
        <v>1506.5940957662845</v>
      </c>
      <c r="I86" s="29">
        <v>2790.4554549087929</v>
      </c>
      <c r="J86" s="29">
        <v>688.78973385293079</v>
      </c>
      <c r="M86" s="28">
        <f>[52]СводПЗ!C85</f>
        <v>8757.2819999999992</v>
      </c>
      <c r="N86" s="28">
        <f>$M$86*N91</f>
        <v>639.78524451929957</v>
      </c>
      <c r="O86" s="28">
        <f t="shared" ref="O86:S86" si="86">$M$86*O91</f>
        <v>1038.7664039770555</v>
      </c>
      <c r="P86" s="28">
        <f t="shared" si="86"/>
        <v>2896.0146212895847</v>
      </c>
      <c r="Q86" s="28">
        <f t="shared" si="86"/>
        <v>1224.7978148918542</v>
      </c>
      <c r="R86" s="28">
        <f t="shared" si="86"/>
        <v>2620.4772087433776</v>
      </c>
      <c r="S86" s="28">
        <f t="shared" si="86"/>
        <v>337.44070657882747</v>
      </c>
      <c r="U86" s="91">
        <f t="shared" si="72"/>
        <v>1576.393</v>
      </c>
      <c r="V86" s="96">
        <f t="shared" si="73"/>
        <v>0.15254911732757226</v>
      </c>
      <c r="X86" s="15"/>
      <c r="Y86" s="15"/>
      <c r="AT86" s="93" t="e">
        <f>#REF!</f>
        <v>#REF!</v>
      </c>
      <c r="AU86" s="93" t="e">
        <f t="shared" si="36"/>
        <v>#REF!</v>
      </c>
      <c r="AV86" s="97" t="e">
        <f t="shared" si="37"/>
        <v>#REF!</v>
      </c>
      <c r="AX86" s="28" t="e">
        <f t="shared" si="38"/>
        <v>#REF!</v>
      </c>
      <c r="AY86" s="28" t="e">
        <f>#REF!</f>
        <v>#REF!</v>
      </c>
      <c r="AZ86" s="28" t="e">
        <f>#REF!</f>
        <v>#REF!</v>
      </c>
      <c r="BA86" s="28" t="e">
        <f>#REF!</f>
        <v>#REF!</v>
      </c>
      <c r="BB86" s="28" t="e">
        <f>#REF!</f>
        <v>#REF!</v>
      </c>
      <c r="BC86" s="28" t="e">
        <f>#REF!</f>
        <v>#REF!</v>
      </c>
      <c r="BD86" s="28" t="e">
        <f>#REF!</f>
        <v>#REF!</v>
      </c>
    </row>
    <row r="87" spans="1:56" s="4" customFormat="1" ht="24.75" customHeight="1">
      <c r="A87" s="142"/>
      <c r="B87" s="18" t="s">
        <v>167</v>
      </c>
      <c r="C87" s="7"/>
      <c r="D87" s="28">
        <f t="shared" ref="D87" si="87">SUM(E87:J87)</f>
        <v>871.19999999999993</v>
      </c>
      <c r="E87" s="57">
        <v>81.647103623798216</v>
      </c>
      <c r="F87" s="57">
        <v>112.5890705535316</v>
      </c>
      <c r="G87" s="57">
        <v>256.62322243802714</v>
      </c>
      <c r="H87" s="58">
        <v>127.01626248470046</v>
      </c>
      <c r="I87" s="58">
        <v>235.2546206762396</v>
      </c>
      <c r="J87" s="58">
        <v>58.069720223702923</v>
      </c>
      <c r="M87" s="28">
        <f>[52]СводПЗ!C86</f>
        <v>871.2</v>
      </c>
      <c r="N87" s="57">
        <f>$M$87*N91</f>
        <v>63.647705421067165</v>
      </c>
      <c r="O87" s="57">
        <f t="shared" ref="O87:S87" si="88">$M$87*O91</f>
        <v>103.33951688946534</v>
      </c>
      <c r="P87" s="57">
        <f t="shared" si="88"/>
        <v>288.10399597357792</v>
      </c>
      <c r="Q87" s="57">
        <f t="shared" si="88"/>
        <v>121.84646518563447</v>
      </c>
      <c r="R87" s="57">
        <f t="shared" si="88"/>
        <v>260.69272912043152</v>
      </c>
      <c r="S87" s="57">
        <f t="shared" si="88"/>
        <v>33.569587409823562</v>
      </c>
      <c r="U87" s="91">
        <f t="shared" si="72"/>
        <v>0</v>
      </c>
      <c r="V87" s="96">
        <f t="shared" si="73"/>
        <v>0</v>
      </c>
      <c r="X87" s="15"/>
      <c r="Y87" s="15"/>
      <c r="AT87" s="93" t="e">
        <f>#REF!</f>
        <v>#REF!</v>
      </c>
      <c r="AU87" s="93" t="e">
        <f t="shared" si="36"/>
        <v>#REF!</v>
      </c>
      <c r="AV87" s="97" t="e">
        <f t="shared" si="37"/>
        <v>#REF!</v>
      </c>
      <c r="AX87" s="28" t="e">
        <f t="shared" ref="AX87" si="89">SUM(AY87:BD87)</f>
        <v>#REF!</v>
      </c>
      <c r="AY87" s="28" t="e">
        <f>#REF!</f>
        <v>#REF!</v>
      </c>
      <c r="AZ87" s="28" t="e">
        <f>#REF!</f>
        <v>#REF!</v>
      </c>
      <c r="BA87" s="28" t="e">
        <f>#REF!</f>
        <v>#REF!</v>
      </c>
      <c r="BB87" s="28" t="e">
        <f>#REF!</f>
        <v>#REF!</v>
      </c>
      <c r="BC87" s="28" t="e">
        <f>#REF!</f>
        <v>#REF!</v>
      </c>
      <c r="BD87" s="28" t="e">
        <f>#REF!</f>
        <v>#REF!</v>
      </c>
    </row>
    <row r="88" spans="1:56" s="4" customFormat="1" ht="24.75" customHeight="1">
      <c r="A88" s="13"/>
      <c r="B88" s="18" t="s">
        <v>94</v>
      </c>
      <c r="C88" s="7" t="s">
        <v>9</v>
      </c>
      <c r="D88" s="28">
        <f t="shared" si="34"/>
        <v>3605.5003167014129</v>
      </c>
      <c r="E88" s="49">
        <v>337.90020428530477</v>
      </c>
      <c r="F88" s="49">
        <v>465.95492371197872</v>
      </c>
      <c r="G88" s="53">
        <v>1062.0467283898577</v>
      </c>
      <c r="H88" s="53">
        <v>525.66250529708134</v>
      </c>
      <c r="I88" s="53">
        <v>973.61181055286113</v>
      </c>
      <c r="J88" s="53">
        <v>240.3241444643289</v>
      </c>
      <c r="M88" s="28">
        <f>[52]СводПЗ!C87</f>
        <v>3605.5003167014129</v>
      </c>
      <c r="N88" s="49">
        <f>$M$88*N91</f>
        <v>263.40888665401275</v>
      </c>
      <c r="O88" s="49">
        <f t="shared" ref="O88:S88" si="90">$M$88*O91</f>
        <v>427.67523057017712</v>
      </c>
      <c r="P88" s="49">
        <f t="shared" si="90"/>
        <v>1192.3313231470131</v>
      </c>
      <c r="Q88" s="49">
        <f t="shared" si="90"/>
        <v>504.26706705205783</v>
      </c>
      <c r="R88" s="49">
        <f t="shared" si="90"/>
        <v>1078.888564515004</v>
      </c>
      <c r="S88" s="49">
        <f t="shared" si="90"/>
        <v>138.92924476314809</v>
      </c>
      <c r="U88" s="91">
        <f t="shared" si="72"/>
        <v>0</v>
      </c>
      <c r="V88" s="96">
        <f t="shared" si="73"/>
        <v>0</v>
      </c>
      <c r="X88" s="15"/>
      <c r="Y88" s="15"/>
      <c r="AT88" s="93" t="e">
        <f>#REF!</f>
        <v>#REF!</v>
      </c>
      <c r="AU88" s="93" t="e">
        <f t="shared" si="36"/>
        <v>#REF!</v>
      </c>
      <c r="AV88" s="97" t="e">
        <f t="shared" si="37"/>
        <v>#REF!</v>
      </c>
      <c r="AX88" s="28" t="e">
        <f t="shared" si="38"/>
        <v>#REF!</v>
      </c>
      <c r="AY88" s="28" t="e">
        <f>#REF!</f>
        <v>#REF!</v>
      </c>
      <c r="AZ88" s="28" t="e">
        <f>#REF!</f>
        <v>#REF!</v>
      </c>
      <c r="BA88" s="28" t="e">
        <f>#REF!</f>
        <v>#REF!</v>
      </c>
      <c r="BB88" s="28" t="e">
        <f>#REF!</f>
        <v>#REF!</v>
      </c>
      <c r="BC88" s="28" t="e">
        <f>#REF!</f>
        <v>#REF!</v>
      </c>
      <c r="BD88" s="28" t="e">
        <f>#REF!</f>
        <v>#REF!</v>
      </c>
    </row>
    <row r="89" spans="1:56" s="4" customFormat="1" ht="39.75" customHeight="1">
      <c r="A89" s="13"/>
      <c r="B89" s="18" t="s">
        <v>157</v>
      </c>
      <c r="C89" s="7" t="s">
        <v>9</v>
      </c>
      <c r="D89" s="28">
        <f t="shared" si="34"/>
        <v>6382.8595199999991</v>
      </c>
      <c r="E89" s="49">
        <v>598.18869679245518</v>
      </c>
      <c r="F89" s="49">
        <v>824.88546927291179</v>
      </c>
      <c r="G89" s="49">
        <v>1880.1537860326437</v>
      </c>
      <c r="H89" s="50">
        <v>930.58650160157151</v>
      </c>
      <c r="I89" s="50">
        <v>1723.596413231548</v>
      </c>
      <c r="J89" s="50">
        <v>425.44865306886902</v>
      </c>
      <c r="M89" s="28">
        <f>[52]СводПЗ!C88</f>
        <v>6382.8595199999982</v>
      </c>
      <c r="N89" s="49">
        <f>$M$89*N91</f>
        <v>466.31584305901521</v>
      </c>
      <c r="O89" s="49">
        <f t="shared" ref="O89:S89" si="91">$M$89*O91</f>
        <v>757.11847930455053</v>
      </c>
      <c r="P89" s="49">
        <f t="shared" si="91"/>
        <v>2110.7981329774943</v>
      </c>
      <c r="Q89" s="49">
        <f t="shared" si="91"/>
        <v>892.70990620807549</v>
      </c>
      <c r="R89" s="49">
        <f t="shared" si="91"/>
        <v>1909.9690861583185</v>
      </c>
      <c r="S89" s="49">
        <f t="shared" si="91"/>
        <v>245.94807229254408</v>
      </c>
      <c r="U89" s="91">
        <f t="shared" si="72"/>
        <v>0</v>
      </c>
      <c r="V89" s="96">
        <f t="shared" si="73"/>
        <v>0</v>
      </c>
      <c r="X89" s="15"/>
      <c r="Y89" s="15"/>
      <c r="AT89" s="93" t="e">
        <f>#REF!</f>
        <v>#REF!</v>
      </c>
      <c r="AU89" s="93" t="e">
        <f t="shared" si="36"/>
        <v>#REF!</v>
      </c>
      <c r="AV89" s="97" t="e">
        <f t="shared" si="37"/>
        <v>#REF!</v>
      </c>
      <c r="AX89" s="28" t="e">
        <f t="shared" si="38"/>
        <v>#REF!</v>
      </c>
      <c r="AY89" s="28" t="e">
        <f>#REF!</f>
        <v>#REF!</v>
      </c>
      <c r="AZ89" s="28" t="e">
        <f>#REF!</f>
        <v>#REF!</v>
      </c>
      <c r="BA89" s="28" t="e">
        <f>#REF!</f>
        <v>#REF!</v>
      </c>
      <c r="BB89" s="28" t="e">
        <f>#REF!</f>
        <v>#REF!</v>
      </c>
      <c r="BC89" s="28" t="e">
        <f>#REF!</f>
        <v>#REF!</v>
      </c>
      <c r="BD89" s="28" t="e">
        <f>#REF!</f>
        <v>#REF!</v>
      </c>
    </row>
    <row r="90" spans="1:56" s="4" customFormat="1" ht="24.75" customHeight="1">
      <c r="A90" s="13"/>
      <c r="B90" s="18" t="s">
        <v>158</v>
      </c>
      <c r="C90" s="7" t="s">
        <v>9</v>
      </c>
      <c r="D90" s="28">
        <f t="shared" si="34"/>
        <v>312.42857142857139</v>
      </c>
      <c r="E90" s="49">
        <v>29.280174410541569</v>
      </c>
      <c r="F90" s="49">
        <v>40.376540945260004</v>
      </c>
      <c r="G90" s="49">
        <v>92.0298746346526</v>
      </c>
      <c r="H90" s="50">
        <v>45.550401097671518</v>
      </c>
      <c r="I90" s="50">
        <v>84.366695431414144</v>
      </c>
      <c r="J90" s="50">
        <v>20.824884909031599</v>
      </c>
      <c r="M90" s="28">
        <f>[52]СводПЗ!C89</f>
        <v>312.42857142857144</v>
      </c>
      <c r="N90" s="49">
        <f>$M$90*N91</f>
        <v>22.825254452950592</v>
      </c>
      <c r="O90" s="49">
        <f t="shared" ref="O90:S90" si="92">$M$90*O91</f>
        <v>37.059478459474732</v>
      </c>
      <c r="P90" s="49">
        <f t="shared" si="92"/>
        <v>103.31946726915501</v>
      </c>
      <c r="Q90" s="49">
        <f t="shared" si="92"/>
        <v>43.6964153484492</v>
      </c>
      <c r="R90" s="49">
        <f t="shared" si="92"/>
        <v>93.48927564383834</v>
      </c>
      <c r="S90" s="49">
        <f t="shared" si="92"/>
        <v>12.03868025470355</v>
      </c>
      <c r="U90" s="91">
        <f t="shared" si="72"/>
        <v>0</v>
      </c>
      <c r="V90" s="96">
        <f t="shared" si="73"/>
        <v>0</v>
      </c>
      <c r="X90" s="15"/>
      <c r="Y90" s="15"/>
      <c r="AT90" s="93" t="e">
        <f>#REF!</f>
        <v>#REF!</v>
      </c>
      <c r="AU90" s="93" t="e">
        <f t="shared" si="36"/>
        <v>#REF!</v>
      </c>
      <c r="AV90" s="97" t="e">
        <f t="shared" si="37"/>
        <v>#REF!</v>
      </c>
      <c r="AX90" s="28" t="e">
        <f t="shared" si="38"/>
        <v>#REF!</v>
      </c>
      <c r="AY90" s="28" t="e">
        <f>#REF!</f>
        <v>#REF!</v>
      </c>
      <c r="AZ90" s="28" t="e">
        <f>#REF!</f>
        <v>#REF!</v>
      </c>
      <c r="BA90" s="28" t="e">
        <f>#REF!</f>
        <v>#REF!</v>
      </c>
      <c r="BB90" s="28" t="e">
        <f>#REF!</f>
        <v>#REF!</v>
      </c>
      <c r="BC90" s="28" t="e">
        <f>#REF!</f>
        <v>#REF!</v>
      </c>
      <c r="BD90" s="28" t="e">
        <f>#REF!</f>
        <v>#REF!</v>
      </c>
    </row>
    <row r="91" spans="1:56" s="4" customFormat="1" ht="24.75" customHeight="1">
      <c r="A91" s="107"/>
      <c r="B91" s="110" t="s">
        <v>184</v>
      </c>
      <c r="C91" s="108"/>
      <c r="D91" s="108">
        <f>SUM(E91:J91)</f>
        <v>0.99999999999999989</v>
      </c>
      <c r="E91" s="230">
        <f>E27/$D$27</f>
        <v>9.3072622588082576E-2</v>
      </c>
      <c r="F91" s="230">
        <f t="shared" ref="F91:J91" si="93">F27/$D$27</f>
        <v>0.12834454139923065</v>
      </c>
      <c r="G91" s="230">
        <f t="shared" si="93"/>
        <v>0.2951584000203693</v>
      </c>
      <c r="H91" s="230">
        <f t="shared" si="93"/>
        <v>0.14563286926731397</v>
      </c>
      <c r="I91" s="230">
        <f t="shared" si="93"/>
        <v>0.27132322133281178</v>
      </c>
      <c r="J91" s="230">
        <f t="shared" si="93"/>
        <v>6.6468345392191611E-2</v>
      </c>
      <c r="K91" s="244"/>
      <c r="L91" s="244"/>
      <c r="M91" s="108">
        <f>SUM(N91:S91)</f>
        <v>1</v>
      </c>
      <c r="N91" s="230">
        <f>[52]СводПЗ!$E$90</f>
        <v>7.3057513109581224E-2</v>
      </c>
      <c r="O91" s="230">
        <f>[52]СводПЗ!$F$90</f>
        <v>0.11861744362886288</v>
      </c>
      <c r="P91" s="230">
        <f>[52]СводПЗ!$G$90</f>
        <v>0.33069788334891864</v>
      </c>
      <c r="Q91" s="230">
        <f>[52]СводПЗ!$H$90</f>
        <v>0.13986049722868971</v>
      </c>
      <c r="R91" s="230">
        <f>[52]СводПЗ!$I$90</f>
        <v>0.29923407842106464</v>
      </c>
      <c r="S91" s="230">
        <f>[52]СводПЗ!$J$90</f>
        <v>3.8532584262882877E-2</v>
      </c>
      <c r="U91" s="91">
        <f t="shared" si="72"/>
        <v>0</v>
      </c>
      <c r="V91" s="96">
        <f t="shared" si="73"/>
        <v>0</v>
      </c>
      <c r="W91" s="197"/>
      <c r="X91" s="242"/>
      <c r="Y91" s="242"/>
      <c r="Z91" s="242"/>
      <c r="AA91" s="242"/>
      <c r="AB91" s="242"/>
      <c r="AC91" s="242"/>
      <c r="AD91" s="242"/>
      <c r="AE91" s="242"/>
      <c r="AT91" s="151" t="e">
        <f>AY91+AZ91+BA91+BB91+BC91+BD91</f>
        <v>#REF!</v>
      </c>
      <c r="AU91" s="93"/>
      <c r="AV91" s="97"/>
      <c r="AX91" s="108" t="e">
        <f>SUM(AY91:BD91)</f>
        <v>#REF!</v>
      </c>
      <c r="AY91" s="109" t="e">
        <f>#REF!</f>
        <v>#REF!</v>
      </c>
      <c r="AZ91" s="109" t="e">
        <f>#REF!</f>
        <v>#REF!</v>
      </c>
      <c r="BA91" s="109" t="e">
        <f>#REF!</f>
        <v>#REF!</v>
      </c>
      <c r="BB91" s="109" t="e">
        <f>#REF!</f>
        <v>#REF!</v>
      </c>
      <c r="BC91" s="109" t="e">
        <f>#REF!</f>
        <v>#REF!</v>
      </c>
      <c r="BD91" s="109" t="e">
        <f>#REF!</f>
        <v>#REF!</v>
      </c>
    </row>
    <row r="92" spans="1:56" s="4" customFormat="1" ht="24.75" customHeight="1">
      <c r="A92" s="107"/>
      <c r="B92" s="110" t="s">
        <v>185</v>
      </c>
      <c r="C92" s="108"/>
      <c r="D92" s="108">
        <f t="shared" ref="D92:D93" si="94">SUM(E92:J92)</f>
        <v>1</v>
      </c>
      <c r="E92" s="230">
        <f>(E9+E34+E35)/($D$9+$D$34+$D$35)</f>
        <v>0.16079218264292713</v>
      </c>
      <c r="F92" s="230">
        <f t="shared" ref="F92:J92" si="95">(F9+F34+F35)/($D$9+$D$34+$D$35)</f>
        <v>0.15534803384397219</v>
      </c>
      <c r="G92" s="230">
        <f t="shared" si="95"/>
        <v>0.25920046939220653</v>
      </c>
      <c r="H92" s="230">
        <f t="shared" si="95"/>
        <v>0.15459492525696034</v>
      </c>
      <c r="I92" s="230">
        <f t="shared" si="95"/>
        <v>0.24692281308740627</v>
      </c>
      <c r="J92" s="230">
        <f t="shared" si="95"/>
        <v>2.3141575776527534E-2</v>
      </c>
      <c r="K92" s="244"/>
      <c r="L92" s="244"/>
      <c r="M92" s="108">
        <f t="shared" ref="M92:M93" si="96">SUM(N92:S92)</f>
        <v>1</v>
      </c>
      <c r="N92" s="230">
        <f>(N9+N34+N35)/($M$9+$M$34+$M$35)</f>
        <v>0.1441540075696161</v>
      </c>
      <c r="O92" s="230">
        <f t="shared" ref="O92:S92" si="97">(O9+O34+O35)/($M$9+$M$34+$M$35)</f>
        <v>0.13134858926447257</v>
      </c>
      <c r="P92" s="230">
        <f t="shared" si="97"/>
        <v>0.30635189779406091</v>
      </c>
      <c r="Q92" s="230">
        <f t="shared" si="97"/>
        <v>0.1547106040498217</v>
      </c>
      <c r="R92" s="230">
        <f t="shared" si="97"/>
        <v>0.25200086304672814</v>
      </c>
      <c r="S92" s="230">
        <f t="shared" si="97"/>
        <v>1.1434038275300462E-2</v>
      </c>
      <c r="U92" s="91">
        <f t="shared" si="72"/>
        <v>0</v>
      </c>
      <c r="V92" s="96">
        <f t="shared" si="73"/>
        <v>0</v>
      </c>
      <c r="W92" s="196"/>
      <c r="X92" s="242"/>
      <c r="Y92" s="242"/>
      <c r="Z92" s="242"/>
      <c r="AA92" s="242"/>
      <c r="AB92" s="242"/>
      <c r="AC92" s="242"/>
      <c r="AD92" s="242"/>
      <c r="AE92" s="242"/>
      <c r="AT92" s="151" t="e">
        <f t="shared" ref="AT92:AT93" si="98">AY92+AZ92+BA92+BB92+BC92+BD92</f>
        <v>#REF!</v>
      </c>
      <c r="AU92" s="93"/>
      <c r="AV92" s="97"/>
      <c r="AX92" s="108" t="e">
        <f t="shared" ref="AX92:AX93" si="99">SUM(AY92:BD92)</f>
        <v>#REF!</v>
      </c>
      <c r="AY92" s="109" t="e">
        <f>#REF!</f>
        <v>#REF!</v>
      </c>
      <c r="AZ92" s="109" t="e">
        <f>#REF!</f>
        <v>#REF!</v>
      </c>
      <c r="BA92" s="109" t="e">
        <f>#REF!</f>
        <v>#REF!</v>
      </c>
      <c r="BB92" s="109" t="e">
        <f>#REF!</f>
        <v>#REF!</v>
      </c>
      <c r="BC92" s="109" t="e">
        <f>#REF!</f>
        <v>#REF!</v>
      </c>
      <c r="BD92" s="109" t="e">
        <f>#REF!</f>
        <v>#REF!</v>
      </c>
    </row>
    <row r="93" spans="1:56" s="4" customFormat="1" ht="24.75" customHeight="1">
      <c r="A93" s="107"/>
      <c r="B93" s="150" t="s">
        <v>186</v>
      </c>
      <c r="C93" s="108"/>
      <c r="D93" s="108">
        <f t="shared" si="94"/>
        <v>0.99999999999999989</v>
      </c>
      <c r="E93" s="230">
        <f>E33/$D$33</f>
        <v>0.44185279533405841</v>
      </c>
      <c r="F93" s="230">
        <f t="shared" ref="F93:J93" si="100">F33/$D$33</f>
        <v>0.33633393860302879</v>
      </c>
      <c r="G93" s="230">
        <f t="shared" si="100"/>
        <v>9.0402489153487198E-2</v>
      </c>
      <c r="H93" s="230">
        <f t="shared" si="100"/>
        <v>4.0100758461085462E-2</v>
      </c>
      <c r="I93" s="230">
        <f t="shared" si="100"/>
        <v>7.0677529522682858E-2</v>
      </c>
      <c r="J93" s="230">
        <f t="shared" si="100"/>
        <v>2.0632488925657146E-2</v>
      </c>
      <c r="K93" s="244"/>
      <c r="L93" s="244"/>
      <c r="M93" s="108">
        <f t="shared" si="96"/>
        <v>1</v>
      </c>
      <c r="N93" s="230">
        <f>[52]СводПЗ!$E$92</f>
        <v>0.44306471617732801</v>
      </c>
      <c r="O93" s="230">
        <f>[52]СводПЗ!$F$92</f>
        <v>0.31325759293398353</v>
      </c>
      <c r="P93" s="230">
        <f>[52]СводПЗ!$G$92</f>
        <v>0.20563876946195908</v>
      </c>
      <c r="Q93" s="230">
        <f>[52]СводПЗ!$H$92</f>
        <v>1.8231114779979334E-2</v>
      </c>
      <c r="R93" s="230">
        <f>[52]СводПЗ!$I$92</f>
        <v>1.6054947672862693E-2</v>
      </c>
      <c r="S93" s="233">
        <f>[52]СводПЗ!$J$92</f>
        <v>3.7528589738874203E-3</v>
      </c>
      <c r="U93" s="91">
        <f t="shared" si="72"/>
        <v>0</v>
      </c>
      <c r="V93" s="96">
        <f t="shared" si="73"/>
        <v>0</v>
      </c>
      <c r="X93" s="242"/>
      <c r="Y93" s="242"/>
      <c r="Z93" s="242"/>
      <c r="AA93" s="242"/>
      <c r="AB93" s="242"/>
      <c r="AC93" s="242"/>
      <c r="AD93" s="242"/>
      <c r="AE93" s="242"/>
      <c r="AT93" s="151" t="e">
        <f t="shared" si="98"/>
        <v>#REF!</v>
      </c>
      <c r="AU93" s="93"/>
      <c r="AV93" s="97"/>
      <c r="AX93" s="108" t="e">
        <f t="shared" si="99"/>
        <v>#REF!</v>
      </c>
      <c r="AY93" s="109" t="e">
        <f>#REF!</f>
        <v>#REF!</v>
      </c>
      <c r="AZ93" s="109" t="e">
        <f>#REF!</f>
        <v>#REF!</v>
      </c>
      <c r="BA93" s="109" t="e">
        <f>#REF!</f>
        <v>#REF!</v>
      </c>
      <c r="BB93" s="109" t="e">
        <f>#REF!</f>
        <v>#REF!</v>
      </c>
      <c r="BC93" s="109" t="e">
        <f>#REF!</f>
        <v>#REF!</v>
      </c>
      <c r="BD93" s="109" t="e">
        <f>#REF!</f>
        <v>#REF!</v>
      </c>
    </row>
    <row r="94" spans="1:56" s="4" customFormat="1" ht="24.75" customHeight="1">
      <c r="A94" s="107"/>
      <c r="B94" s="150" t="s">
        <v>202</v>
      </c>
      <c r="C94" s="108"/>
      <c r="D94" s="108">
        <f t="shared" ref="D94" si="101">SUM(E94:J94)</f>
        <v>1</v>
      </c>
      <c r="E94" s="230">
        <v>0.3585191221840619</v>
      </c>
      <c r="F94" s="230">
        <v>0.54476395599278193</v>
      </c>
      <c r="G94" s="230">
        <v>0</v>
      </c>
      <c r="H94" s="230">
        <v>9.6716921823156166E-2</v>
      </c>
      <c r="I94" s="230">
        <v>0</v>
      </c>
      <c r="J94" s="230">
        <v>0</v>
      </c>
      <c r="K94" s="244"/>
      <c r="L94" s="244"/>
      <c r="M94" s="108">
        <f t="shared" ref="M94" si="102">SUM(N94:S94)</f>
        <v>1</v>
      </c>
      <c r="N94" s="233">
        <f>[52]Вед.пути!$H$3</f>
        <v>0.3585191221840619</v>
      </c>
      <c r="O94" s="233">
        <f>[52]Вед.пути!$I$3</f>
        <v>0.54476395599278193</v>
      </c>
      <c r="P94" s="233">
        <f>[52]Вед.пути!$J$3</f>
        <v>0</v>
      </c>
      <c r="Q94" s="233">
        <f>[52]Вед.пути!$K$3</f>
        <v>9.6716921823156166E-2</v>
      </c>
      <c r="R94" s="233">
        <f>[52]Вед.пути!$L$3</f>
        <v>0</v>
      </c>
      <c r="S94" s="233">
        <f>[52]Вед.пути!$M$3</f>
        <v>0</v>
      </c>
      <c r="U94" s="91">
        <f t="shared" ref="U94" si="103">D94-M94</f>
        <v>0</v>
      </c>
      <c r="V94" s="96">
        <f t="shared" ref="V94" si="104">100%-(M94/D94)</f>
        <v>0</v>
      </c>
      <c r="X94" s="242"/>
      <c r="Y94" s="242"/>
      <c r="Z94" s="242"/>
      <c r="AA94" s="242"/>
      <c r="AB94" s="242"/>
      <c r="AC94" s="242"/>
      <c r="AD94" s="242"/>
      <c r="AE94" s="242"/>
      <c r="AT94" s="249"/>
      <c r="AU94" s="250"/>
      <c r="AV94" s="251"/>
      <c r="AX94" s="248"/>
      <c r="AY94" s="212"/>
      <c r="AZ94" s="212"/>
      <c r="BA94" s="212"/>
      <c r="BB94" s="212"/>
      <c r="BC94" s="212"/>
      <c r="BD94" s="212"/>
    </row>
    <row r="95" spans="1:56" s="4" customFormat="1" ht="34.5" customHeight="1">
      <c r="A95" s="19" t="s">
        <v>45</v>
      </c>
      <c r="B95" s="17" t="s">
        <v>274</v>
      </c>
      <c r="C95" s="145" t="s">
        <v>9</v>
      </c>
      <c r="D95" s="27">
        <f t="shared" ref="D95:J95" si="105">D96+D136</f>
        <v>3278689.6052555027</v>
      </c>
      <c r="E95" s="27">
        <f t="shared" si="105"/>
        <v>1374586.8400986097</v>
      </c>
      <c r="F95" s="27">
        <f t="shared" si="105"/>
        <v>1058621.0469626</v>
      </c>
      <c r="G95" s="27">
        <f t="shared" si="105"/>
        <v>339871.08715074527</v>
      </c>
      <c r="H95" s="27">
        <f t="shared" si="105"/>
        <v>154033.10949344462</v>
      </c>
      <c r="I95" s="27">
        <f t="shared" si="105"/>
        <v>274197.97328432929</v>
      </c>
      <c r="J95" s="27">
        <f t="shared" si="105"/>
        <v>77379.548265773759</v>
      </c>
      <c r="M95" s="27">
        <f t="shared" ref="M95:S95" si="106">M96+M136</f>
        <v>3265785.4714966095</v>
      </c>
      <c r="N95" s="27">
        <f t="shared" si="106"/>
        <v>1373029.7971164044</v>
      </c>
      <c r="O95" s="27">
        <f t="shared" si="106"/>
        <v>984098.05570865329</v>
      </c>
      <c r="P95" s="27">
        <f t="shared" si="106"/>
        <v>696557.33324096573</v>
      </c>
      <c r="Q95" s="27">
        <f t="shared" si="106"/>
        <v>83911.508143349391</v>
      </c>
      <c r="R95" s="27">
        <f t="shared" si="106"/>
        <v>109022.49385144172</v>
      </c>
      <c r="S95" s="27">
        <f t="shared" si="106"/>
        <v>19166.283435795147</v>
      </c>
      <c r="U95" s="91">
        <f t="shared" si="72"/>
        <v>12904.133758893237</v>
      </c>
      <c r="V95" s="96">
        <f t="shared" si="73"/>
        <v>3.9357594992245337E-3</v>
      </c>
      <c r="W95" s="15"/>
      <c r="X95" s="15"/>
      <c r="Y95" s="15"/>
      <c r="Z95" s="15"/>
      <c r="AA95" s="15"/>
      <c r="AT95" s="99" t="e">
        <f>AT96+AT136</f>
        <v>#REF!</v>
      </c>
      <c r="AU95" s="91" t="e">
        <f>D95-AT95</f>
        <v>#REF!</v>
      </c>
      <c r="AV95" s="105" t="e">
        <f>100%-(AT95/D95)</f>
        <v>#REF!</v>
      </c>
      <c r="AX95" s="27" t="e">
        <f t="shared" ref="AX95:BD95" si="107">AX96+AX136</f>
        <v>#REF!</v>
      </c>
      <c r="AY95" s="27" t="e">
        <f t="shared" si="107"/>
        <v>#REF!</v>
      </c>
      <c r="AZ95" s="27" t="e">
        <f t="shared" si="107"/>
        <v>#REF!</v>
      </c>
      <c r="BA95" s="27" t="e">
        <f t="shared" si="107"/>
        <v>#REF!</v>
      </c>
      <c r="BB95" s="27" t="e">
        <f t="shared" si="107"/>
        <v>#REF!</v>
      </c>
      <c r="BC95" s="27" t="e">
        <f t="shared" si="107"/>
        <v>#REF!</v>
      </c>
      <c r="BD95" s="27" t="e">
        <f t="shared" si="107"/>
        <v>#REF!</v>
      </c>
    </row>
    <row r="96" spans="1:56" s="4" customFormat="1" ht="40.5">
      <c r="A96" s="19" t="s">
        <v>46</v>
      </c>
      <c r="B96" s="17" t="s">
        <v>47</v>
      </c>
      <c r="C96" s="145" t="s">
        <v>9</v>
      </c>
      <c r="D96" s="27">
        <f t="shared" ref="D96:J96" si="108">D98+D99+D100+D101+D102+D108+D109+D110+D113+D114+D115+D118</f>
        <v>218490.58824175212</v>
      </c>
      <c r="E96" s="27">
        <f t="shared" si="108"/>
        <v>22429.350152546129</v>
      </c>
      <c r="F96" s="27">
        <f t="shared" si="108"/>
        <v>29372.258661248019</v>
      </c>
      <c r="G96" s="27">
        <f t="shared" si="108"/>
        <v>63221.478707647468</v>
      </c>
      <c r="H96" s="27">
        <f t="shared" si="108"/>
        <v>31316.807869325017</v>
      </c>
      <c r="I96" s="27">
        <f t="shared" si="108"/>
        <v>57910.666914054804</v>
      </c>
      <c r="J96" s="27">
        <f t="shared" si="108"/>
        <v>14240.025936930659</v>
      </c>
      <c r="M96" s="27">
        <f t="shared" ref="M96:S96" si="109">M98+M99+M100+M101+M102+M108+M109+M110+M113+M114+M115+M118</f>
        <v>205400.59825860927</v>
      </c>
      <c r="N96" s="27">
        <f t="shared" si="109"/>
        <v>17081.2418618218</v>
      </c>
      <c r="O96" s="27">
        <f t="shared" si="109"/>
        <v>25409.256866543037</v>
      </c>
      <c r="P96" s="27">
        <f t="shared" si="109"/>
        <v>67223.553828309785</v>
      </c>
      <c r="Q96" s="27">
        <f t="shared" si="109"/>
        <v>28117.280248434905</v>
      </c>
      <c r="R96" s="27">
        <f t="shared" si="109"/>
        <v>59888.174852785109</v>
      </c>
      <c r="S96" s="27">
        <f t="shared" si="109"/>
        <v>7681.0906007146014</v>
      </c>
      <c r="U96" s="91">
        <f t="shared" si="72"/>
        <v>13089.989983142848</v>
      </c>
      <c r="V96" s="96">
        <f t="shared" si="73"/>
        <v>5.9911001606436365E-2</v>
      </c>
      <c r="W96" s="15"/>
      <c r="X96" s="247"/>
      <c r="Y96" s="247"/>
      <c r="Z96" s="247"/>
      <c r="AA96" s="247"/>
      <c r="AB96" s="247"/>
      <c r="AC96" s="247"/>
      <c r="AD96" s="247"/>
      <c r="AE96" s="247"/>
      <c r="AF96" s="247"/>
      <c r="AT96" s="99" t="e">
        <f>AT98+AT99+AT100+AT101+AT102+AT108+AT109+AT110+AT113+AT114+AT115+AT118</f>
        <v>#REF!</v>
      </c>
      <c r="AU96" s="91" t="e">
        <f>D96-AT96</f>
        <v>#REF!</v>
      </c>
      <c r="AV96" s="98" t="e">
        <f>100%-(AT96/D96)</f>
        <v>#REF!</v>
      </c>
      <c r="AX96" s="27" t="e">
        <f t="shared" ref="AX96:BD96" si="110">AX98+AX99+AX100+AX101+AX102+AX108+AX109+AX110+AX113+AX114+AX115+AX118</f>
        <v>#REF!</v>
      </c>
      <c r="AY96" s="27" t="e">
        <f t="shared" si="110"/>
        <v>#REF!</v>
      </c>
      <c r="AZ96" s="27" t="e">
        <f t="shared" si="110"/>
        <v>#REF!</v>
      </c>
      <c r="BA96" s="27" t="e">
        <f t="shared" si="110"/>
        <v>#REF!</v>
      </c>
      <c r="BB96" s="27" t="e">
        <f t="shared" si="110"/>
        <v>#REF!</v>
      </c>
      <c r="BC96" s="27" t="e">
        <f t="shared" si="110"/>
        <v>#REF!</v>
      </c>
      <c r="BD96" s="27" t="e">
        <f t="shared" si="110"/>
        <v>#REF!</v>
      </c>
    </row>
    <row r="97" spans="1:56" s="4" customFormat="1">
      <c r="A97" s="13"/>
      <c r="B97" s="12" t="s">
        <v>7</v>
      </c>
      <c r="C97" s="145"/>
      <c r="D97" s="25"/>
      <c r="E97" s="25"/>
      <c r="F97" s="25"/>
      <c r="G97" s="25"/>
      <c r="H97" s="32"/>
      <c r="I97" s="33"/>
      <c r="J97" s="33"/>
      <c r="M97" s="25"/>
      <c r="N97" s="25"/>
      <c r="O97" s="25"/>
      <c r="P97" s="25"/>
      <c r="Q97" s="32"/>
      <c r="R97" s="33"/>
      <c r="S97" s="33"/>
      <c r="U97" s="91"/>
      <c r="V97" s="96"/>
      <c r="W97" s="15"/>
      <c r="X97" s="247"/>
      <c r="Y97" s="247"/>
      <c r="Z97" s="247"/>
      <c r="AA97" s="247"/>
      <c r="AB97" s="247"/>
      <c r="AC97" s="247"/>
      <c r="AT97" s="92"/>
      <c r="AU97" s="92"/>
      <c r="AV97" s="97"/>
      <c r="AX97" s="25"/>
      <c r="AY97" s="25"/>
      <c r="AZ97" s="25"/>
      <c r="BA97" s="25"/>
      <c r="BB97" s="32"/>
      <c r="BC97" s="33"/>
      <c r="BD97" s="33"/>
    </row>
    <row r="98" spans="1:56" s="4" customFormat="1" ht="40.5">
      <c r="A98" s="13" t="s">
        <v>49</v>
      </c>
      <c r="B98" s="12" t="s">
        <v>48</v>
      </c>
      <c r="C98" s="145" t="s">
        <v>9</v>
      </c>
      <c r="D98" s="25">
        <f t="shared" ref="D98:D100" si="111">SUM(E98:J98)</f>
        <v>131547.80799999999</v>
      </c>
      <c r="E98" s="25">
        <v>12328.394755807522</v>
      </c>
      <c r="F98" s="25">
        <v>17000.511290259903</v>
      </c>
      <c r="G98" s="33">
        <v>38749.10743069202</v>
      </c>
      <c r="H98" s="33">
        <v>19178.961099879452</v>
      </c>
      <c r="I98" s="33">
        <v>35522.53176289118</v>
      </c>
      <c r="J98" s="33">
        <v>8768.3016604699133</v>
      </c>
      <c r="M98" s="25">
        <v>131541.34399999998</v>
      </c>
      <c r="N98" s="25">
        <f>$M$98*N91</f>
        <v>9610.0834637319313</v>
      </c>
      <c r="O98" s="25">
        <f>$M$98*O91</f>
        <v>15603.097956784859</v>
      </c>
      <c r="P98" s="25">
        <f t="shared" ref="P98:S98" si="112">$M$98*P91</f>
        <v>43500.444033671971</v>
      </c>
      <c r="Q98" s="25">
        <f t="shared" si="112"/>
        <v>18397.437777970117</v>
      </c>
      <c r="R98" s="25">
        <f t="shared" si="112"/>
        <v>39361.652846108234</v>
      </c>
      <c r="S98" s="25">
        <f t="shared" si="112"/>
        <v>5068.627921732862</v>
      </c>
      <c r="U98" s="91">
        <f t="shared" si="72"/>
        <v>6.4640000000072177</v>
      </c>
      <c r="V98" s="96">
        <f t="shared" si="73"/>
        <v>4.9138028966666525E-5</v>
      </c>
      <c r="W98" s="15"/>
      <c r="X98" s="247"/>
      <c r="Y98" s="247"/>
      <c r="Z98" s="247"/>
      <c r="AA98" s="247"/>
      <c r="AB98" s="247"/>
      <c r="AC98" s="247"/>
      <c r="AD98" s="243"/>
      <c r="AE98" s="243"/>
      <c r="AT98" s="92" t="e">
        <f>#REF!</f>
        <v>#REF!</v>
      </c>
      <c r="AU98" s="92" t="e">
        <f>D98-AT98</f>
        <v>#REF!</v>
      </c>
      <c r="AV98" s="97" t="e">
        <f>100%-(AT98/D98)</f>
        <v>#REF!</v>
      </c>
      <c r="AX98" s="25" t="e">
        <f t="shared" ref="AX98:AX100" si="113">SUM(AY98:BD98)</f>
        <v>#REF!</v>
      </c>
      <c r="AY98" s="25" t="e">
        <f>#REF!</f>
        <v>#REF!</v>
      </c>
      <c r="AZ98" s="25" t="e">
        <f>#REF!</f>
        <v>#REF!</v>
      </c>
      <c r="BA98" s="25" t="e">
        <f>#REF!</f>
        <v>#REF!</v>
      </c>
      <c r="BB98" s="25" t="e">
        <f>#REF!</f>
        <v>#REF!</v>
      </c>
      <c r="BC98" s="25" t="e">
        <f>#REF!</f>
        <v>#REF!</v>
      </c>
      <c r="BD98" s="25" t="e">
        <f>#REF!</f>
        <v>#REF!</v>
      </c>
    </row>
    <row r="99" spans="1:56" s="4" customFormat="1">
      <c r="A99" s="13" t="s">
        <v>50</v>
      </c>
      <c r="B99" s="12" t="s">
        <v>20</v>
      </c>
      <c r="C99" s="145" t="s">
        <v>9</v>
      </c>
      <c r="D99" s="25">
        <f t="shared" si="111"/>
        <v>13023.232991999999</v>
      </c>
      <c r="E99" s="25">
        <v>1220.5110808249447</v>
      </c>
      <c r="F99" s="25">
        <v>1683.0506177357304</v>
      </c>
      <c r="G99" s="25">
        <v>3836.1616356385102</v>
      </c>
      <c r="H99" s="32">
        <v>1898.7171488880656</v>
      </c>
      <c r="I99" s="33">
        <v>3516.7306445262266</v>
      </c>
      <c r="J99" s="33">
        <v>868.06186438652139</v>
      </c>
      <c r="M99" s="25">
        <v>13022.593056</v>
      </c>
      <c r="N99" s="25">
        <f>$M$99*N91</f>
        <v>951.39826290946144</v>
      </c>
      <c r="O99" s="25">
        <f t="shared" ref="O99:S99" si="114">$M$99*O91</f>
        <v>1544.7066977217012</v>
      </c>
      <c r="P99" s="25">
        <f t="shared" si="114"/>
        <v>4306.5439593335259</v>
      </c>
      <c r="Q99" s="25">
        <f t="shared" si="114"/>
        <v>1821.3463400190417</v>
      </c>
      <c r="R99" s="25">
        <f t="shared" si="114"/>
        <v>3896.8036317647156</v>
      </c>
      <c r="S99" s="25">
        <f t="shared" si="114"/>
        <v>501.79416425155341</v>
      </c>
      <c r="U99" s="91">
        <f t="shared" si="72"/>
        <v>0.63993599999957951</v>
      </c>
      <c r="V99" s="96">
        <f t="shared" si="73"/>
        <v>4.9138028966555503E-5</v>
      </c>
      <c r="W99" s="15"/>
      <c r="X99" s="15"/>
      <c r="Y99" s="15"/>
      <c r="Z99" s="243"/>
      <c r="AA99" s="243"/>
      <c r="AB99" s="243"/>
      <c r="AC99" s="243"/>
      <c r="AD99" s="243"/>
      <c r="AE99" s="243"/>
      <c r="AT99" s="92" t="e">
        <f>#REF!</f>
        <v>#REF!</v>
      </c>
      <c r="AU99" s="92" t="e">
        <f>D99-AT99</f>
        <v>#REF!</v>
      </c>
      <c r="AV99" s="97" t="e">
        <f>100%-(AT99/D99)</f>
        <v>#REF!</v>
      </c>
      <c r="AX99" s="25" t="e">
        <f t="shared" si="113"/>
        <v>#REF!</v>
      </c>
      <c r="AY99" s="25" t="e">
        <f>#REF!</f>
        <v>#REF!</v>
      </c>
      <c r="AZ99" s="25" t="e">
        <f>#REF!</f>
        <v>#REF!</v>
      </c>
      <c r="BA99" s="25" t="e">
        <f>#REF!</f>
        <v>#REF!</v>
      </c>
      <c r="BB99" s="25" t="e">
        <f>#REF!</f>
        <v>#REF!</v>
      </c>
      <c r="BC99" s="25" t="e">
        <f>#REF!</f>
        <v>#REF!</v>
      </c>
      <c r="BD99" s="25" t="e">
        <f>#REF!</f>
        <v>#REF!</v>
      </c>
    </row>
    <row r="100" spans="1:56" s="4" customFormat="1" ht="40.5">
      <c r="A100" s="142" t="s">
        <v>51</v>
      </c>
      <c r="B100" s="59" t="s">
        <v>161</v>
      </c>
      <c r="C100" s="143"/>
      <c r="D100" s="25">
        <f t="shared" si="111"/>
        <v>1246.3063199999999</v>
      </c>
      <c r="E100" s="60">
        <v>116.80130998167428</v>
      </c>
      <c r="F100" s="60">
        <v>161.06573713704353</v>
      </c>
      <c r="G100" s="60">
        <v>367.11563818099069</v>
      </c>
      <c r="H100" s="67">
        <v>181.70474136531345</v>
      </c>
      <c r="I100" s="61">
        <v>336.54651120064284</v>
      </c>
      <c r="J100" s="61">
        <v>83.072382134335129</v>
      </c>
      <c r="M100" s="25">
        <v>623.15316000000007</v>
      </c>
      <c r="N100" s="60">
        <f>$M$100*N91</f>
        <v>45.526020155976973</v>
      </c>
      <c r="O100" s="60">
        <f t="shared" ref="O100:S100" si="115">$M$100*O91</f>
        <v>73.916834828447776</v>
      </c>
      <c r="P100" s="60">
        <f t="shared" si="115"/>
        <v>206.07543101419006</v>
      </c>
      <c r="Q100" s="60">
        <f t="shared" si="115"/>
        <v>87.154510807229244</v>
      </c>
      <c r="R100" s="60">
        <f t="shared" si="115"/>
        <v>186.46866154777427</v>
      </c>
      <c r="S100" s="60">
        <f t="shared" si="115"/>
        <v>24.011701646381738</v>
      </c>
      <c r="U100" s="91">
        <f t="shared" si="72"/>
        <v>623.15315999999984</v>
      </c>
      <c r="V100" s="96">
        <f t="shared" si="73"/>
        <v>0.49999999999999989</v>
      </c>
      <c r="W100" s="15"/>
      <c r="X100" s="15"/>
      <c r="Y100" s="15"/>
      <c r="Z100" s="243"/>
      <c r="AA100" s="243"/>
      <c r="AB100" s="243"/>
      <c r="AC100" s="243"/>
      <c r="AD100" s="243"/>
      <c r="AE100" s="243"/>
      <c r="AT100" s="92" t="e">
        <f>#REF!</f>
        <v>#REF!</v>
      </c>
      <c r="AU100" s="92" t="e">
        <f>D100-AT100</f>
        <v>#REF!</v>
      </c>
      <c r="AV100" s="97" t="e">
        <f>100%-(AT100/D100)</f>
        <v>#REF!</v>
      </c>
      <c r="AX100" s="25" t="e">
        <f t="shared" si="113"/>
        <v>#REF!</v>
      </c>
      <c r="AY100" s="25" t="e">
        <f>#REF!</f>
        <v>#REF!</v>
      </c>
      <c r="AZ100" s="25" t="e">
        <f>#REF!</f>
        <v>#REF!</v>
      </c>
      <c r="BA100" s="25" t="e">
        <f>#REF!</f>
        <v>#REF!</v>
      </c>
      <c r="BB100" s="25" t="e">
        <f>#REF!</f>
        <v>#REF!</v>
      </c>
      <c r="BC100" s="25" t="e">
        <f>#REF!</f>
        <v>#REF!</v>
      </c>
      <c r="BD100" s="25" t="e">
        <f>#REF!</f>
        <v>#REF!</v>
      </c>
    </row>
    <row r="101" spans="1:56" s="4" customFormat="1" ht="40.5">
      <c r="A101" s="13" t="s">
        <v>51</v>
      </c>
      <c r="B101" s="12" t="s">
        <v>22</v>
      </c>
      <c r="C101" s="43" t="s">
        <v>9</v>
      </c>
      <c r="D101" s="25">
        <f>SUM(E101:J101)</f>
        <v>5232.032573499996</v>
      </c>
      <c r="E101" s="35">
        <v>2311.7882178798213</v>
      </c>
      <c r="F101" s="35">
        <v>1759.710122344595</v>
      </c>
      <c r="G101" s="35">
        <v>472.98876797652525</v>
      </c>
      <c r="H101" s="35">
        <v>209.80847449045478</v>
      </c>
      <c r="I101" s="35">
        <v>369.78713667718449</v>
      </c>
      <c r="J101" s="35">
        <v>107.94985413141616</v>
      </c>
      <c r="M101" s="25">
        <v>5232.0325434999995</v>
      </c>
      <c r="N101" s="35">
        <f>$M$101*N93</f>
        <v>2318.1290139163707</v>
      </c>
      <c r="O101" s="35">
        <f>$M$101*O93</f>
        <v>1638.9739207290772</v>
      </c>
      <c r="P101" s="35">
        <f t="shared" ref="P101:S101" si="116">$M$101*P93</f>
        <v>1075.9087340302638</v>
      </c>
      <c r="Q101" s="35">
        <f t="shared" si="116"/>
        <v>95.385785833135714</v>
      </c>
      <c r="R101" s="35">
        <f t="shared" si="116"/>
        <v>84.000008708607197</v>
      </c>
      <c r="S101" s="35">
        <f t="shared" si="116"/>
        <v>19.635080282544997</v>
      </c>
      <c r="U101" s="91">
        <f t="shared" si="72"/>
        <v>2.999999651365215E-5</v>
      </c>
      <c r="V101" s="96">
        <f t="shared" si="73"/>
        <v>5.7339085701713088E-9</v>
      </c>
      <c r="W101" s="15"/>
      <c r="X101" s="15"/>
      <c r="Y101" s="15"/>
      <c r="Z101" s="15"/>
      <c r="AA101" s="15"/>
      <c r="AT101" s="92" t="e">
        <f>#REF!</f>
        <v>#REF!</v>
      </c>
      <c r="AU101" s="92" t="e">
        <f>D101-AT101</f>
        <v>#REF!</v>
      </c>
      <c r="AV101" s="97" t="e">
        <f>100%-(AT101/D101)</f>
        <v>#REF!</v>
      </c>
      <c r="AX101" s="25" t="e">
        <f>SUM(AY101:BD101)</f>
        <v>#REF!</v>
      </c>
      <c r="AY101" s="25" t="e">
        <f>#REF!</f>
        <v>#REF!</v>
      </c>
      <c r="AZ101" s="25" t="e">
        <f>#REF!</f>
        <v>#REF!</v>
      </c>
      <c r="BA101" s="25" t="e">
        <f>#REF!</f>
        <v>#REF!</v>
      </c>
      <c r="BB101" s="25" t="e">
        <f>#REF!</f>
        <v>#REF!</v>
      </c>
      <c r="BC101" s="25" t="e">
        <f>#REF!</f>
        <v>#REF!</v>
      </c>
      <c r="BD101" s="25" t="e">
        <f>#REF!</f>
        <v>#REF!</v>
      </c>
    </row>
    <row r="102" spans="1:56" s="4" customFormat="1">
      <c r="A102" s="13" t="s">
        <v>54</v>
      </c>
      <c r="B102" s="12" t="s">
        <v>39</v>
      </c>
      <c r="C102" s="145" t="s">
        <v>9</v>
      </c>
      <c r="D102" s="25">
        <f>SUM(D104:D107)</f>
        <v>25588.812061714285</v>
      </c>
      <c r="E102" s="25">
        <f t="shared" ref="E102:AT102" si="117">SUM(E104:E107)</f>
        <v>2398.131760804275</v>
      </c>
      <c r="F102" s="25">
        <f t="shared" si="117"/>
        <v>3306.9565732293504</v>
      </c>
      <c r="G102" s="25">
        <f t="shared" si="117"/>
        <v>7537.5153921466699</v>
      </c>
      <c r="H102" s="25">
        <f t="shared" si="117"/>
        <v>3730.7108235793976</v>
      </c>
      <c r="I102" s="25">
        <f t="shared" si="117"/>
        <v>6909.8786445525466</v>
      </c>
      <c r="J102" s="25">
        <f t="shared" si="117"/>
        <v>1705.618867402047</v>
      </c>
      <c r="M102" s="25">
        <f>SUM(M104:M107)</f>
        <v>25588.812061714285</v>
      </c>
      <c r="N102" s="25">
        <f t="shared" ref="N102:S102" si="118">SUM(N104:N107)</f>
        <v>1869.4549726573016</v>
      </c>
      <c r="O102" s="25">
        <f t="shared" si="118"/>
        <v>3035.2794722599615</v>
      </c>
      <c r="P102" s="25">
        <f t="shared" si="118"/>
        <v>8462.1659862221932</v>
      </c>
      <c r="Q102" s="25">
        <f t="shared" si="118"/>
        <v>3578.8639784428528</v>
      </c>
      <c r="R102" s="25">
        <f t="shared" si="118"/>
        <v>7657.0445951768979</v>
      </c>
      <c r="S102" s="25">
        <f t="shared" si="118"/>
        <v>986.0030569550795</v>
      </c>
      <c r="U102" s="91">
        <f t="shared" si="72"/>
        <v>0</v>
      </c>
      <c r="V102" s="96">
        <f t="shared" si="73"/>
        <v>0</v>
      </c>
      <c r="W102" s="15"/>
      <c r="X102" s="15"/>
      <c r="Y102" s="15"/>
      <c r="Z102" s="15"/>
      <c r="AA102" s="15"/>
      <c r="AT102" s="101" t="e">
        <f t="shared" si="117"/>
        <v>#REF!</v>
      </c>
      <c r="AU102" s="92" t="e">
        <f>D102-AT102</f>
        <v>#REF!</v>
      </c>
      <c r="AV102" s="97" t="e">
        <f>100%-(AT102/D102)</f>
        <v>#REF!</v>
      </c>
      <c r="AX102" s="25" t="e">
        <f>SUM(AX104:AX107)</f>
        <v>#REF!</v>
      </c>
      <c r="AY102" s="25" t="e">
        <f t="shared" ref="AY102:BD102" si="119">SUM(AY104:AY107)</f>
        <v>#REF!</v>
      </c>
      <c r="AZ102" s="25" t="e">
        <f t="shared" si="119"/>
        <v>#REF!</v>
      </c>
      <c r="BA102" s="25" t="e">
        <f t="shared" si="119"/>
        <v>#REF!</v>
      </c>
      <c r="BB102" s="25" t="e">
        <f t="shared" si="119"/>
        <v>#REF!</v>
      </c>
      <c r="BC102" s="25" t="e">
        <f t="shared" si="119"/>
        <v>#REF!</v>
      </c>
      <c r="BD102" s="25" t="e">
        <f t="shared" si="119"/>
        <v>#REF!</v>
      </c>
    </row>
    <row r="103" spans="1:56" s="4" customFormat="1">
      <c r="A103" s="13"/>
      <c r="B103" s="12" t="s">
        <v>7</v>
      </c>
      <c r="C103" s="145"/>
      <c r="D103" s="25"/>
      <c r="E103" s="25"/>
      <c r="F103" s="25"/>
      <c r="G103" s="25"/>
      <c r="H103" s="32"/>
      <c r="I103" s="33"/>
      <c r="J103" s="33"/>
      <c r="M103" s="25"/>
      <c r="N103" s="25"/>
      <c r="O103" s="25"/>
      <c r="P103" s="25"/>
      <c r="Q103" s="32"/>
      <c r="R103" s="33"/>
      <c r="S103" s="33"/>
      <c r="U103" s="91"/>
      <c r="V103" s="96"/>
      <c r="W103" s="15"/>
      <c r="X103" s="15"/>
      <c r="Y103" s="15"/>
      <c r="Z103" s="15"/>
      <c r="AA103" s="15"/>
      <c r="AT103" s="92"/>
      <c r="AU103" s="92"/>
      <c r="AV103" s="97"/>
      <c r="AX103" s="25"/>
      <c r="AY103" s="25"/>
      <c r="AZ103" s="25"/>
      <c r="BA103" s="25"/>
      <c r="BB103" s="32"/>
      <c r="BC103" s="33"/>
      <c r="BD103" s="33"/>
    </row>
    <row r="104" spans="1:56" s="4" customFormat="1" ht="37.5">
      <c r="A104" s="9"/>
      <c r="B104" s="18" t="s">
        <v>52</v>
      </c>
      <c r="C104" s="9" t="s">
        <v>9</v>
      </c>
      <c r="D104" s="28">
        <f t="shared" ref="D104:D114" si="120">SUM(E104:J104)</f>
        <v>18023.565714285716</v>
      </c>
      <c r="E104" s="28">
        <v>1689.13215971605</v>
      </c>
      <c r="F104" s="28">
        <v>2329.2659685857752</v>
      </c>
      <c r="G104" s="28">
        <v>5309.074280789192</v>
      </c>
      <c r="H104" s="29">
        <v>2627.7386979751632</v>
      </c>
      <c r="I104" s="29">
        <v>4866.9962297377906</v>
      </c>
      <c r="J104" s="29">
        <v>1201.3583774817446</v>
      </c>
      <c r="M104" s="28">
        <v>18023.565714285716</v>
      </c>
      <c r="N104" s="28">
        <f>$M$104*N91</f>
        <v>1316.7568884528273</v>
      </c>
      <c r="O104" s="28">
        <f t="shared" ref="O104:S104" si="121">$M$104*O91</f>
        <v>2137.9092901053918</v>
      </c>
      <c r="P104" s="28">
        <f t="shared" si="121"/>
        <v>5960.3550321144276</v>
      </c>
      <c r="Q104" s="28">
        <f t="shared" si="121"/>
        <v>2520.7848626339642</v>
      </c>
      <c r="R104" s="28">
        <f t="shared" si="121"/>
        <v>5393.2650763757838</v>
      </c>
      <c r="S104" s="28">
        <f t="shared" si="121"/>
        <v>694.49456460332112</v>
      </c>
      <c r="U104" s="91">
        <f t="shared" si="72"/>
        <v>0</v>
      </c>
      <c r="V104" s="96">
        <f t="shared" si="73"/>
        <v>0</v>
      </c>
      <c r="W104" s="15"/>
      <c r="X104" s="15"/>
      <c r="Y104" s="15"/>
      <c r="Z104" s="15"/>
      <c r="AA104" s="15"/>
      <c r="AT104" s="93" t="e">
        <f>#REF!</f>
        <v>#REF!</v>
      </c>
      <c r="AU104" s="93" t="e">
        <f t="shared" ref="AU104:AU141" si="122">D104-AT104</f>
        <v>#REF!</v>
      </c>
      <c r="AV104" s="97" t="e">
        <f t="shared" ref="AV104:AV137" si="123">100%-(AT104/D104)</f>
        <v>#REF!</v>
      </c>
      <c r="AX104" s="28" t="e">
        <f t="shared" ref="AX104:AX114" si="124">SUM(AY104:BD104)</f>
        <v>#REF!</v>
      </c>
      <c r="AY104" s="28" t="e">
        <f>#REF!</f>
        <v>#REF!</v>
      </c>
      <c r="AZ104" s="28" t="e">
        <f>#REF!</f>
        <v>#REF!</v>
      </c>
      <c r="BA104" s="28" t="e">
        <f>#REF!</f>
        <v>#REF!</v>
      </c>
      <c r="BB104" s="28" t="e">
        <f>#REF!</f>
        <v>#REF!</v>
      </c>
      <c r="BC104" s="28" t="e">
        <f>#REF!</f>
        <v>#REF!</v>
      </c>
      <c r="BD104" s="28" t="e">
        <f>#REF!</f>
        <v>#REF!</v>
      </c>
    </row>
    <row r="105" spans="1:56" s="4" customFormat="1" ht="25.5" customHeight="1">
      <c r="A105" s="9"/>
      <c r="B105" s="18" t="s">
        <v>53</v>
      </c>
      <c r="C105" s="9" t="s">
        <v>9</v>
      </c>
      <c r="D105" s="28">
        <f t="shared" si="120"/>
        <v>4719.9199999999992</v>
      </c>
      <c r="E105" s="28">
        <v>442.34136516992385</v>
      </c>
      <c r="F105" s="28">
        <v>609.97636121100174</v>
      </c>
      <c r="G105" s="28">
        <v>1390.313452765947</v>
      </c>
      <c r="H105" s="29">
        <v>688.13888616481552</v>
      </c>
      <c r="I105" s="29">
        <v>1274.5442943321816</v>
      </c>
      <c r="J105" s="29">
        <v>314.6056403561293</v>
      </c>
      <c r="M105" s="28">
        <v>4719.92</v>
      </c>
      <c r="N105" s="28">
        <f>$M$105*N91</f>
        <v>344.82561727617463</v>
      </c>
      <c r="O105" s="28">
        <f t="shared" ref="O105:S105" si="125">$M$105*O91</f>
        <v>559.8648445327425</v>
      </c>
      <c r="P105" s="28">
        <f t="shared" si="125"/>
        <v>1560.8675535762281</v>
      </c>
      <c r="Q105" s="28">
        <f t="shared" si="125"/>
        <v>660.13035807963718</v>
      </c>
      <c r="R105" s="28">
        <f t="shared" si="125"/>
        <v>1412.3609114211515</v>
      </c>
      <c r="S105" s="28">
        <f t="shared" si="125"/>
        <v>181.87071511406614</v>
      </c>
      <c r="U105" s="91">
        <f t="shared" si="72"/>
        <v>0</v>
      </c>
      <c r="V105" s="96">
        <f t="shared" si="73"/>
        <v>0</v>
      </c>
      <c r="W105" s="15"/>
      <c r="X105" s="15"/>
      <c r="Y105" s="15"/>
      <c r="Z105" s="15"/>
      <c r="AA105" s="15"/>
      <c r="AT105" s="93" t="e">
        <f>#REF!</f>
        <v>#REF!</v>
      </c>
      <c r="AU105" s="93" t="e">
        <f t="shared" si="122"/>
        <v>#REF!</v>
      </c>
      <c r="AV105" s="97" t="e">
        <f t="shared" si="123"/>
        <v>#REF!</v>
      </c>
      <c r="AX105" s="28" t="e">
        <f t="shared" si="124"/>
        <v>#REF!</v>
      </c>
      <c r="AY105" s="28" t="e">
        <f>#REF!</f>
        <v>#REF!</v>
      </c>
      <c r="AZ105" s="28" t="e">
        <f>#REF!</f>
        <v>#REF!</v>
      </c>
      <c r="BA105" s="28" t="e">
        <f>#REF!</f>
        <v>#REF!</v>
      </c>
      <c r="BB105" s="28" t="e">
        <f>#REF!</f>
        <v>#REF!</v>
      </c>
      <c r="BC105" s="28" t="e">
        <f>#REF!</f>
        <v>#REF!</v>
      </c>
      <c r="BD105" s="28" t="e">
        <f>#REF!</f>
        <v>#REF!</v>
      </c>
    </row>
    <row r="106" spans="1:56" s="4" customFormat="1" ht="25.5" hidden="1" customHeight="1">
      <c r="A106" s="9"/>
      <c r="B106" s="18" t="s">
        <v>42</v>
      </c>
      <c r="C106" s="9" t="s">
        <v>9</v>
      </c>
      <c r="D106" s="28">
        <f t="shared" si="120"/>
        <v>0</v>
      </c>
      <c r="E106" s="28">
        <v>0</v>
      </c>
      <c r="F106" s="28">
        <v>0</v>
      </c>
      <c r="G106" s="28">
        <v>0</v>
      </c>
      <c r="H106" s="29">
        <v>0</v>
      </c>
      <c r="I106" s="29">
        <v>0</v>
      </c>
      <c r="J106" s="29">
        <v>0</v>
      </c>
      <c r="M106" s="28">
        <v>0</v>
      </c>
      <c r="N106" s="28"/>
      <c r="O106" s="28"/>
      <c r="P106" s="28"/>
      <c r="Q106" s="29"/>
      <c r="R106" s="29"/>
      <c r="S106" s="29"/>
      <c r="U106" s="91">
        <f t="shared" si="72"/>
        <v>0</v>
      </c>
      <c r="V106" s="96" t="e">
        <f t="shared" si="73"/>
        <v>#DIV/0!</v>
      </c>
      <c r="W106" s="15"/>
      <c r="X106" s="15"/>
      <c r="Y106" s="15"/>
      <c r="Z106" s="15"/>
      <c r="AA106" s="15"/>
      <c r="AT106" s="93" t="e">
        <f>#REF!</f>
        <v>#REF!</v>
      </c>
      <c r="AU106" s="93" t="e">
        <f t="shared" si="122"/>
        <v>#REF!</v>
      </c>
      <c r="AV106" s="97" t="e">
        <f t="shared" si="123"/>
        <v>#REF!</v>
      </c>
      <c r="AX106" s="28" t="e">
        <f t="shared" si="124"/>
        <v>#REF!</v>
      </c>
      <c r="AY106" s="28" t="e">
        <f>#REF!</f>
        <v>#REF!</v>
      </c>
      <c r="AZ106" s="28" t="e">
        <f>#REF!</f>
        <v>#REF!</v>
      </c>
      <c r="BA106" s="28" t="e">
        <f>#REF!</f>
        <v>#REF!</v>
      </c>
      <c r="BB106" s="28" t="e">
        <f>#REF!</f>
        <v>#REF!</v>
      </c>
      <c r="BC106" s="28" t="e">
        <f>#REF!</f>
        <v>#REF!</v>
      </c>
      <c r="BD106" s="28" t="e">
        <f>#REF!</f>
        <v>#REF!</v>
      </c>
    </row>
    <row r="107" spans="1:56" s="4" customFormat="1" ht="25.5" customHeight="1">
      <c r="A107" s="9"/>
      <c r="B107" s="18" t="s">
        <v>28</v>
      </c>
      <c r="C107" s="9" t="s">
        <v>9</v>
      </c>
      <c r="D107" s="28">
        <f t="shared" si="120"/>
        <v>2845.3263474285714</v>
      </c>
      <c r="E107" s="28">
        <v>266.65823591830105</v>
      </c>
      <c r="F107" s="28">
        <v>367.7142434325732</v>
      </c>
      <c r="G107" s="28">
        <v>838.12765859153092</v>
      </c>
      <c r="H107" s="29">
        <v>414.83323943941855</v>
      </c>
      <c r="I107" s="29">
        <v>768.33812048257448</v>
      </c>
      <c r="J107" s="29">
        <v>189.65484956417319</v>
      </c>
      <c r="M107" s="28">
        <v>2845.3263474285718</v>
      </c>
      <c r="N107" s="28">
        <f>$M$107*N91</f>
        <v>207.87246692829976</v>
      </c>
      <c r="O107" s="28">
        <f t="shared" ref="O107:S107" si="126">$M$107*O91</f>
        <v>337.50533762182692</v>
      </c>
      <c r="P107" s="28">
        <f t="shared" si="126"/>
        <v>940.9434005315386</v>
      </c>
      <c r="Q107" s="28">
        <f t="shared" si="126"/>
        <v>397.94875772925155</v>
      </c>
      <c r="R107" s="28">
        <f t="shared" si="126"/>
        <v>851.41860737996262</v>
      </c>
      <c r="S107" s="28">
        <f t="shared" si="126"/>
        <v>109.63777723769221</v>
      </c>
      <c r="U107" s="91">
        <f t="shared" si="72"/>
        <v>0</v>
      </c>
      <c r="V107" s="96">
        <f t="shared" si="73"/>
        <v>0</v>
      </c>
      <c r="W107" s="15"/>
      <c r="X107" s="15"/>
      <c r="Y107" s="15"/>
      <c r="Z107" s="15"/>
      <c r="AA107" s="15"/>
      <c r="AT107" s="93" t="e">
        <f>#REF!</f>
        <v>#REF!</v>
      </c>
      <c r="AU107" s="93" t="e">
        <f t="shared" si="122"/>
        <v>#REF!</v>
      </c>
      <c r="AV107" s="97" t="e">
        <f t="shared" si="123"/>
        <v>#REF!</v>
      </c>
      <c r="AX107" s="28" t="e">
        <f t="shared" si="124"/>
        <v>#REF!</v>
      </c>
      <c r="AY107" s="28" t="e">
        <f>#REF!</f>
        <v>#REF!</v>
      </c>
      <c r="AZ107" s="28" t="e">
        <f>#REF!</f>
        <v>#REF!</v>
      </c>
      <c r="BA107" s="28" t="e">
        <f>#REF!</f>
        <v>#REF!</v>
      </c>
      <c r="BB107" s="28" t="e">
        <f>#REF!</f>
        <v>#REF!</v>
      </c>
      <c r="BC107" s="28" t="e">
        <f>#REF!</f>
        <v>#REF!</v>
      </c>
      <c r="BD107" s="28" t="e">
        <f>#REF!</f>
        <v>#REF!</v>
      </c>
    </row>
    <row r="108" spans="1:56" s="4" customFormat="1" ht="25.5" customHeight="1">
      <c r="A108" s="13" t="s">
        <v>55</v>
      </c>
      <c r="B108" s="12" t="s">
        <v>32</v>
      </c>
      <c r="C108" s="145" t="s">
        <v>9</v>
      </c>
      <c r="D108" s="25">
        <f t="shared" si="120"/>
        <v>22641.260000000002</v>
      </c>
      <c r="E108" s="25">
        <v>2121.8931375038546</v>
      </c>
      <c r="F108" s="25">
        <v>2926.0312437567181</v>
      </c>
      <c r="G108" s="25">
        <v>6669.2758278893571</v>
      </c>
      <c r="H108" s="33">
        <v>3300.9736261987482</v>
      </c>
      <c r="I108" s="33">
        <v>6113.9359882140916</v>
      </c>
      <c r="J108" s="33">
        <v>1509.1501764372315</v>
      </c>
      <c r="M108" s="25">
        <v>11410.545000000004</v>
      </c>
      <c r="N108" s="25">
        <f>$M$108*N91</f>
        <v>833.62604092496679</v>
      </c>
      <c r="O108" s="25">
        <f t="shared" ref="O108:S108" si="127">$M$108*O91</f>
        <v>1353.4896783121037</v>
      </c>
      <c r="P108" s="25">
        <f t="shared" si="127"/>
        <v>3773.443079357588</v>
      </c>
      <c r="Q108" s="25">
        <f t="shared" si="127"/>
        <v>1595.8844973503396</v>
      </c>
      <c r="R108" s="25">
        <f t="shared" si="127"/>
        <v>3414.4239173570882</v>
      </c>
      <c r="S108" s="25">
        <f t="shared" si="127"/>
        <v>439.67778669791704</v>
      </c>
      <c r="U108" s="91">
        <f t="shared" si="72"/>
        <v>11230.714999999998</v>
      </c>
      <c r="V108" s="96">
        <f t="shared" si="73"/>
        <v>0.49602871041629293</v>
      </c>
      <c r="W108" s="15"/>
      <c r="X108" s="15"/>
      <c r="Y108" s="15"/>
      <c r="Z108" s="15"/>
      <c r="AA108" s="15"/>
      <c r="AT108" s="92" t="e">
        <f>#REF!</f>
        <v>#REF!</v>
      </c>
      <c r="AU108" s="92" t="e">
        <f t="shared" si="122"/>
        <v>#REF!</v>
      </c>
      <c r="AV108" s="97" t="e">
        <f t="shared" si="123"/>
        <v>#REF!</v>
      </c>
      <c r="AX108" s="25" t="e">
        <f t="shared" si="124"/>
        <v>#REF!</v>
      </c>
      <c r="AY108" s="25" t="e">
        <f>#REF!</f>
        <v>#REF!</v>
      </c>
      <c r="AZ108" s="25" t="e">
        <f>#REF!</f>
        <v>#REF!</v>
      </c>
      <c r="BA108" s="25" t="e">
        <f>#REF!</f>
        <v>#REF!</v>
      </c>
      <c r="BB108" s="25" t="e">
        <f>#REF!</f>
        <v>#REF!</v>
      </c>
      <c r="BC108" s="25" t="e">
        <f>#REF!</f>
        <v>#REF!</v>
      </c>
      <c r="BD108" s="25" t="e">
        <f>#REF!</f>
        <v>#REF!</v>
      </c>
    </row>
    <row r="109" spans="1:56" s="4" customFormat="1" ht="25.5" hidden="1" customHeight="1">
      <c r="A109" s="13" t="s">
        <v>57</v>
      </c>
      <c r="B109" s="12" t="s">
        <v>56</v>
      </c>
      <c r="C109" s="145" t="s">
        <v>9</v>
      </c>
      <c r="D109" s="25">
        <f t="shared" si="120"/>
        <v>0</v>
      </c>
      <c r="E109" s="25">
        <v>0</v>
      </c>
      <c r="F109" s="25">
        <v>0</v>
      </c>
      <c r="G109" s="25">
        <v>0</v>
      </c>
      <c r="H109" s="33">
        <v>0</v>
      </c>
      <c r="I109" s="33">
        <v>0</v>
      </c>
      <c r="J109" s="33">
        <v>0</v>
      </c>
      <c r="M109" s="25">
        <f t="shared" ref="M109" si="128">SUM(N109:S109)</f>
        <v>0</v>
      </c>
      <c r="N109" s="25">
        <v>0</v>
      </c>
      <c r="O109" s="25">
        <v>0</v>
      </c>
      <c r="P109" s="25">
        <v>0</v>
      </c>
      <c r="Q109" s="33">
        <v>0</v>
      </c>
      <c r="R109" s="33">
        <v>0</v>
      </c>
      <c r="S109" s="33">
        <v>0</v>
      </c>
      <c r="U109" s="91">
        <f t="shared" si="72"/>
        <v>0</v>
      </c>
      <c r="V109" s="96" t="e">
        <f t="shared" si="73"/>
        <v>#DIV/0!</v>
      </c>
      <c r="W109" s="15"/>
      <c r="X109" s="15"/>
      <c r="Y109" s="15"/>
      <c r="Z109" s="15"/>
      <c r="AA109" s="15"/>
      <c r="AT109" s="92">
        <v>0</v>
      </c>
      <c r="AU109" s="92">
        <f t="shared" si="122"/>
        <v>0</v>
      </c>
      <c r="AV109" s="97" t="e">
        <f t="shared" si="123"/>
        <v>#DIV/0!</v>
      </c>
      <c r="AX109" s="25">
        <f t="shared" si="124"/>
        <v>0</v>
      </c>
      <c r="AY109" s="25">
        <v>0</v>
      </c>
      <c r="AZ109" s="25">
        <v>0</v>
      </c>
      <c r="BA109" s="25">
        <v>0</v>
      </c>
      <c r="BB109" s="33">
        <v>0</v>
      </c>
      <c r="BC109" s="33">
        <v>0</v>
      </c>
      <c r="BD109" s="33">
        <v>0</v>
      </c>
    </row>
    <row r="110" spans="1:56" s="4" customFormat="1" ht="25.5" customHeight="1">
      <c r="A110" s="13" t="s">
        <v>109</v>
      </c>
      <c r="B110" s="12" t="s">
        <v>34</v>
      </c>
      <c r="C110" s="145" t="s">
        <v>9</v>
      </c>
      <c r="D110" s="25">
        <f t="shared" si="120"/>
        <v>14.456618799999996</v>
      </c>
      <c r="E110" s="25">
        <f t="shared" ref="E110:J110" si="129">SUM(E111:E112)</f>
        <v>6.3876974278588996</v>
      </c>
      <c r="F110" s="25">
        <f t="shared" si="129"/>
        <v>4.8622515398865911</v>
      </c>
      <c r="G110" s="25">
        <f t="shared" si="129"/>
        <v>1.3069143242630989</v>
      </c>
      <c r="H110" s="25">
        <f t="shared" si="129"/>
        <v>0.57972137866278706</v>
      </c>
      <c r="I110" s="25">
        <f t="shared" si="129"/>
        <v>1.0217581020351718</v>
      </c>
      <c r="J110" s="25">
        <f t="shared" si="129"/>
        <v>0.29827602729344682</v>
      </c>
      <c r="M110" s="25">
        <f>SUM(N110:S110)</f>
        <v>14.456618799999999</v>
      </c>
      <c r="N110" s="25">
        <f>N111+N112</f>
        <v>6.4052177055058239</v>
      </c>
      <c r="O110" s="25">
        <f t="shared" ref="O110:S110" si="130">O111+O112</f>
        <v>4.528645607252173</v>
      </c>
      <c r="P110" s="25">
        <f t="shared" si="130"/>
        <v>2.9728413006126235</v>
      </c>
      <c r="Q110" s="25">
        <f t="shared" si="130"/>
        <v>0.26356027667320708</v>
      </c>
      <c r="R110" s="25">
        <f t="shared" si="130"/>
        <v>0.23210025836052303</v>
      </c>
      <c r="S110" s="25">
        <f t="shared" si="130"/>
        <v>5.4253651595649585E-2</v>
      </c>
      <c r="U110" s="91">
        <f t="shared" si="72"/>
        <v>0</v>
      </c>
      <c r="V110" s="96">
        <f t="shared" si="73"/>
        <v>0</v>
      </c>
      <c r="W110" s="15"/>
      <c r="X110" s="15"/>
      <c r="Y110" s="15"/>
      <c r="Z110" s="15"/>
      <c r="AA110" s="15"/>
      <c r="AT110" s="101" t="e">
        <f>SUM(AT111:AT112)</f>
        <v>#REF!</v>
      </c>
      <c r="AU110" s="92" t="e">
        <f t="shared" si="122"/>
        <v>#REF!</v>
      </c>
      <c r="AV110" s="97" t="e">
        <f t="shared" si="123"/>
        <v>#REF!</v>
      </c>
      <c r="AX110" s="25" t="e">
        <f>SUM(AY110:BD110)</f>
        <v>#REF!</v>
      </c>
      <c r="AY110" s="25" t="e">
        <f t="shared" ref="AY110:BD110" si="131">SUM(AY111:AY112)</f>
        <v>#REF!</v>
      </c>
      <c r="AZ110" s="25" t="e">
        <f t="shared" si="131"/>
        <v>#REF!</v>
      </c>
      <c r="BA110" s="25" t="e">
        <f t="shared" si="131"/>
        <v>#REF!</v>
      </c>
      <c r="BB110" s="25" t="e">
        <f t="shared" si="131"/>
        <v>#REF!</v>
      </c>
      <c r="BC110" s="25" t="e">
        <f t="shared" si="131"/>
        <v>#REF!</v>
      </c>
      <c r="BD110" s="25" t="e">
        <f t="shared" si="131"/>
        <v>#REF!</v>
      </c>
    </row>
    <row r="111" spans="1:56" s="4" customFormat="1" ht="21" customHeight="1" outlineLevel="1">
      <c r="A111" s="13"/>
      <c r="B111" s="18" t="s">
        <v>112</v>
      </c>
      <c r="C111" s="7" t="s">
        <v>9</v>
      </c>
      <c r="D111" s="28">
        <f t="shared" si="120"/>
        <v>6.3196187999999971</v>
      </c>
      <c r="E111" s="44">
        <v>2.7923412322256671</v>
      </c>
      <c r="F111" s="44">
        <v>2.1255022814737456</v>
      </c>
      <c r="G111" s="44">
        <v>0.5713092700211736</v>
      </c>
      <c r="H111" s="45">
        <v>0.25342150706493466</v>
      </c>
      <c r="I111" s="45">
        <v>0.44665504430910147</v>
      </c>
      <c r="J111" s="45">
        <v>0.13038946490537465</v>
      </c>
      <c r="M111" s="28">
        <v>6.3196187999999989</v>
      </c>
      <c r="N111" s="44">
        <f>$M$111*N93</f>
        <v>2.8000001099709055</v>
      </c>
      <c r="O111" s="44">
        <f t="shared" ref="O111:S111" si="132">$M$111*O93</f>
        <v>1.979668573548349</v>
      </c>
      <c r="P111" s="44">
        <f t="shared" si="132"/>
        <v>1.2995586335006624</v>
      </c>
      <c r="Q111" s="44">
        <f t="shared" si="132"/>
        <v>0.11521369570851524</v>
      </c>
      <c r="R111" s="44">
        <f t="shared" si="132"/>
        <v>0.10146114914643931</v>
      </c>
      <c r="S111" s="44">
        <f t="shared" si="132"/>
        <v>2.3716638125127646E-2</v>
      </c>
      <c r="U111" s="91">
        <f t="shared" si="72"/>
        <v>0</v>
      </c>
      <c r="V111" s="96">
        <f t="shared" si="73"/>
        <v>0</v>
      </c>
      <c r="W111" s="15"/>
      <c r="X111" s="15"/>
      <c r="Y111" s="15"/>
      <c r="Z111" s="15"/>
      <c r="AA111" s="15"/>
      <c r="AT111" s="93" t="e">
        <f>#REF!</f>
        <v>#REF!</v>
      </c>
      <c r="AU111" s="93" t="e">
        <f t="shared" si="122"/>
        <v>#REF!</v>
      </c>
      <c r="AV111" s="97" t="e">
        <f t="shared" si="123"/>
        <v>#REF!</v>
      </c>
      <c r="AX111" s="28" t="e">
        <f t="shared" si="124"/>
        <v>#REF!</v>
      </c>
      <c r="AY111" s="44" t="e">
        <f>#REF!</f>
        <v>#REF!</v>
      </c>
      <c r="AZ111" s="44" t="e">
        <f>#REF!</f>
        <v>#REF!</v>
      </c>
      <c r="BA111" s="44" t="e">
        <f>#REF!</f>
        <v>#REF!</v>
      </c>
      <c r="BB111" s="44" t="e">
        <f>#REF!</f>
        <v>#REF!</v>
      </c>
      <c r="BC111" s="44" t="e">
        <f>#REF!</f>
        <v>#REF!</v>
      </c>
      <c r="BD111" s="44" t="e">
        <f>#REF!</f>
        <v>#REF!</v>
      </c>
    </row>
    <row r="112" spans="1:56" s="4" customFormat="1" ht="21" customHeight="1" outlineLevel="1">
      <c r="A112" s="13"/>
      <c r="B112" s="18" t="s">
        <v>96</v>
      </c>
      <c r="C112" s="7" t="s">
        <v>9</v>
      </c>
      <c r="D112" s="28">
        <f t="shared" si="120"/>
        <v>8.1369999999999969</v>
      </c>
      <c r="E112" s="44">
        <v>3.5953561956332325</v>
      </c>
      <c r="F112" s="44">
        <v>2.736749258412845</v>
      </c>
      <c r="G112" s="44">
        <v>0.73560505424192524</v>
      </c>
      <c r="H112" s="45">
        <v>0.32629987159785234</v>
      </c>
      <c r="I112" s="45">
        <v>0.57510305772607029</v>
      </c>
      <c r="J112" s="45">
        <v>0.16788656238807217</v>
      </c>
      <c r="M112" s="28">
        <v>8.1370000000000005</v>
      </c>
      <c r="N112" s="44">
        <f>$M$112*N93</f>
        <v>3.6052175955349184</v>
      </c>
      <c r="O112" s="44">
        <f t="shared" ref="O112:S112" si="133">$M$112*O93</f>
        <v>2.548977033703824</v>
      </c>
      <c r="P112" s="44">
        <f t="shared" si="133"/>
        <v>1.6732826671119612</v>
      </c>
      <c r="Q112" s="44">
        <f t="shared" si="133"/>
        <v>0.14834658096469186</v>
      </c>
      <c r="R112" s="44">
        <f t="shared" si="133"/>
        <v>0.13063910921408373</v>
      </c>
      <c r="S112" s="44">
        <f t="shared" si="133"/>
        <v>3.0537013470521943E-2</v>
      </c>
      <c r="U112" s="91">
        <f t="shared" si="72"/>
        <v>0</v>
      </c>
      <c r="V112" s="96">
        <f t="shared" si="73"/>
        <v>0</v>
      </c>
      <c r="W112" s="15"/>
      <c r="X112" s="15"/>
      <c r="Y112" s="15"/>
      <c r="Z112" s="15"/>
      <c r="AA112" s="15"/>
      <c r="AT112" s="93" t="e">
        <f>#REF!</f>
        <v>#REF!</v>
      </c>
      <c r="AU112" s="93" t="e">
        <f t="shared" si="122"/>
        <v>#REF!</v>
      </c>
      <c r="AV112" s="97" t="e">
        <f t="shared" si="123"/>
        <v>#REF!</v>
      </c>
      <c r="AX112" s="28" t="e">
        <f t="shared" si="124"/>
        <v>#REF!</v>
      </c>
      <c r="AY112" s="44" t="e">
        <f>#REF!</f>
        <v>#REF!</v>
      </c>
      <c r="AZ112" s="44" t="e">
        <f>#REF!</f>
        <v>#REF!</v>
      </c>
      <c r="BA112" s="44" t="e">
        <f>#REF!</f>
        <v>#REF!</v>
      </c>
      <c r="BB112" s="44" t="e">
        <f>#REF!</f>
        <v>#REF!</v>
      </c>
      <c r="BC112" s="44" t="e">
        <f>#REF!</f>
        <v>#REF!</v>
      </c>
      <c r="BD112" s="44" t="e">
        <f>#REF!</f>
        <v>#REF!</v>
      </c>
    </row>
    <row r="113" spans="1:56" s="4" customFormat="1">
      <c r="A113" s="13" t="s">
        <v>58</v>
      </c>
      <c r="B113" s="12" t="s">
        <v>59</v>
      </c>
      <c r="C113" s="145" t="s">
        <v>9</v>
      </c>
      <c r="D113" s="25">
        <f t="shared" si="120"/>
        <v>0</v>
      </c>
      <c r="E113" s="25"/>
      <c r="F113" s="25"/>
      <c r="G113" s="25"/>
      <c r="H113" s="33"/>
      <c r="I113" s="33"/>
      <c r="J113" s="33"/>
      <c r="M113" s="25">
        <v>0</v>
      </c>
      <c r="N113" s="25"/>
      <c r="O113" s="25"/>
      <c r="P113" s="25"/>
      <c r="Q113" s="33"/>
      <c r="R113" s="33"/>
      <c r="S113" s="33"/>
      <c r="U113" s="91">
        <f t="shared" si="72"/>
        <v>0</v>
      </c>
      <c r="V113" s="96"/>
      <c r="W113" s="15"/>
      <c r="X113" s="15"/>
      <c r="Y113" s="15"/>
      <c r="Z113" s="15"/>
      <c r="AA113" s="15"/>
      <c r="AT113" s="92"/>
      <c r="AU113" s="92">
        <f t="shared" si="122"/>
        <v>0</v>
      </c>
      <c r="AV113" s="97" t="e">
        <f t="shared" si="123"/>
        <v>#DIV/0!</v>
      </c>
      <c r="AX113" s="25">
        <f t="shared" si="124"/>
        <v>0</v>
      </c>
      <c r="AY113" s="25"/>
      <c r="AZ113" s="25"/>
      <c r="BA113" s="25"/>
      <c r="BB113" s="33"/>
      <c r="BC113" s="33"/>
      <c r="BD113" s="33"/>
    </row>
    <row r="114" spans="1:56" s="4" customFormat="1" ht="25.5" customHeight="1">
      <c r="A114" s="13" t="s">
        <v>60</v>
      </c>
      <c r="B114" s="12" t="s">
        <v>30</v>
      </c>
      <c r="C114" s="145" t="s">
        <v>9</v>
      </c>
      <c r="D114" s="25">
        <f t="shared" si="120"/>
        <v>1730.3571428571427</v>
      </c>
      <c r="E114" s="26">
        <v>162.16557501037255</v>
      </c>
      <c r="F114" s="26">
        <v>223.62178884291802</v>
      </c>
      <c r="G114" s="26">
        <v>509.69906562058969</v>
      </c>
      <c r="H114" s="32">
        <v>252.27674133312576</v>
      </c>
      <c r="I114" s="32">
        <v>467.2572466451777</v>
      </c>
      <c r="J114" s="32">
        <v>115.33672540495894</v>
      </c>
      <c r="M114" s="25">
        <v>903.12500000000023</v>
      </c>
      <c r="N114" s="25">
        <f t="shared" ref="N114:S114" si="134">$M$114*N91</f>
        <v>65.980066527090557</v>
      </c>
      <c r="O114" s="25">
        <f t="shared" si="134"/>
        <v>107.12637877731682</v>
      </c>
      <c r="P114" s="25">
        <f t="shared" si="134"/>
        <v>298.66152589949223</v>
      </c>
      <c r="Q114" s="25">
        <f t="shared" si="134"/>
        <v>126.31151155966042</v>
      </c>
      <c r="R114" s="25">
        <f t="shared" si="134"/>
        <v>270.24577707402409</v>
      </c>
      <c r="S114" s="25">
        <f t="shared" si="134"/>
        <v>34.799740162416107</v>
      </c>
      <c r="U114" s="91">
        <f t="shared" si="72"/>
        <v>827.23214285714243</v>
      </c>
      <c r="V114" s="96">
        <f t="shared" si="73"/>
        <v>0.47807017543859631</v>
      </c>
      <c r="W114" s="15"/>
      <c r="X114" s="15"/>
      <c r="Y114" s="15"/>
      <c r="Z114" s="15"/>
      <c r="AA114" s="15"/>
      <c r="AT114" s="92" t="e">
        <f>#REF!</f>
        <v>#REF!</v>
      </c>
      <c r="AU114" s="92" t="e">
        <f t="shared" si="122"/>
        <v>#REF!</v>
      </c>
      <c r="AV114" s="97" t="e">
        <f t="shared" si="123"/>
        <v>#REF!</v>
      </c>
      <c r="AX114" s="25" t="e">
        <f t="shared" si="124"/>
        <v>#REF!</v>
      </c>
      <c r="AY114" s="25" t="e">
        <f>#REF!</f>
        <v>#REF!</v>
      </c>
      <c r="AZ114" s="25" t="e">
        <f>#REF!</f>
        <v>#REF!</v>
      </c>
      <c r="BA114" s="25" t="e">
        <f>#REF!</f>
        <v>#REF!</v>
      </c>
      <c r="BB114" s="25" t="e">
        <f>#REF!</f>
        <v>#REF!</v>
      </c>
      <c r="BC114" s="25" t="e">
        <f>#REF!</f>
        <v>#REF!</v>
      </c>
      <c r="BD114" s="25" t="e">
        <f>#REF!</f>
        <v>#REF!</v>
      </c>
    </row>
    <row r="115" spans="1:56" s="4" customFormat="1" ht="26.25" customHeight="1">
      <c r="A115" s="13" t="s">
        <v>61</v>
      </c>
      <c r="B115" s="12" t="s">
        <v>62</v>
      </c>
      <c r="C115" s="145" t="s">
        <v>9</v>
      </c>
      <c r="D115" s="25">
        <f t="shared" ref="D115:J115" si="135">SUM(D116:D117)</f>
        <v>296.57707597199999</v>
      </c>
      <c r="E115" s="26">
        <f t="shared" si="135"/>
        <v>27.794604286419837</v>
      </c>
      <c r="F115" s="26">
        <f t="shared" si="135"/>
        <v>38.327981325954553</v>
      </c>
      <c r="G115" s="26">
        <f t="shared" si="135"/>
        <v>87.360611727711472</v>
      </c>
      <c r="H115" s="26">
        <f t="shared" si="135"/>
        <v>43.239338531456042</v>
      </c>
      <c r="I115" s="26">
        <f t="shared" si="135"/>
        <v>80.086234514533004</v>
      </c>
      <c r="J115" s="26">
        <f t="shared" si="135"/>
        <v>19.768305585925077</v>
      </c>
      <c r="M115" s="25">
        <f t="shared" ref="M115:S115" si="136">SUM(M116:M117)</f>
        <v>296.57707597200005</v>
      </c>
      <c r="N115" s="25">
        <f t="shared" si="136"/>
        <v>21.66718361582566</v>
      </c>
      <c r="O115" s="25">
        <f t="shared" si="136"/>
        <v>35.179214590721699</v>
      </c>
      <c r="P115" s="25">
        <f t="shared" si="136"/>
        <v>98.077411273751849</v>
      </c>
      <c r="Q115" s="25">
        <f t="shared" si="136"/>
        <v>41.479417312074808</v>
      </c>
      <c r="R115" s="25">
        <f t="shared" si="136"/>
        <v>88.745968009295524</v>
      </c>
      <c r="S115" s="25">
        <f t="shared" si="136"/>
        <v>11.427881170330508</v>
      </c>
      <c r="U115" s="91">
        <f t="shared" si="72"/>
        <v>0</v>
      </c>
      <c r="V115" s="96">
        <f t="shared" si="73"/>
        <v>0</v>
      </c>
      <c r="W115" s="15"/>
      <c r="X115" s="15"/>
      <c r="Y115" s="15"/>
      <c r="Z115" s="15"/>
      <c r="AA115" s="15"/>
      <c r="AT115" s="101" t="e">
        <f>SUM(AT116:AT117)</f>
        <v>#REF!</v>
      </c>
      <c r="AU115" s="92" t="e">
        <f t="shared" si="122"/>
        <v>#REF!</v>
      </c>
      <c r="AV115" s="97" t="e">
        <f t="shared" si="123"/>
        <v>#REF!</v>
      </c>
      <c r="AX115" s="25" t="e">
        <f t="shared" ref="AX115:BD115" si="137">SUM(AX116:AX117)</f>
        <v>#REF!</v>
      </c>
      <c r="AY115" s="25" t="e">
        <f t="shared" si="137"/>
        <v>#REF!</v>
      </c>
      <c r="AZ115" s="25" t="e">
        <f t="shared" si="137"/>
        <v>#REF!</v>
      </c>
      <c r="BA115" s="25" t="e">
        <f t="shared" si="137"/>
        <v>#REF!</v>
      </c>
      <c r="BB115" s="25" t="e">
        <f t="shared" si="137"/>
        <v>#REF!</v>
      </c>
      <c r="BC115" s="25" t="e">
        <f t="shared" si="137"/>
        <v>#REF!</v>
      </c>
      <c r="BD115" s="25" t="e">
        <f t="shared" si="137"/>
        <v>#REF!</v>
      </c>
    </row>
    <row r="116" spans="1:56" s="4" customFormat="1" ht="20.25" customHeight="1" outlineLevel="1">
      <c r="A116" s="13"/>
      <c r="B116" s="18" t="s">
        <v>63</v>
      </c>
      <c r="C116" s="7" t="s">
        <v>9</v>
      </c>
      <c r="D116" s="28">
        <f t="shared" ref="D116:D135" si="138">SUM(E116:J116)</f>
        <v>29.084922371999994</v>
      </c>
      <c r="E116" s="28">
        <v>2.7257801547254488</v>
      </c>
      <c r="F116" s="28">
        <v>3.7587745374025445</v>
      </c>
      <c r="G116" s="28">
        <v>8.56733988000747</v>
      </c>
      <c r="H116" s="29">
        <v>4.2404248557725985</v>
      </c>
      <c r="I116" s="29">
        <v>7.8539513085660388</v>
      </c>
      <c r="J116" s="29">
        <v>1.9386516355258927</v>
      </c>
      <c r="M116" s="28">
        <v>29.084922372000001</v>
      </c>
      <c r="N116" s="28">
        <f t="shared" ref="N116:S116" si="139">$M$116*N91</f>
        <v>2.1248720974835424</v>
      </c>
      <c r="O116" s="28">
        <f t="shared" si="139"/>
        <v>3.449979139910563</v>
      </c>
      <c r="P116" s="28">
        <f t="shared" si="139"/>
        <v>9.6183222657880112</v>
      </c>
      <c r="Q116" s="28">
        <f t="shared" si="139"/>
        <v>4.0678317048057613</v>
      </c>
      <c r="R116" s="28">
        <f t="shared" si="139"/>
        <v>8.7031999419336259</v>
      </c>
      <c r="S116" s="28">
        <f t="shared" si="139"/>
        <v>1.1207172220784973</v>
      </c>
      <c r="U116" s="91">
        <f t="shared" si="72"/>
        <v>0</v>
      </c>
      <c r="V116" s="96">
        <f t="shared" si="73"/>
        <v>0</v>
      </c>
      <c r="W116" s="15"/>
      <c r="X116" s="15"/>
      <c r="Y116" s="15"/>
      <c r="Z116" s="15"/>
      <c r="AA116" s="15"/>
      <c r="AT116" s="93" t="e">
        <f>#REF!</f>
        <v>#REF!</v>
      </c>
      <c r="AU116" s="93" t="e">
        <f t="shared" si="122"/>
        <v>#REF!</v>
      </c>
      <c r="AV116" s="97" t="e">
        <f t="shared" si="123"/>
        <v>#REF!</v>
      </c>
      <c r="AX116" s="28" t="e">
        <f t="shared" ref="AX116:AX135" si="140">SUM(AY116:BD116)</f>
        <v>#REF!</v>
      </c>
      <c r="AY116" s="28" t="e">
        <f>#REF!</f>
        <v>#REF!</v>
      </c>
      <c r="AZ116" s="28" t="e">
        <f>#REF!</f>
        <v>#REF!</v>
      </c>
      <c r="BA116" s="28" t="e">
        <f>#REF!</f>
        <v>#REF!</v>
      </c>
      <c r="BB116" s="28" t="e">
        <f>#REF!</f>
        <v>#REF!</v>
      </c>
      <c r="BC116" s="28" t="e">
        <f>#REF!</f>
        <v>#REF!</v>
      </c>
      <c r="BD116" s="28" t="e">
        <f>#REF!</f>
        <v>#REF!</v>
      </c>
    </row>
    <row r="117" spans="1:56" s="4" customFormat="1" ht="20.25" customHeight="1" outlineLevel="1">
      <c r="A117" s="13"/>
      <c r="B117" s="18" t="s">
        <v>64</v>
      </c>
      <c r="C117" s="7" t="s">
        <v>9</v>
      </c>
      <c r="D117" s="28">
        <f t="shared" si="138"/>
        <v>267.49215359999999</v>
      </c>
      <c r="E117" s="28">
        <v>25.068824131694388</v>
      </c>
      <c r="F117" s="28">
        <v>34.569206788552009</v>
      </c>
      <c r="G117" s="28">
        <v>78.793271847704005</v>
      </c>
      <c r="H117" s="29">
        <v>38.99891367568344</v>
      </c>
      <c r="I117" s="29">
        <v>72.232283205966965</v>
      </c>
      <c r="J117" s="29">
        <v>17.829653950399184</v>
      </c>
      <c r="M117" s="28">
        <v>267.49215360000005</v>
      </c>
      <c r="N117" s="28">
        <f t="shared" ref="N117:S117" si="141">$M$117*N91</f>
        <v>19.542311518342117</v>
      </c>
      <c r="O117" s="28">
        <f t="shared" si="141"/>
        <v>31.729235450811139</v>
      </c>
      <c r="P117" s="28">
        <f t="shared" si="141"/>
        <v>88.45908900796384</v>
      </c>
      <c r="Q117" s="28">
        <f t="shared" si="141"/>
        <v>37.411585607269046</v>
      </c>
      <c r="R117" s="28">
        <f t="shared" si="141"/>
        <v>80.042768067361891</v>
      </c>
      <c r="S117" s="28">
        <f t="shared" si="141"/>
        <v>10.307163948252011</v>
      </c>
      <c r="U117" s="91">
        <f t="shared" si="72"/>
        <v>0</v>
      </c>
      <c r="V117" s="96">
        <f t="shared" si="73"/>
        <v>0</v>
      </c>
      <c r="W117" s="15"/>
      <c r="X117" s="15"/>
      <c r="Y117" s="15"/>
      <c r="Z117" s="15"/>
      <c r="AA117" s="15"/>
      <c r="AT117" s="93" t="e">
        <f>#REF!</f>
        <v>#REF!</v>
      </c>
      <c r="AU117" s="93" t="e">
        <f t="shared" si="122"/>
        <v>#REF!</v>
      </c>
      <c r="AV117" s="97" t="e">
        <f t="shared" si="123"/>
        <v>#REF!</v>
      </c>
      <c r="AX117" s="28" t="e">
        <f t="shared" si="140"/>
        <v>#REF!</v>
      </c>
      <c r="AY117" s="28" t="e">
        <f>#REF!</f>
        <v>#REF!</v>
      </c>
      <c r="AZ117" s="28" t="e">
        <f>#REF!</f>
        <v>#REF!</v>
      </c>
      <c r="BA117" s="28" t="e">
        <f>#REF!</f>
        <v>#REF!</v>
      </c>
      <c r="BB117" s="28" t="e">
        <f>#REF!</f>
        <v>#REF!</v>
      </c>
      <c r="BC117" s="28" t="e">
        <f>#REF!</f>
        <v>#REF!</v>
      </c>
      <c r="BD117" s="28" t="e">
        <f>#REF!</f>
        <v>#REF!</v>
      </c>
    </row>
    <row r="118" spans="1:56" s="4" customFormat="1" ht="36.75" customHeight="1">
      <c r="A118" s="13" t="s">
        <v>120</v>
      </c>
      <c r="B118" s="12" t="s">
        <v>65</v>
      </c>
      <c r="C118" s="7" t="s">
        <v>9</v>
      </c>
      <c r="D118" s="25">
        <f t="shared" ref="D118:J118" si="142">SUM(D119:D135)</f>
        <v>17169.74545690868</v>
      </c>
      <c r="E118" s="25">
        <f t="shared" si="142"/>
        <v>1735.4820130193887</v>
      </c>
      <c r="F118" s="25">
        <f t="shared" si="142"/>
        <v>2268.1210550759251</v>
      </c>
      <c r="G118" s="25">
        <f t="shared" si="142"/>
        <v>4990.9474234508316</v>
      </c>
      <c r="H118" s="25">
        <f t="shared" si="142"/>
        <v>2519.83615368034</v>
      </c>
      <c r="I118" s="25">
        <f t="shared" si="142"/>
        <v>4592.8909867311804</v>
      </c>
      <c r="J118" s="25">
        <f t="shared" si="142"/>
        <v>1062.4678249510157</v>
      </c>
      <c r="M118" s="25">
        <f t="shared" ref="M118:S118" si="143">SUM(M119:M135)</f>
        <v>16767.95974262297</v>
      </c>
      <c r="N118" s="25">
        <f t="shared" si="143"/>
        <v>1358.9716196773682</v>
      </c>
      <c r="O118" s="25">
        <f t="shared" si="143"/>
        <v>2012.9580669315997</v>
      </c>
      <c r="P118" s="25">
        <f t="shared" si="143"/>
        <v>5499.2608262061904</v>
      </c>
      <c r="Q118" s="25">
        <f t="shared" si="143"/>
        <v>2373.1528688637823</v>
      </c>
      <c r="R118" s="25">
        <f t="shared" si="143"/>
        <v>4928.5573467801059</v>
      </c>
      <c r="S118" s="25">
        <f t="shared" si="143"/>
        <v>595.05901416391987</v>
      </c>
      <c r="U118" s="91">
        <f t="shared" si="72"/>
        <v>401.78571428571013</v>
      </c>
      <c r="V118" s="96">
        <f t="shared" si="73"/>
        <v>2.3400796202487806E-2</v>
      </c>
      <c r="W118" s="15"/>
      <c r="X118" s="15"/>
      <c r="Y118" s="15"/>
      <c r="Z118" s="15"/>
      <c r="AA118" s="15"/>
      <c r="AT118" s="101" t="e">
        <f>SUM(AT119:AT135)</f>
        <v>#REF!</v>
      </c>
      <c r="AU118" s="92" t="e">
        <f t="shared" si="122"/>
        <v>#REF!</v>
      </c>
      <c r="AV118" s="97" t="e">
        <f t="shared" si="123"/>
        <v>#REF!</v>
      </c>
      <c r="AX118" s="25" t="e">
        <f t="shared" ref="AX118:BD118" si="144">SUM(AX119:AX135)</f>
        <v>#REF!</v>
      </c>
      <c r="AY118" s="25" t="e">
        <f t="shared" si="144"/>
        <v>#REF!</v>
      </c>
      <c r="AZ118" s="25" t="e">
        <f t="shared" si="144"/>
        <v>#REF!</v>
      </c>
      <c r="BA118" s="25" t="e">
        <f t="shared" si="144"/>
        <v>#REF!</v>
      </c>
      <c r="BB118" s="25" t="e">
        <f t="shared" si="144"/>
        <v>#REF!</v>
      </c>
      <c r="BC118" s="25" t="e">
        <f t="shared" si="144"/>
        <v>#REF!</v>
      </c>
      <c r="BD118" s="25" t="e">
        <f t="shared" si="144"/>
        <v>#REF!</v>
      </c>
    </row>
    <row r="119" spans="1:56" s="4" customFormat="1" ht="27" customHeight="1" outlineLevel="1">
      <c r="A119" s="13"/>
      <c r="B119" s="18" t="s">
        <v>98</v>
      </c>
      <c r="C119" s="7" t="s">
        <v>9</v>
      </c>
      <c r="D119" s="28">
        <f t="shared" si="138"/>
        <v>1089.1199999999999</v>
      </c>
      <c r="E119" s="28">
        <v>102.07012568727171</v>
      </c>
      <c r="F119" s="28">
        <v>140.75184632835436</v>
      </c>
      <c r="G119" s="28">
        <v>320.81437559883398</v>
      </c>
      <c r="H119" s="29">
        <v>158.78782345883488</v>
      </c>
      <c r="I119" s="29">
        <v>294.10068006302345</v>
      </c>
      <c r="J119" s="29">
        <v>72.595148863681501</v>
      </c>
      <c r="M119" s="28">
        <v>1089.1200000000001</v>
      </c>
      <c r="N119" s="28">
        <f t="shared" ref="N119:S119" si="145">$M$119*N91</f>
        <v>79.568398677907112</v>
      </c>
      <c r="O119" s="28">
        <f t="shared" si="145"/>
        <v>129.18863020506714</v>
      </c>
      <c r="P119" s="28">
        <f t="shared" si="145"/>
        <v>360.1696787129743</v>
      </c>
      <c r="Q119" s="28">
        <f t="shared" si="145"/>
        <v>152.32486474171054</v>
      </c>
      <c r="R119" s="28">
        <f t="shared" si="145"/>
        <v>325.90181948994996</v>
      </c>
      <c r="S119" s="28">
        <f t="shared" si="145"/>
        <v>41.966608172391005</v>
      </c>
      <c r="U119" s="91">
        <f t="shared" si="72"/>
        <v>0</v>
      </c>
      <c r="V119" s="96">
        <f t="shared" si="73"/>
        <v>0</v>
      </c>
      <c r="W119" s="15"/>
      <c r="X119" s="15"/>
      <c r="Y119" s="15"/>
      <c r="Z119" s="15"/>
      <c r="AA119" s="15"/>
      <c r="AT119" s="93" t="e">
        <f>#REF!</f>
        <v>#REF!</v>
      </c>
      <c r="AU119" s="93" t="e">
        <f t="shared" si="122"/>
        <v>#REF!</v>
      </c>
      <c r="AV119" s="97" t="e">
        <f t="shared" si="123"/>
        <v>#REF!</v>
      </c>
      <c r="AX119" s="28" t="e">
        <f t="shared" si="140"/>
        <v>#REF!</v>
      </c>
      <c r="AY119" s="28" t="e">
        <f>#REF!</f>
        <v>#REF!</v>
      </c>
      <c r="AZ119" s="28" t="e">
        <f>#REF!</f>
        <v>#REF!</v>
      </c>
      <c r="BA119" s="28" t="e">
        <f>#REF!</f>
        <v>#REF!</v>
      </c>
      <c r="BB119" s="28" t="e">
        <f>#REF!</f>
        <v>#REF!</v>
      </c>
      <c r="BC119" s="28" t="e">
        <f>#REF!</f>
        <v>#REF!</v>
      </c>
      <c r="BD119" s="28" t="e">
        <f>#REF!</f>
        <v>#REF!</v>
      </c>
    </row>
    <row r="120" spans="1:56" s="4" customFormat="1" ht="37.5" outlineLevel="1">
      <c r="A120" s="13"/>
      <c r="B120" s="18" t="s">
        <v>99</v>
      </c>
      <c r="C120" s="7" t="s">
        <v>9</v>
      </c>
      <c r="D120" s="28">
        <f t="shared" si="138"/>
        <v>158</v>
      </c>
      <c r="E120" s="28">
        <v>14.807440739853213</v>
      </c>
      <c r="F120" s="28">
        <v>20.419046312509174</v>
      </c>
      <c r="G120" s="28">
        <v>46.540942545004931</v>
      </c>
      <c r="H120" s="29">
        <v>23.035548063111424</v>
      </c>
      <c r="I120" s="29">
        <v>42.665553336599928</v>
      </c>
      <c r="J120" s="29">
        <v>10.531469002921328</v>
      </c>
      <c r="M120" s="28">
        <v>158.00000000000003</v>
      </c>
      <c r="N120" s="28">
        <f>$M$120*N91</f>
        <v>11.543087071313835</v>
      </c>
      <c r="O120" s="28">
        <f>$M$120*O91</f>
        <v>18.741556093360337</v>
      </c>
      <c r="P120" s="28">
        <f>$M$120*P91</f>
        <v>52.250265569129155</v>
      </c>
      <c r="Q120" s="28">
        <f>$M$120*Q91</f>
        <v>22.097958562132977</v>
      </c>
      <c r="R120" s="28">
        <f>$M$120*R91</f>
        <v>47.278984390528223</v>
      </c>
      <c r="S120" s="28">
        <f>$D$120*S91</f>
        <v>6.0881483135354948</v>
      </c>
      <c r="U120" s="91">
        <f t="shared" si="72"/>
        <v>0</v>
      </c>
      <c r="V120" s="96">
        <f t="shared" si="73"/>
        <v>0</v>
      </c>
      <c r="W120" s="15"/>
      <c r="X120" s="15"/>
      <c r="Y120" s="15"/>
      <c r="Z120" s="15"/>
      <c r="AA120" s="15"/>
      <c r="AT120" s="93" t="e">
        <f>#REF!</f>
        <v>#REF!</v>
      </c>
      <c r="AU120" s="93" t="e">
        <f t="shared" si="122"/>
        <v>#REF!</v>
      </c>
      <c r="AV120" s="97" t="e">
        <f t="shared" si="123"/>
        <v>#REF!</v>
      </c>
      <c r="AX120" s="28" t="e">
        <f t="shared" si="140"/>
        <v>#REF!</v>
      </c>
      <c r="AY120" s="28" t="e">
        <f>#REF!</f>
        <v>#REF!</v>
      </c>
      <c r="AZ120" s="28" t="e">
        <f>#REF!</f>
        <v>#REF!</v>
      </c>
      <c r="BA120" s="28" t="e">
        <f>#REF!</f>
        <v>#REF!</v>
      </c>
      <c r="BB120" s="28" t="e">
        <f>#REF!</f>
        <v>#REF!</v>
      </c>
      <c r="BC120" s="28" t="e">
        <f>#REF!</f>
        <v>#REF!</v>
      </c>
      <c r="BD120" s="28" t="e">
        <f>#REF!</f>
        <v>#REF!</v>
      </c>
    </row>
    <row r="121" spans="1:56" s="4" customFormat="1" ht="27" customHeight="1" outlineLevel="1">
      <c r="A121" s="13"/>
      <c r="B121" s="18" t="s">
        <v>162</v>
      </c>
      <c r="C121" s="7" t="s">
        <v>9</v>
      </c>
      <c r="D121" s="28">
        <f t="shared" si="138"/>
        <v>463.51600000000002</v>
      </c>
      <c r="E121" s="28">
        <v>43.439782923884827</v>
      </c>
      <c r="F121" s="28">
        <v>59.902244750563305</v>
      </c>
      <c r="G121" s="28">
        <v>136.53462990310447</v>
      </c>
      <c r="H121" s="29">
        <v>67.578133519121238</v>
      </c>
      <c r="I121" s="29">
        <v>125.16561152131298</v>
      </c>
      <c r="J121" s="29">
        <v>30.895597382013182</v>
      </c>
      <c r="M121" s="28">
        <v>463.51600000000008</v>
      </c>
      <c r="N121" s="28">
        <f t="shared" ref="N121:S121" si="146">$M$121*N91</f>
        <v>33.863326246500655</v>
      </c>
      <c r="O121" s="28">
        <f t="shared" si="146"/>
        <v>54.981083001076016</v>
      </c>
      <c r="P121" s="28">
        <f t="shared" si="146"/>
        <v>153.28376009835739</v>
      </c>
      <c r="Q121" s="28">
        <f t="shared" si="146"/>
        <v>64.827578233453352</v>
      </c>
      <c r="R121" s="28">
        <f t="shared" si="146"/>
        <v>138.69978309341823</v>
      </c>
      <c r="S121" s="28">
        <f t="shared" si="146"/>
        <v>17.860469327194423</v>
      </c>
      <c r="U121" s="91">
        <f t="shared" si="72"/>
        <v>0</v>
      </c>
      <c r="V121" s="96">
        <f t="shared" si="73"/>
        <v>0</v>
      </c>
      <c r="W121" s="15"/>
      <c r="X121" s="15"/>
      <c r="Y121" s="15"/>
      <c r="Z121" s="15"/>
      <c r="AA121" s="15"/>
      <c r="AT121" s="93" t="e">
        <f>#REF!</f>
        <v>#REF!</v>
      </c>
      <c r="AU121" s="93" t="e">
        <f t="shared" si="122"/>
        <v>#REF!</v>
      </c>
      <c r="AV121" s="97" t="e">
        <f t="shared" si="123"/>
        <v>#REF!</v>
      </c>
      <c r="AX121" s="28" t="e">
        <f t="shared" si="140"/>
        <v>#REF!</v>
      </c>
      <c r="AY121" s="28" t="e">
        <f>#REF!</f>
        <v>#REF!</v>
      </c>
      <c r="AZ121" s="28" t="e">
        <f>#REF!</f>
        <v>#REF!</v>
      </c>
      <c r="BA121" s="28" t="e">
        <f>#REF!</f>
        <v>#REF!</v>
      </c>
      <c r="BB121" s="28" t="e">
        <f>#REF!</f>
        <v>#REF!</v>
      </c>
      <c r="BC121" s="28" t="e">
        <f>#REF!</f>
        <v>#REF!</v>
      </c>
      <c r="BD121" s="28" t="e">
        <f>#REF!</f>
        <v>#REF!</v>
      </c>
    </row>
    <row r="122" spans="1:56" s="4" customFormat="1" ht="36.75" customHeight="1" outlineLevel="1">
      <c r="A122" s="13"/>
      <c r="B122" s="18" t="s">
        <v>100</v>
      </c>
      <c r="C122" s="7" t="s">
        <v>9</v>
      </c>
      <c r="D122" s="28">
        <f t="shared" si="138"/>
        <v>2749.6089285714284</v>
      </c>
      <c r="E122" s="28">
        <v>257.68779283286528</v>
      </c>
      <c r="F122" s="28">
        <v>355.34425350499191</v>
      </c>
      <c r="G122" s="28">
        <v>809.93285548022413</v>
      </c>
      <c r="H122" s="29">
        <v>400.87815587890788</v>
      </c>
      <c r="I122" s="29">
        <v>742.49105314402311</v>
      </c>
      <c r="J122" s="29">
        <v>183.27481773041598</v>
      </c>
      <c r="M122" s="28">
        <v>2749.6089285714288</v>
      </c>
      <c r="N122" s="28">
        <f t="shared" ref="N122:S122" si="147">$M$122*N91</f>
        <v>200.87959034532875</v>
      </c>
      <c r="O122" s="28">
        <f t="shared" si="147"/>
        <v>326.1515820862395</v>
      </c>
      <c r="P122" s="28">
        <f t="shared" si="147"/>
        <v>909.28985271585952</v>
      </c>
      <c r="Q122" s="28">
        <f t="shared" si="147"/>
        <v>384.5616719344448</v>
      </c>
      <c r="R122" s="28">
        <f t="shared" si="147"/>
        <v>822.77669375940241</v>
      </c>
      <c r="S122" s="28">
        <f t="shared" si="147"/>
        <v>105.94953773015368</v>
      </c>
      <c r="U122" s="91">
        <f t="shared" si="72"/>
        <v>0</v>
      </c>
      <c r="V122" s="96">
        <f t="shared" si="73"/>
        <v>0</v>
      </c>
      <c r="W122" s="15"/>
      <c r="X122" s="15"/>
      <c r="Y122" s="15"/>
      <c r="Z122" s="15"/>
      <c r="AA122" s="15"/>
      <c r="AT122" s="93" t="e">
        <f>#REF!</f>
        <v>#REF!</v>
      </c>
      <c r="AU122" s="93" t="e">
        <f t="shared" si="122"/>
        <v>#REF!</v>
      </c>
      <c r="AV122" s="97" t="e">
        <f t="shared" si="123"/>
        <v>#REF!</v>
      </c>
      <c r="AX122" s="28" t="e">
        <f t="shared" si="140"/>
        <v>#REF!</v>
      </c>
      <c r="AY122" s="28" t="e">
        <f>#REF!</f>
        <v>#REF!</v>
      </c>
      <c r="AZ122" s="28" t="e">
        <f>#REF!</f>
        <v>#REF!</v>
      </c>
      <c r="BA122" s="28" t="e">
        <f>#REF!</f>
        <v>#REF!</v>
      </c>
      <c r="BB122" s="28" t="e">
        <f>#REF!</f>
        <v>#REF!</v>
      </c>
      <c r="BC122" s="28" t="e">
        <f>#REF!</f>
        <v>#REF!</v>
      </c>
      <c r="BD122" s="28" t="e">
        <f>#REF!</f>
        <v>#REF!</v>
      </c>
    </row>
    <row r="123" spans="1:56" s="4" customFormat="1" ht="27" customHeight="1" outlineLevel="1">
      <c r="A123" s="13"/>
      <c r="B123" s="18" t="s">
        <v>95</v>
      </c>
      <c r="C123" s="7" t="s">
        <v>9</v>
      </c>
      <c r="D123" s="28">
        <f t="shared" si="138"/>
        <v>69.40000000000002</v>
      </c>
      <c r="E123" s="28">
        <v>11.158977475419155</v>
      </c>
      <c r="F123" s="28">
        <v>10.781153548771671</v>
      </c>
      <c r="G123" s="28">
        <v>17.988512575819136</v>
      </c>
      <c r="H123" s="29">
        <v>10.728887812833047</v>
      </c>
      <c r="I123" s="29">
        <v>17.136443228265996</v>
      </c>
      <c r="J123" s="29">
        <v>1.6060253588910109</v>
      </c>
      <c r="M123" s="28">
        <v>69.400000000000006</v>
      </c>
      <c r="N123" s="28">
        <f t="shared" ref="N123:S123" si="148">$M$123*N92</f>
        <v>10.004288125331358</v>
      </c>
      <c r="O123" s="28">
        <f t="shared" si="148"/>
        <v>9.1155920949543976</v>
      </c>
      <c r="P123" s="28">
        <f t="shared" si="148"/>
        <v>21.26082170690783</v>
      </c>
      <c r="Q123" s="28">
        <f t="shared" si="148"/>
        <v>10.736915921057626</v>
      </c>
      <c r="R123" s="28">
        <f t="shared" si="148"/>
        <v>17.488859895442936</v>
      </c>
      <c r="S123" s="28">
        <f t="shared" si="148"/>
        <v>0.79352225630585216</v>
      </c>
      <c r="U123" s="91">
        <f t="shared" si="72"/>
        <v>0</v>
      </c>
      <c r="V123" s="96">
        <f t="shared" si="73"/>
        <v>0</v>
      </c>
      <c r="W123" s="15"/>
      <c r="X123" s="15"/>
      <c r="Y123" s="15"/>
      <c r="Z123" s="15"/>
      <c r="AA123" s="15"/>
      <c r="AT123" s="93" t="e">
        <f>#REF!</f>
        <v>#REF!</v>
      </c>
      <c r="AU123" s="93" t="e">
        <f t="shared" si="122"/>
        <v>#REF!</v>
      </c>
      <c r="AV123" s="97" t="e">
        <f t="shared" si="123"/>
        <v>#REF!</v>
      </c>
      <c r="AX123" s="28" t="e">
        <f t="shared" si="140"/>
        <v>#REF!</v>
      </c>
      <c r="AY123" s="28" t="e">
        <f>#REF!</f>
        <v>#REF!</v>
      </c>
      <c r="AZ123" s="28" t="e">
        <f>#REF!</f>
        <v>#REF!</v>
      </c>
      <c r="BA123" s="28" t="e">
        <f>#REF!</f>
        <v>#REF!</v>
      </c>
      <c r="BB123" s="28" t="e">
        <f>#REF!</f>
        <v>#REF!</v>
      </c>
      <c r="BC123" s="28" t="e">
        <f>#REF!</f>
        <v>#REF!</v>
      </c>
      <c r="BD123" s="28" t="e">
        <f>#REF!</f>
        <v>#REF!</v>
      </c>
    </row>
    <row r="124" spans="1:56" s="4" customFormat="1" ht="27" customHeight="1" outlineLevel="1">
      <c r="A124" s="13"/>
      <c r="B124" s="18" t="s">
        <v>121</v>
      </c>
      <c r="C124" s="7" t="s">
        <v>9</v>
      </c>
      <c r="D124" s="28">
        <f t="shared" si="138"/>
        <v>1457.6375</v>
      </c>
      <c r="E124" s="28">
        <v>136.60684114834044</v>
      </c>
      <c r="F124" s="28">
        <v>188.37701024905121</v>
      </c>
      <c r="G124" s="28">
        <v>429.36596923382677</v>
      </c>
      <c r="H124" s="29">
        <v>212.51568791040239</v>
      </c>
      <c r="I124" s="29">
        <v>393.61335760555806</v>
      </c>
      <c r="J124" s="29">
        <v>97.15863385282114</v>
      </c>
      <c r="M124" s="28">
        <v>1457.6375000000003</v>
      </c>
      <c r="N124" s="28">
        <f t="shared" ref="N124:S124" si="149">$M$124*N91</f>
        <v>106.49137076526722</v>
      </c>
      <c r="O124" s="28">
        <f t="shared" si="149"/>
        <v>172.90123398756666</v>
      </c>
      <c r="P124" s="28">
        <f t="shared" si="149"/>
        <v>482.03763594000947</v>
      </c>
      <c r="Q124" s="28">
        <f t="shared" si="149"/>
        <v>203.86590552918423</v>
      </c>
      <c r="R124" s="28">
        <f t="shared" si="149"/>
        <v>436.17481398448467</v>
      </c>
      <c r="S124" s="28">
        <f t="shared" si="149"/>
        <v>56.166539793487949</v>
      </c>
      <c r="U124" s="91">
        <f t="shared" si="72"/>
        <v>0</v>
      </c>
      <c r="V124" s="96">
        <f t="shared" si="73"/>
        <v>0</v>
      </c>
      <c r="W124" s="15"/>
      <c r="X124" s="15"/>
      <c r="Y124" s="15"/>
      <c r="Z124" s="15"/>
      <c r="AA124" s="15"/>
      <c r="AT124" s="93" t="e">
        <f>#REF!</f>
        <v>#REF!</v>
      </c>
      <c r="AU124" s="93" t="e">
        <f t="shared" si="122"/>
        <v>#REF!</v>
      </c>
      <c r="AV124" s="97" t="e">
        <f t="shared" si="123"/>
        <v>#REF!</v>
      </c>
      <c r="AX124" s="28" t="e">
        <f t="shared" si="140"/>
        <v>#REF!</v>
      </c>
      <c r="AY124" s="28" t="e">
        <f>#REF!</f>
        <v>#REF!</v>
      </c>
      <c r="AZ124" s="28" t="e">
        <f>#REF!</f>
        <v>#REF!</v>
      </c>
      <c r="BA124" s="28" t="e">
        <f>#REF!</f>
        <v>#REF!</v>
      </c>
      <c r="BB124" s="28" t="e">
        <f>#REF!</f>
        <v>#REF!</v>
      </c>
      <c r="BC124" s="28" t="e">
        <f>#REF!</f>
        <v>#REF!</v>
      </c>
      <c r="BD124" s="28" t="e">
        <f>#REF!</f>
        <v>#REF!</v>
      </c>
    </row>
    <row r="125" spans="1:56" s="4" customFormat="1" ht="27" customHeight="1" outlineLevel="1">
      <c r="A125" s="13"/>
      <c r="B125" s="18" t="s">
        <v>101</v>
      </c>
      <c r="C125" s="7" t="s">
        <v>9</v>
      </c>
      <c r="D125" s="28">
        <f t="shared" si="138"/>
        <v>438.87040000000002</v>
      </c>
      <c r="E125" s="28">
        <v>41.130047091618202</v>
      </c>
      <c r="F125" s="28">
        <v>56.717183688540672</v>
      </c>
      <c r="G125" s="28">
        <v>129.2749498171097</v>
      </c>
      <c r="H125" s="29">
        <v>63.984937928335043</v>
      </c>
      <c r="I125" s="29">
        <v>118.51043328515787</v>
      </c>
      <c r="J125" s="29">
        <v>29.252848189238513</v>
      </c>
      <c r="M125" s="28">
        <v>438.87040000000002</v>
      </c>
      <c r="N125" s="28">
        <f t="shared" ref="N125:S125" si="150">$M$125*N91</f>
        <v>32.062780001407155</v>
      </c>
      <c r="O125" s="28">
        <f t="shared" si="150"/>
        <v>52.057684932376503</v>
      </c>
      <c r="P125" s="28">
        <f t="shared" si="150"/>
        <v>145.13351234449328</v>
      </c>
      <c r="Q125" s="28">
        <f t="shared" si="150"/>
        <v>61.380632362953946</v>
      </c>
      <c r="R125" s="28">
        <f t="shared" si="150"/>
        <v>131.32497969028401</v>
      </c>
      <c r="S125" s="28">
        <f t="shared" si="150"/>
        <v>16.910810668485112</v>
      </c>
      <c r="U125" s="91">
        <f t="shared" si="72"/>
        <v>0</v>
      </c>
      <c r="V125" s="96">
        <f t="shared" si="73"/>
        <v>0</v>
      </c>
      <c r="W125" s="15"/>
      <c r="X125" s="15"/>
      <c r="Y125" s="15"/>
      <c r="Z125" s="15"/>
      <c r="AA125" s="15"/>
      <c r="AT125" s="93" t="e">
        <f>#REF!</f>
        <v>#REF!</v>
      </c>
      <c r="AU125" s="93" t="e">
        <f t="shared" si="122"/>
        <v>#REF!</v>
      </c>
      <c r="AV125" s="97" t="e">
        <f t="shared" si="123"/>
        <v>#REF!</v>
      </c>
      <c r="AX125" s="28" t="e">
        <f t="shared" si="140"/>
        <v>#REF!</v>
      </c>
      <c r="AY125" s="28" t="e">
        <f>#REF!</f>
        <v>#REF!</v>
      </c>
      <c r="AZ125" s="28" t="e">
        <f>#REF!</f>
        <v>#REF!</v>
      </c>
      <c r="BA125" s="28" t="e">
        <f>#REF!</f>
        <v>#REF!</v>
      </c>
      <c r="BB125" s="28" t="e">
        <f>#REF!</f>
        <v>#REF!</v>
      </c>
      <c r="BC125" s="28" t="e">
        <f>#REF!</f>
        <v>#REF!</v>
      </c>
      <c r="BD125" s="28" t="e">
        <f>#REF!</f>
        <v>#REF!</v>
      </c>
    </row>
    <row r="126" spans="1:56" s="4" customFormat="1" ht="27" customHeight="1" outlineLevel="1">
      <c r="A126" s="13"/>
      <c r="B126" s="18" t="s">
        <v>102</v>
      </c>
      <c r="C126" s="7" t="s">
        <v>9</v>
      </c>
      <c r="D126" s="28">
        <f t="shared" si="138"/>
        <v>1899.8759999999997</v>
      </c>
      <c r="E126" s="28">
        <v>178.05253976626179</v>
      </c>
      <c r="F126" s="28">
        <v>245.52946855711818</v>
      </c>
      <c r="G126" s="28">
        <v>559.63303644704922</v>
      </c>
      <c r="H126" s="29">
        <v>276.99167665792328</v>
      </c>
      <c r="I126" s="29">
        <v>513.03329627168421</v>
      </c>
      <c r="J126" s="29">
        <v>126.63598229996303</v>
      </c>
      <c r="M126" s="28">
        <v>1899.876</v>
      </c>
      <c r="N126" s="28">
        <f t="shared" ref="N126:S126" si="151">$M$126*N91</f>
        <v>138.80021577657874</v>
      </c>
      <c r="O126" s="28">
        <f t="shared" si="151"/>
        <v>225.3584343318295</v>
      </c>
      <c r="P126" s="28">
        <f t="shared" si="151"/>
        <v>628.28497182541014</v>
      </c>
      <c r="Q126" s="28">
        <f t="shared" si="151"/>
        <v>265.71760203285407</v>
      </c>
      <c r="R126" s="28">
        <f t="shared" si="151"/>
        <v>568.50764397429862</v>
      </c>
      <c r="S126" s="28">
        <f t="shared" si="151"/>
        <v>73.207132059028865</v>
      </c>
      <c r="U126" s="91">
        <f t="shared" si="72"/>
        <v>0</v>
      </c>
      <c r="V126" s="96">
        <f t="shared" si="73"/>
        <v>0</v>
      </c>
      <c r="W126" s="15"/>
      <c r="X126" s="15"/>
      <c r="Y126" s="15"/>
      <c r="Z126" s="15"/>
      <c r="AA126" s="15"/>
      <c r="AT126" s="93" t="e">
        <f>#REF!</f>
        <v>#REF!</v>
      </c>
      <c r="AU126" s="93" t="e">
        <f t="shared" si="122"/>
        <v>#REF!</v>
      </c>
      <c r="AV126" s="97" t="e">
        <f t="shared" si="123"/>
        <v>#REF!</v>
      </c>
      <c r="AX126" s="28" t="e">
        <f t="shared" si="140"/>
        <v>#REF!</v>
      </c>
      <c r="AY126" s="28" t="e">
        <f>#REF!</f>
        <v>#REF!</v>
      </c>
      <c r="AZ126" s="28" t="e">
        <f>#REF!</f>
        <v>#REF!</v>
      </c>
      <c r="BA126" s="28" t="e">
        <f>#REF!</f>
        <v>#REF!</v>
      </c>
      <c r="BB126" s="28" t="e">
        <f>#REF!</f>
        <v>#REF!</v>
      </c>
      <c r="BC126" s="28" t="e">
        <f>#REF!</f>
        <v>#REF!</v>
      </c>
      <c r="BD126" s="28" t="e">
        <f>#REF!</f>
        <v>#REF!</v>
      </c>
    </row>
    <row r="127" spans="1:56" s="4" customFormat="1" ht="27" customHeight="1" outlineLevel="1">
      <c r="A127" s="13"/>
      <c r="B127" s="18" t="s">
        <v>103</v>
      </c>
      <c r="C127" s="7" t="s">
        <v>9</v>
      </c>
      <c r="D127" s="28">
        <f t="shared" si="138"/>
        <v>6428.5714285714266</v>
      </c>
      <c r="E127" s="28">
        <v>602.47272449673994</v>
      </c>
      <c r="F127" s="28">
        <v>830.79302356502035</v>
      </c>
      <c r="G127" s="28">
        <v>1893.6188196430571</v>
      </c>
      <c r="H127" s="29">
        <v>937.25105139241748</v>
      </c>
      <c r="I127" s="29">
        <v>1735.9402352142822</v>
      </c>
      <c r="J127" s="29">
        <v>428.49557425990929</v>
      </c>
      <c r="M127" s="28">
        <v>6026.7857142857138</v>
      </c>
      <c r="N127" s="28">
        <f t="shared" ref="N127:S127" si="152">$M$127*N91</f>
        <v>440.30197633006537</v>
      </c>
      <c r="O127" s="28">
        <f t="shared" si="152"/>
        <v>714.8819147275218</v>
      </c>
      <c r="P127" s="28">
        <f t="shared" si="152"/>
        <v>1993.0452791117864</v>
      </c>
      <c r="Q127" s="28">
        <f t="shared" si="152"/>
        <v>842.90924669076378</v>
      </c>
      <c r="R127" s="28">
        <f t="shared" si="152"/>
        <v>1803.4196690555234</v>
      </c>
      <c r="S127" s="28">
        <f t="shared" si="152"/>
        <v>232.22762837005303</v>
      </c>
      <c r="U127" s="91">
        <f t="shared" si="72"/>
        <v>401.78571428571286</v>
      </c>
      <c r="V127" s="96">
        <f t="shared" si="73"/>
        <v>6.2499999999999778E-2</v>
      </c>
      <c r="W127" s="15"/>
      <c r="X127" s="15"/>
      <c r="Y127" s="15"/>
      <c r="Z127" s="15"/>
      <c r="AA127" s="15"/>
      <c r="AT127" s="93" t="e">
        <f>#REF!</f>
        <v>#REF!</v>
      </c>
      <c r="AU127" s="93" t="e">
        <f t="shared" si="122"/>
        <v>#REF!</v>
      </c>
      <c r="AV127" s="97" t="e">
        <f t="shared" si="123"/>
        <v>#REF!</v>
      </c>
      <c r="AX127" s="28" t="e">
        <f t="shared" si="140"/>
        <v>#REF!</v>
      </c>
      <c r="AY127" s="28" t="e">
        <f>#REF!</f>
        <v>#REF!</v>
      </c>
      <c r="AZ127" s="28" t="e">
        <f>#REF!</f>
        <v>#REF!</v>
      </c>
      <c r="BA127" s="28" t="e">
        <f>#REF!</f>
        <v>#REF!</v>
      </c>
      <c r="BB127" s="28" t="e">
        <f>#REF!</f>
        <v>#REF!</v>
      </c>
      <c r="BC127" s="28" t="e">
        <f>#REF!</f>
        <v>#REF!</v>
      </c>
      <c r="BD127" s="28" t="e">
        <f>#REF!</f>
        <v>#REF!</v>
      </c>
    </row>
    <row r="128" spans="1:56" s="4" customFormat="1" ht="27" customHeight="1" outlineLevel="1">
      <c r="A128" s="13"/>
      <c r="B128" s="18" t="s">
        <v>106</v>
      </c>
      <c r="C128" s="7" t="s">
        <v>9</v>
      </c>
      <c r="D128" s="28">
        <f t="shared" si="138"/>
        <v>281.31712707182322</v>
      </c>
      <c r="E128" s="28">
        <v>26.364472710264423</v>
      </c>
      <c r="F128" s="28">
        <v>36.355869912541685</v>
      </c>
      <c r="G128" s="28">
        <v>82.865596506174526</v>
      </c>
      <c r="H128" s="29">
        <v>41.014520263540554</v>
      </c>
      <c r="I128" s="29">
        <v>75.965511959379327</v>
      </c>
      <c r="J128" s="29">
        <v>18.751155719922703</v>
      </c>
      <c r="M128" s="28">
        <v>281.31712707182328</v>
      </c>
      <c r="N128" s="28">
        <f t="shared" ref="N128:S128" si="153">$M$128*N91</f>
        <v>20.552329698999458</v>
      </c>
      <c r="O128" s="28">
        <f t="shared" si="153"/>
        <v>33.369118462275651</v>
      </c>
      <c r="P128" s="28">
        <f t="shared" si="153"/>
        <v>93.030978472450741</v>
      </c>
      <c r="Q128" s="28">
        <f t="shared" si="153"/>
        <v>39.345153271211693</v>
      </c>
      <c r="R128" s="28">
        <f t="shared" si="153"/>
        <v>84.179671263398575</v>
      </c>
      <c r="S128" s="28">
        <f t="shared" si="153"/>
        <v>10.83987590348716</v>
      </c>
      <c r="U128" s="91">
        <f t="shared" si="72"/>
        <v>0</v>
      </c>
      <c r="V128" s="96">
        <f t="shared" si="73"/>
        <v>0</v>
      </c>
      <c r="W128" s="15"/>
      <c r="X128" s="15"/>
      <c r="Y128" s="15"/>
      <c r="Z128" s="15"/>
      <c r="AA128" s="15"/>
      <c r="AT128" s="93" t="e">
        <f>#REF!</f>
        <v>#REF!</v>
      </c>
      <c r="AU128" s="93" t="e">
        <f t="shared" si="122"/>
        <v>#REF!</v>
      </c>
      <c r="AV128" s="97" t="e">
        <f t="shared" si="123"/>
        <v>#REF!</v>
      </c>
      <c r="AX128" s="28" t="e">
        <f t="shared" si="140"/>
        <v>#REF!</v>
      </c>
      <c r="AY128" s="28" t="e">
        <f>#REF!</f>
        <v>#REF!</v>
      </c>
      <c r="AZ128" s="28" t="e">
        <f>#REF!</f>
        <v>#REF!</v>
      </c>
      <c r="BA128" s="28" t="e">
        <f>#REF!</f>
        <v>#REF!</v>
      </c>
      <c r="BB128" s="28" t="e">
        <f>#REF!</f>
        <v>#REF!</v>
      </c>
      <c r="BC128" s="28" t="e">
        <f>#REF!</f>
        <v>#REF!</v>
      </c>
      <c r="BD128" s="28" t="e">
        <f>#REF!</f>
        <v>#REF!</v>
      </c>
    </row>
    <row r="129" spans="1:56" s="4" customFormat="1" ht="27" customHeight="1">
      <c r="A129" s="13"/>
      <c r="B129" s="18" t="s">
        <v>163</v>
      </c>
      <c r="C129" s="7" t="s">
        <v>9</v>
      </c>
      <c r="D129" s="28">
        <f t="shared" si="138"/>
        <v>15.722651933701655</v>
      </c>
      <c r="E129" s="28">
        <v>1.4734951695039609</v>
      </c>
      <c r="F129" s="28">
        <v>2.0319085948716205</v>
      </c>
      <c r="G129" s="28">
        <v>4.6313103816551866</v>
      </c>
      <c r="H129" s="29">
        <v>2.2922778753060524</v>
      </c>
      <c r="I129" s="29">
        <v>4.2456686371528107</v>
      </c>
      <c r="J129" s="29">
        <v>1.047991275212026</v>
      </c>
      <c r="M129" s="28">
        <v>15.722651933701661</v>
      </c>
      <c r="N129" s="28">
        <f t="shared" ref="N129:S129" si="154">$M$129*N91</f>
        <v>1.1486578497637916</v>
      </c>
      <c r="O129" s="28">
        <f t="shared" si="154"/>
        <v>1.8649807794420887</v>
      </c>
      <c r="P129" s="28">
        <f t="shared" si="154"/>
        <v>5.1994477151069223</v>
      </c>
      <c r="Q129" s="28">
        <f t="shared" si="154"/>
        <v>2.1989779172011339</v>
      </c>
      <c r="R129" s="28">
        <f t="shared" si="154"/>
        <v>4.7047532617163865</v>
      </c>
      <c r="S129" s="28">
        <f t="shared" si="154"/>
        <v>0.60583441047133768</v>
      </c>
      <c r="U129" s="91">
        <f t="shared" si="72"/>
        <v>0</v>
      </c>
      <c r="V129" s="96">
        <f t="shared" si="73"/>
        <v>0</v>
      </c>
      <c r="W129" s="15"/>
      <c r="X129" s="15"/>
      <c r="Y129" s="15"/>
      <c r="Z129" s="15"/>
      <c r="AA129" s="15"/>
      <c r="AT129" s="93" t="e">
        <f>#REF!</f>
        <v>#REF!</v>
      </c>
      <c r="AU129" s="93" t="e">
        <f t="shared" si="122"/>
        <v>#REF!</v>
      </c>
      <c r="AV129" s="97" t="e">
        <f t="shared" si="123"/>
        <v>#REF!</v>
      </c>
      <c r="AX129" s="28" t="e">
        <f t="shared" si="140"/>
        <v>#REF!</v>
      </c>
      <c r="AY129" s="28" t="e">
        <f>#REF!</f>
        <v>#REF!</v>
      </c>
      <c r="AZ129" s="28" t="e">
        <f>#REF!</f>
        <v>#REF!</v>
      </c>
      <c r="BA129" s="28" t="e">
        <f>#REF!</f>
        <v>#REF!</v>
      </c>
      <c r="BB129" s="28" t="e">
        <f>#REF!</f>
        <v>#REF!</v>
      </c>
      <c r="BC129" s="28" t="e">
        <f>#REF!</f>
        <v>#REF!</v>
      </c>
      <c r="BD129" s="28" t="e">
        <f>#REF!</f>
        <v>#REF!</v>
      </c>
    </row>
    <row r="130" spans="1:56" s="4" customFormat="1" ht="37.5" outlineLevel="1">
      <c r="A130" s="13"/>
      <c r="B130" s="18" t="s">
        <v>110</v>
      </c>
      <c r="C130" s="7" t="s">
        <v>9</v>
      </c>
      <c r="D130" s="28">
        <f t="shared" si="138"/>
        <v>1606.6637374617146</v>
      </c>
      <c r="E130" s="28">
        <v>258.33896911971215</v>
      </c>
      <c r="F130" s="28">
        <v>249.59205266308524</v>
      </c>
      <c r="G130" s="28">
        <v>416.44799490551321</v>
      </c>
      <c r="H130" s="29">
        <v>248.38206040596225</v>
      </c>
      <c r="I130" s="29">
        <v>396.72192973957243</v>
      </c>
      <c r="J130" s="29">
        <v>37.180730627869195</v>
      </c>
      <c r="M130" s="28">
        <v>1606.6637374617144</v>
      </c>
      <c r="N130" s="28">
        <f t="shared" ref="N130:S130" si="155">$M$130*N92</f>
        <v>231.60701657188369</v>
      </c>
      <c r="O130" s="28">
        <f t="shared" si="155"/>
        <v>211.03301533798111</v>
      </c>
      <c r="P130" s="28">
        <f t="shared" si="155"/>
        <v>492.20448508829503</v>
      </c>
      <c r="Q130" s="28">
        <f t="shared" si="155"/>
        <v>248.56791732764597</v>
      </c>
      <c r="R130" s="28">
        <f t="shared" si="155"/>
        <v>404.88064846623388</v>
      </c>
      <c r="S130" s="28">
        <f t="shared" si="155"/>
        <v>18.370654669674536</v>
      </c>
      <c r="U130" s="91">
        <f t="shared" si="72"/>
        <v>0</v>
      </c>
      <c r="V130" s="96">
        <f t="shared" si="73"/>
        <v>0</v>
      </c>
      <c r="W130" s="15"/>
      <c r="X130" s="15"/>
      <c r="Y130" s="15"/>
      <c r="Z130" s="15"/>
      <c r="AA130" s="15"/>
      <c r="AT130" s="93" t="e">
        <f>#REF!</f>
        <v>#REF!</v>
      </c>
      <c r="AU130" s="93" t="e">
        <f t="shared" si="122"/>
        <v>#REF!</v>
      </c>
      <c r="AV130" s="97" t="e">
        <f t="shared" si="123"/>
        <v>#REF!</v>
      </c>
      <c r="AX130" s="28" t="e">
        <f t="shared" si="140"/>
        <v>#REF!</v>
      </c>
      <c r="AY130" s="28" t="e">
        <f>#REF!</f>
        <v>#REF!</v>
      </c>
      <c r="AZ130" s="28" t="e">
        <f>#REF!</f>
        <v>#REF!</v>
      </c>
      <c r="BA130" s="28" t="e">
        <f>#REF!</f>
        <v>#REF!</v>
      </c>
      <c r="BB130" s="28" t="e">
        <f>#REF!</f>
        <v>#REF!</v>
      </c>
      <c r="BC130" s="28" t="e">
        <f>#REF!</f>
        <v>#REF!</v>
      </c>
      <c r="BD130" s="28" t="e">
        <f>#REF!</f>
        <v>#REF!</v>
      </c>
    </row>
    <row r="131" spans="1:56" s="4" customFormat="1" ht="37.5" outlineLevel="1">
      <c r="A131" s="13"/>
      <c r="B131" s="18" t="s">
        <v>164</v>
      </c>
      <c r="C131" s="7" t="s">
        <v>9</v>
      </c>
      <c r="D131" s="28">
        <f t="shared" si="138"/>
        <v>210</v>
      </c>
      <c r="E131" s="28">
        <v>19.680775666893513</v>
      </c>
      <c r="F131" s="28">
        <v>27.139238769790673</v>
      </c>
      <c r="G131" s="28">
        <v>61.858214775006552</v>
      </c>
      <c r="H131" s="29">
        <v>30.616867678818981</v>
      </c>
      <c r="I131" s="29">
        <v>56.707381016999904</v>
      </c>
      <c r="J131" s="29">
        <v>13.997522092490374</v>
      </c>
      <c r="M131" s="28">
        <v>210.00000000000003</v>
      </c>
      <c r="N131" s="28">
        <f t="shared" ref="N131:S131" si="156">$M$131*N91</f>
        <v>15.34207775301206</v>
      </c>
      <c r="O131" s="28">
        <f t="shared" si="156"/>
        <v>24.909663162061207</v>
      </c>
      <c r="P131" s="28">
        <f t="shared" si="156"/>
        <v>69.446555503272918</v>
      </c>
      <c r="Q131" s="28">
        <f t="shared" si="156"/>
        <v>29.370704418024843</v>
      </c>
      <c r="R131" s="28">
        <f t="shared" si="156"/>
        <v>62.839156468423582</v>
      </c>
      <c r="S131" s="28">
        <f t="shared" si="156"/>
        <v>8.0918426952054059</v>
      </c>
      <c r="U131" s="91">
        <f t="shared" si="72"/>
        <v>0</v>
      </c>
      <c r="V131" s="96">
        <f t="shared" si="73"/>
        <v>0</v>
      </c>
      <c r="W131" s="15"/>
      <c r="X131" s="15"/>
      <c r="Y131" s="15"/>
      <c r="Z131" s="15"/>
      <c r="AA131" s="15"/>
      <c r="AT131" s="93" t="e">
        <f>#REF!</f>
        <v>#REF!</v>
      </c>
      <c r="AU131" s="93" t="e">
        <f t="shared" si="122"/>
        <v>#REF!</v>
      </c>
      <c r="AV131" s="97" t="e">
        <f t="shared" si="123"/>
        <v>#REF!</v>
      </c>
      <c r="AX131" s="28" t="e">
        <f t="shared" si="140"/>
        <v>#REF!</v>
      </c>
      <c r="AY131" s="28" t="e">
        <f>#REF!</f>
        <v>#REF!</v>
      </c>
      <c r="AZ131" s="28" t="e">
        <f>#REF!</f>
        <v>#REF!</v>
      </c>
      <c r="BA131" s="28" t="e">
        <f>#REF!</f>
        <v>#REF!</v>
      </c>
      <c r="BB131" s="28" t="e">
        <f>#REF!</f>
        <v>#REF!</v>
      </c>
      <c r="BC131" s="28" t="e">
        <f>#REF!</f>
        <v>#REF!</v>
      </c>
      <c r="BD131" s="28" t="e">
        <f>#REF!</f>
        <v>#REF!</v>
      </c>
    </row>
    <row r="132" spans="1:56" s="4" customFormat="1" outlineLevel="1">
      <c r="A132" s="142"/>
      <c r="B132" s="56" t="s">
        <v>130</v>
      </c>
      <c r="C132" s="144"/>
      <c r="D132" s="28">
        <f t="shared" si="138"/>
        <v>93.499999999999986</v>
      </c>
      <c r="E132" s="57">
        <v>8.7626310707359192</v>
      </c>
      <c r="F132" s="57">
        <v>12.083422976073464</v>
      </c>
      <c r="G132" s="57">
        <v>27.541633721252914</v>
      </c>
      <c r="H132" s="58">
        <v>13.631795847474164</v>
      </c>
      <c r="I132" s="58">
        <v>25.248286309949954</v>
      </c>
      <c r="J132" s="58">
        <v>6.2322300745135699</v>
      </c>
      <c r="M132" s="28">
        <v>93.500000000000014</v>
      </c>
      <c r="N132" s="57">
        <f t="shared" ref="N132:S132" si="157">$M$132*N91</f>
        <v>6.8308774757458455</v>
      </c>
      <c r="O132" s="57">
        <f t="shared" si="157"/>
        <v>11.090730979298682</v>
      </c>
      <c r="P132" s="57">
        <f t="shared" si="157"/>
        <v>30.920252093123899</v>
      </c>
      <c r="Q132" s="57">
        <f t="shared" si="157"/>
        <v>13.076956490882489</v>
      </c>
      <c r="R132" s="57">
        <f t="shared" si="157"/>
        <v>27.978386332369549</v>
      </c>
      <c r="S132" s="57">
        <f t="shared" si="157"/>
        <v>3.6027966285795494</v>
      </c>
      <c r="U132" s="91">
        <f t="shared" si="72"/>
        <v>0</v>
      </c>
      <c r="V132" s="96">
        <f t="shared" si="73"/>
        <v>0</v>
      </c>
      <c r="W132" s="15"/>
      <c r="X132" s="15"/>
      <c r="Y132" s="15"/>
      <c r="Z132" s="15"/>
      <c r="AA132" s="15"/>
      <c r="AT132" s="93" t="e">
        <f>#REF!</f>
        <v>#REF!</v>
      </c>
      <c r="AU132" s="93" t="e">
        <f t="shared" si="122"/>
        <v>#REF!</v>
      </c>
      <c r="AV132" s="97" t="e">
        <f t="shared" si="123"/>
        <v>#REF!</v>
      </c>
      <c r="AX132" s="28" t="e">
        <f t="shared" si="140"/>
        <v>#REF!</v>
      </c>
      <c r="AY132" s="28" t="e">
        <f>#REF!</f>
        <v>#REF!</v>
      </c>
      <c r="AZ132" s="28" t="e">
        <f>#REF!</f>
        <v>#REF!</v>
      </c>
      <c r="BA132" s="28" t="e">
        <f>#REF!</f>
        <v>#REF!</v>
      </c>
      <c r="BB132" s="28" t="e">
        <f>#REF!</f>
        <v>#REF!</v>
      </c>
      <c r="BC132" s="28" t="e">
        <f>#REF!</f>
        <v>#REF!</v>
      </c>
      <c r="BD132" s="28" t="e">
        <f>#REF!</f>
        <v>#REF!</v>
      </c>
    </row>
    <row r="133" spans="1:56" s="4" customFormat="1" ht="24" customHeight="1" outlineLevel="1">
      <c r="A133" s="142"/>
      <c r="B133" s="56" t="s">
        <v>94</v>
      </c>
      <c r="C133" s="144"/>
      <c r="D133" s="28">
        <f t="shared" si="138"/>
        <v>207.94168329858701</v>
      </c>
      <c r="E133" s="57">
        <v>33.435397120024142</v>
      </c>
      <c r="F133" s="57">
        <v>32.30333165464144</v>
      </c>
      <c r="G133" s="57">
        <v>53.898581917199301</v>
      </c>
      <c r="H133" s="58">
        <v>32.146728987351572</v>
      </c>
      <c r="I133" s="58">
        <v>51.345545398217624</v>
      </c>
      <c r="J133" s="58">
        <v>4.8120982211529402</v>
      </c>
      <c r="M133" s="28">
        <v>207.94168329858698</v>
      </c>
      <c r="N133" s="57">
        <f t="shared" ref="N133:S133" si="158">$M$133*N92</f>
        <v>29.975626988263222</v>
      </c>
      <c r="O133" s="57">
        <f t="shared" si="158"/>
        <v>27.312846750549138</v>
      </c>
      <c r="P133" s="57">
        <f t="shared" si="158"/>
        <v>63.703329309013704</v>
      </c>
      <c r="Q133" s="57">
        <f t="shared" si="158"/>
        <v>32.17078343026111</v>
      </c>
      <c r="R133" s="57">
        <f t="shared" si="158"/>
        <v>52.401483654633331</v>
      </c>
      <c r="S133" s="57">
        <f t="shared" si="158"/>
        <v>2.3776131658664501</v>
      </c>
      <c r="U133" s="91">
        <f t="shared" ref="U133:U141" si="159">D133-M133</f>
        <v>0</v>
      </c>
      <c r="V133" s="96">
        <f t="shared" ref="V133:V137" si="160">100%-(M133/D133)</f>
        <v>0</v>
      </c>
      <c r="W133" s="15"/>
      <c r="X133" s="15"/>
      <c r="Y133" s="15"/>
      <c r="Z133" s="15"/>
      <c r="AA133" s="15"/>
      <c r="AT133" s="93" t="e">
        <f>#REF!</f>
        <v>#REF!</v>
      </c>
      <c r="AU133" s="93" t="e">
        <f t="shared" si="122"/>
        <v>#REF!</v>
      </c>
      <c r="AV133" s="97" t="e">
        <f t="shared" si="123"/>
        <v>#REF!</v>
      </c>
      <c r="AX133" s="28" t="e">
        <f t="shared" si="140"/>
        <v>#REF!</v>
      </c>
      <c r="AY133" s="28" t="e">
        <f>#REF!</f>
        <v>#REF!</v>
      </c>
      <c r="AZ133" s="28" t="e">
        <f>#REF!</f>
        <v>#REF!</v>
      </c>
      <c r="BA133" s="28" t="e">
        <f>#REF!</f>
        <v>#REF!</v>
      </c>
      <c r="BB133" s="28" t="e">
        <f>#REF!</f>
        <v>#REF!</v>
      </c>
      <c r="BC133" s="28" t="e">
        <f>#REF!</f>
        <v>#REF!</v>
      </c>
      <c r="BD133" s="28" t="e">
        <f>#REF!</f>
        <v>#REF!</v>
      </c>
    </row>
    <row r="134" spans="1:56" s="4" customFormat="1" hidden="1" outlineLevel="1">
      <c r="A134" s="142"/>
      <c r="B134" s="56" t="s">
        <v>165</v>
      </c>
      <c r="C134" s="144"/>
      <c r="D134" s="28">
        <f t="shared" si="138"/>
        <v>0</v>
      </c>
      <c r="E134" s="57">
        <v>0</v>
      </c>
      <c r="F134" s="57">
        <v>0</v>
      </c>
      <c r="G134" s="57">
        <v>0</v>
      </c>
      <c r="H134" s="58">
        <v>0</v>
      </c>
      <c r="I134" s="58">
        <v>0</v>
      </c>
      <c r="J134" s="58">
        <v>0</v>
      </c>
      <c r="M134" s="28">
        <v>0</v>
      </c>
      <c r="N134" s="57">
        <v>0</v>
      </c>
      <c r="O134" s="57">
        <v>0</v>
      </c>
      <c r="P134" s="57">
        <v>0</v>
      </c>
      <c r="Q134" s="58">
        <v>0</v>
      </c>
      <c r="R134" s="58">
        <v>0</v>
      </c>
      <c r="S134" s="58">
        <v>0</v>
      </c>
      <c r="U134" s="91">
        <f t="shared" si="159"/>
        <v>0</v>
      </c>
      <c r="V134" s="96" t="e">
        <f t="shared" si="160"/>
        <v>#DIV/0!</v>
      </c>
      <c r="W134" s="15"/>
      <c r="X134" s="15"/>
      <c r="Y134" s="15"/>
      <c r="Z134" s="15"/>
      <c r="AA134" s="15"/>
      <c r="AT134" s="93" t="e">
        <f>#REF!</f>
        <v>#REF!</v>
      </c>
      <c r="AU134" s="93" t="e">
        <f t="shared" si="122"/>
        <v>#REF!</v>
      </c>
      <c r="AV134" s="97" t="e">
        <f t="shared" si="123"/>
        <v>#REF!</v>
      </c>
      <c r="AX134" s="28">
        <f t="shared" si="140"/>
        <v>0</v>
      </c>
      <c r="AY134" s="57">
        <v>0</v>
      </c>
      <c r="AZ134" s="57">
        <v>0</v>
      </c>
      <c r="BA134" s="57">
        <v>0</v>
      </c>
      <c r="BB134" s="58">
        <v>0</v>
      </c>
      <c r="BC134" s="58">
        <v>0</v>
      </c>
      <c r="BD134" s="58">
        <v>0</v>
      </c>
    </row>
    <row r="135" spans="1:56" s="4" customFormat="1" hidden="1" outlineLevel="1">
      <c r="A135" s="142"/>
      <c r="B135" s="56" t="s">
        <v>114</v>
      </c>
      <c r="C135" s="144"/>
      <c r="D135" s="28">
        <f t="shared" si="138"/>
        <v>0</v>
      </c>
      <c r="E135" s="57">
        <v>0</v>
      </c>
      <c r="F135" s="57">
        <v>0</v>
      </c>
      <c r="G135" s="57">
        <v>0</v>
      </c>
      <c r="H135" s="58">
        <v>0</v>
      </c>
      <c r="I135" s="58">
        <v>0</v>
      </c>
      <c r="J135" s="58">
        <v>0</v>
      </c>
      <c r="M135" s="28">
        <v>0</v>
      </c>
      <c r="N135" s="57">
        <v>0</v>
      </c>
      <c r="O135" s="57">
        <v>0</v>
      </c>
      <c r="P135" s="57">
        <v>0</v>
      </c>
      <c r="Q135" s="58">
        <v>0</v>
      </c>
      <c r="R135" s="58">
        <v>0</v>
      </c>
      <c r="S135" s="58">
        <v>0</v>
      </c>
      <c r="U135" s="91">
        <f t="shared" si="159"/>
        <v>0</v>
      </c>
      <c r="V135" s="96" t="e">
        <f t="shared" si="160"/>
        <v>#DIV/0!</v>
      </c>
      <c r="W135" s="15"/>
      <c r="X135" s="15"/>
      <c r="Y135" s="15"/>
      <c r="Z135" s="15"/>
      <c r="AA135" s="15"/>
      <c r="AT135" s="93" t="e">
        <f>#REF!</f>
        <v>#REF!</v>
      </c>
      <c r="AU135" s="93" t="e">
        <f t="shared" si="122"/>
        <v>#REF!</v>
      </c>
      <c r="AV135" s="97" t="e">
        <f t="shared" si="123"/>
        <v>#REF!</v>
      </c>
      <c r="AX135" s="28">
        <f t="shared" si="140"/>
        <v>0</v>
      </c>
      <c r="AY135" s="57">
        <v>0</v>
      </c>
      <c r="AZ135" s="57">
        <v>0</v>
      </c>
      <c r="BA135" s="57">
        <v>0</v>
      </c>
      <c r="BB135" s="58">
        <v>0</v>
      </c>
      <c r="BC135" s="58">
        <v>0</v>
      </c>
      <c r="BD135" s="58">
        <v>0</v>
      </c>
    </row>
    <row r="136" spans="1:56" s="4" customFormat="1" ht="37.5" customHeight="1" collapsed="1">
      <c r="A136" s="13">
        <v>7</v>
      </c>
      <c r="B136" s="12" t="s">
        <v>66</v>
      </c>
      <c r="C136" s="7" t="s">
        <v>9</v>
      </c>
      <c r="D136" s="25">
        <f>SUM(E136:J136)</f>
        <v>3060199.0170137505</v>
      </c>
      <c r="E136" s="35">
        <v>1352157.4899460636</v>
      </c>
      <c r="F136" s="35">
        <v>1029248.7883013519</v>
      </c>
      <c r="G136" s="35">
        <v>276649.60844309779</v>
      </c>
      <c r="H136" s="35">
        <v>122716.30162411959</v>
      </c>
      <c r="I136" s="35">
        <v>216287.30637027445</v>
      </c>
      <c r="J136" s="35">
        <v>63139.522328843101</v>
      </c>
      <c r="M136" s="175">
        <v>3060384.8732380001</v>
      </c>
      <c r="N136" s="35">
        <f t="shared" ref="N136:S136" si="161">$M$136*N93</f>
        <v>1355948.5552545825</v>
      </c>
      <c r="O136" s="35">
        <f t="shared" si="161"/>
        <v>958688.79884211021</v>
      </c>
      <c r="P136" s="35">
        <f t="shared" si="161"/>
        <v>629333.77941265597</v>
      </c>
      <c r="Q136" s="35">
        <f t="shared" si="161"/>
        <v>55794.227894914482</v>
      </c>
      <c r="R136" s="35">
        <f t="shared" si="161"/>
        <v>49134.318998656614</v>
      </c>
      <c r="S136" s="35">
        <f t="shared" si="161"/>
        <v>11485.192835080545</v>
      </c>
      <c r="U136" s="91">
        <f t="shared" si="159"/>
        <v>-185.85622424958274</v>
      </c>
      <c r="V136" s="96">
        <f t="shared" si="160"/>
        <v>-6.0733378194122167E-5</v>
      </c>
      <c r="W136" s="48"/>
      <c r="X136" s="48"/>
      <c r="Y136" s="48"/>
      <c r="Z136" s="15"/>
      <c r="AA136" s="15"/>
      <c r="AT136" s="92" t="e">
        <f>#REF!</f>
        <v>#REF!</v>
      </c>
      <c r="AU136" s="92" t="e">
        <f t="shared" si="122"/>
        <v>#REF!</v>
      </c>
      <c r="AV136" s="97" t="e">
        <f t="shared" si="123"/>
        <v>#REF!</v>
      </c>
      <c r="AX136" s="25" t="e">
        <f>SUM(AY136:BD136)</f>
        <v>#REF!</v>
      </c>
      <c r="AY136" s="35" t="e">
        <f>#REF!</f>
        <v>#REF!</v>
      </c>
      <c r="AZ136" s="35" t="e">
        <f>#REF!</f>
        <v>#REF!</v>
      </c>
      <c r="BA136" s="35" t="e">
        <f>#REF!</f>
        <v>#REF!</v>
      </c>
      <c r="BB136" s="35" t="e">
        <f>#REF!</f>
        <v>#REF!</v>
      </c>
      <c r="BC136" s="35" t="e">
        <f>#REF!</f>
        <v>#REF!</v>
      </c>
      <c r="BD136" s="35" t="e">
        <f>#REF!</f>
        <v>#REF!</v>
      </c>
    </row>
    <row r="137" spans="1:56" s="6" customFormat="1" ht="27.75" customHeight="1">
      <c r="A137" s="19" t="s">
        <v>67</v>
      </c>
      <c r="B137" s="17" t="s">
        <v>68</v>
      </c>
      <c r="C137" s="7" t="s">
        <v>9</v>
      </c>
      <c r="D137" s="27">
        <f t="shared" ref="D137:J137" si="162">D7+D95</f>
        <v>8437981.35264319</v>
      </c>
      <c r="E137" s="27">
        <f t="shared" si="162"/>
        <v>2822085.1497539203</v>
      </c>
      <c r="F137" s="27">
        <f t="shared" si="162"/>
        <v>2278038.9182372401</v>
      </c>
      <c r="G137" s="27">
        <f t="shared" si="162"/>
        <v>1300367.7189581101</v>
      </c>
      <c r="H137" s="27">
        <f t="shared" si="162"/>
        <v>655830.43993226986</v>
      </c>
      <c r="I137" s="27">
        <f t="shared" si="162"/>
        <v>1138873.2412249313</v>
      </c>
      <c r="J137" s="27">
        <f t="shared" si="162"/>
        <v>242785.88453671784</v>
      </c>
      <c r="M137" s="27">
        <f t="shared" ref="M137:S137" si="163">M7+M95</f>
        <v>8026666.6214488018</v>
      </c>
      <c r="N137" s="27">
        <f t="shared" si="163"/>
        <v>2568223.898588039</v>
      </c>
      <c r="O137" s="27">
        <f t="shared" si="163"/>
        <v>2047823.3742177163</v>
      </c>
      <c r="P137" s="27">
        <f t="shared" si="163"/>
        <v>1967084.8973038057</v>
      </c>
      <c r="Q137" s="27">
        <f t="shared" si="163"/>
        <v>510495.46100996167</v>
      </c>
      <c r="R137" s="27">
        <f t="shared" si="163"/>
        <v>816782.41473203129</v>
      </c>
      <c r="S137" s="27">
        <f t="shared" si="163"/>
        <v>116256.57559724881</v>
      </c>
      <c r="U137" s="91">
        <f t="shared" si="159"/>
        <v>411314.73119438812</v>
      </c>
      <c r="V137" s="96">
        <f t="shared" si="160"/>
        <v>4.8745631686605284E-2</v>
      </c>
      <c r="W137" s="203"/>
      <c r="X137" s="203"/>
      <c r="Y137" s="203"/>
      <c r="Z137" s="203"/>
      <c r="AA137" s="203"/>
      <c r="AB137" s="203"/>
      <c r="AC137" s="203"/>
      <c r="AT137" s="99" t="e">
        <f>AT7+AT95</f>
        <v>#REF!</v>
      </c>
      <c r="AU137" s="91" t="e">
        <f t="shared" si="122"/>
        <v>#REF!</v>
      </c>
      <c r="AV137" s="98" t="e">
        <f t="shared" si="123"/>
        <v>#REF!</v>
      </c>
      <c r="AX137" s="27" t="e">
        <f t="shared" ref="AX137:BD137" si="164">AX7+AX95</f>
        <v>#REF!</v>
      </c>
      <c r="AY137" s="27" t="e">
        <f t="shared" si="164"/>
        <v>#REF!</v>
      </c>
      <c r="AZ137" s="27" t="e">
        <f t="shared" si="164"/>
        <v>#REF!</v>
      </c>
      <c r="BA137" s="27" t="e">
        <f t="shared" si="164"/>
        <v>#REF!</v>
      </c>
      <c r="BB137" s="27" t="e">
        <f t="shared" si="164"/>
        <v>#REF!</v>
      </c>
      <c r="BC137" s="27" t="e">
        <f t="shared" si="164"/>
        <v>#REF!</v>
      </c>
      <c r="BD137" s="27" t="e">
        <f t="shared" si="164"/>
        <v>#REF!</v>
      </c>
    </row>
    <row r="138" spans="1:56" s="4" customFormat="1" ht="29.25" customHeight="1">
      <c r="A138" s="19" t="s">
        <v>69</v>
      </c>
      <c r="B138" s="17" t="s">
        <v>70</v>
      </c>
      <c r="C138" s="7" t="s">
        <v>9</v>
      </c>
      <c r="D138" s="27">
        <f>SUM(E138:J138)</f>
        <v>5005696.24195801</v>
      </c>
      <c r="E138" s="27">
        <v>2230430.8109019222</v>
      </c>
      <c r="F138" s="27">
        <v>1697781.6760105197</v>
      </c>
      <c r="G138" s="27">
        <v>419767.82506717928</v>
      </c>
      <c r="H138" s="27">
        <v>211706.66832901342</v>
      </c>
      <c r="I138" s="27">
        <v>367636.27436032874</v>
      </c>
      <c r="J138" s="27">
        <v>78372.987289045748</v>
      </c>
      <c r="M138" s="27">
        <f>SUM(N138:S138)</f>
        <v>3839720.8073484786</v>
      </c>
      <c r="N138" s="27">
        <f>$D$158/1000*N93</f>
        <v>1604399.355219783</v>
      </c>
      <c r="O138" s="27">
        <f>$D$158/1000*O93</f>
        <v>1134349.5922158526</v>
      </c>
      <c r="P138" s="27">
        <f>P140-P139</f>
        <v>634988.80895421095</v>
      </c>
      <c r="Q138" s="27">
        <f t="shared" ref="Q138:S138" si="165">Q140-Q139</f>
        <v>164791.51723830347</v>
      </c>
      <c r="R138" s="27">
        <f t="shared" si="165"/>
        <v>263663.09528191871</v>
      </c>
      <c r="S138" s="27">
        <f t="shared" si="165"/>
        <v>37528.438438410136</v>
      </c>
      <c r="U138" s="91">
        <f t="shared" si="159"/>
        <v>1165975.4346095314</v>
      </c>
      <c r="V138" s="95"/>
      <c r="AT138" s="99" t="e">
        <f>#REF!</f>
        <v>#REF!</v>
      </c>
      <c r="AU138" s="91" t="e">
        <f t="shared" si="122"/>
        <v>#REF!</v>
      </c>
      <c r="AV138" s="95"/>
      <c r="AX138" s="27" t="e">
        <f>SUM(AY138:BD138)</f>
        <v>#REF!</v>
      </c>
      <c r="AY138" s="27" t="e">
        <f>#REF!</f>
        <v>#REF!</v>
      </c>
      <c r="AZ138" s="27" t="e">
        <f>#REF!</f>
        <v>#REF!</v>
      </c>
      <c r="BA138" s="27" t="e">
        <f>#REF!</f>
        <v>#REF!</v>
      </c>
      <c r="BB138" s="27" t="e">
        <f>#REF!</f>
        <v>#REF!</v>
      </c>
      <c r="BC138" s="27" t="e">
        <f>#REF!</f>
        <v>#REF!</v>
      </c>
      <c r="BD138" s="27" t="e">
        <f>#REF!</f>
        <v>#REF!</v>
      </c>
    </row>
    <row r="139" spans="1:56" s="4" customFormat="1">
      <c r="A139" s="13"/>
      <c r="B139" s="12" t="s">
        <v>71</v>
      </c>
      <c r="C139" s="7" t="s">
        <v>9</v>
      </c>
      <c r="D139" s="35">
        <f>D140-D138</f>
        <v>1251424.0604895027</v>
      </c>
      <c r="E139" s="35">
        <f>E140-E138</f>
        <v>557607.70272548031</v>
      </c>
      <c r="F139" s="35">
        <f>F140-F138</f>
        <v>424445.41900262982</v>
      </c>
      <c r="G139" s="35">
        <f t="shared" ref="G139:J139" si="166">G140-G138</f>
        <v>104941.95626679482</v>
      </c>
      <c r="H139" s="35">
        <f t="shared" si="166"/>
        <v>52926.667082253349</v>
      </c>
      <c r="I139" s="35">
        <f t="shared" si="166"/>
        <v>91909.06859008217</v>
      </c>
      <c r="J139" s="35">
        <f t="shared" si="166"/>
        <v>19593.246822261441</v>
      </c>
      <c r="M139" s="35">
        <f>M140-M138</f>
        <v>959930.20183711965</v>
      </c>
      <c r="N139" s="35">
        <f>N140-N138</f>
        <v>401099.83880494582</v>
      </c>
      <c r="O139" s="35">
        <f>O140-O138</f>
        <v>283587.3980539632</v>
      </c>
      <c r="P139" s="35">
        <f>P140*0.2</f>
        <v>158747.20223855274</v>
      </c>
      <c r="Q139" s="35">
        <f t="shared" ref="Q139:S139" si="167">Q140*0.2</f>
        <v>41197.879309575867</v>
      </c>
      <c r="R139" s="35">
        <f t="shared" si="167"/>
        <v>65915.773820479677</v>
      </c>
      <c r="S139" s="35">
        <f t="shared" si="167"/>
        <v>9382.109609602534</v>
      </c>
      <c r="U139" s="91">
        <f t="shared" si="159"/>
        <v>291493.85865238309</v>
      </c>
      <c r="V139" s="95"/>
      <c r="AT139" s="102" t="e">
        <f>AT140-AT138</f>
        <v>#REF!</v>
      </c>
      <c r="AU139" s="92" t="e">
        <f t="shared" si="122"/>
        <v>#REF!</v>
      </c>
      <c r="AV139" s="95"/>
      <c r="AX139" s="35" t="e">
        <f>AX140-AX138</f>
        <v>#REF!</v>
      </c>
      <c r="AY139" s="35" t="e">
        <f>AY140-AY138</f>
        <v>#REF!</v>
      </c>
      <c r="AZ139" s="35" t="e">
        <f>AZ140-AZ138</f>
        <v>#REF!</v>
      </c>
      <c r="BA139" s="35" t="e">
        <f t="shared" ref="BA139:BD139" si="168">BA140-BA138</f>
        <v>#REF!</v>
      </c>
      <c r="BB139" s="35" t="e">
        <f t="shared" si="168"/>
        <v>#REF!</v>
      </c>
      <c r="BC139" s="35" t="e">
        <f>BC140-BC138</f>
        <v>#REF!</v>
      </c>
      <c r="BD139" s="35" t="e">
        <f t="shared" si="168"/>
        <v>#REF!</v>
      </c>
    </row>
    <row r="140" spans="1:56" s="4" customFormat="1">
      <c r="A140" s="13"/>
      <c r="B140" s="12" t="s">
        <v>72</v>
      </c>
      <c r="C140" s="7" t="s">
        <v>9</v>
      </c>
      <c r="D140" s="54">
        <f>D138/8*10</f>
        <v>6257120.3024475127</v>
      </c>
      <c r="E140" s="54">
        <f t="shared" ref="E140:J140" si="169">E138/8*10</f>
        <v>2788038.5136274025</v>
      </c>
      <c r="F140" s="54">
        <f t="shared" si="169"/>
        <v>2122227.0950131495</v>
      </c>
      <c r="G140" s="54">
        <f t="shared" si="169"/>
        <v>524709.7813339741</v>
      </c>
      <c r="H140" s="54">
        <f t="shared" si="169"/>
        <v>264633.33541126677</v>
      </c>
      <c r="I140" s="54">
        <f t="shared" si="169"/>
        <v>459545.34295041091</v>
      </c>
      <c r="J140" s="54">
        <f t="shared" si="169"/>
        <v>97966.234111307189</v>
      </c>
      <c r="M140" s="238">
        <f>M138/8*10</f>
        <v>4799651.0091855982</v>
      </c>
      <c r="N140" s="238">
        <f t="shared" ref="N140:O140" si="170">N138/8*10</f>
        <v>2005499.1940247288</v>
      </c>
      <c r="O140" s="238">
        <f t="shared" si="170"/>
        <v>1417936.9902698158</v>
      </c>
      <c r="P140" s="238">
        <f>P141-P137</f>
        <v>793736.01119276369</v>
      </c>
      <c r="Q140" s="238">
        <f t="shared" ref="Q140:S140" si="171">Q141-Q137</f>
        <v>205989.39654787933</v>
      </c>
      <c r="R140" s="238">
        <f t="shared" si="171"/>
        <v>329578.8691023984</v>
      </c>
      <c r="S140" s="238">
        <f t="shared" si="171"/>
        <v>46910.548048012672</v>
      </c>
      <c r="U140" s="91">
        <f t="shared" si="159"/>
        <v>1457469.2932619145</v>
      </c>
      <c r="V140" s="95"/>
      <c r="AT140" s="103" t="e">
        <f>AT138/8*10</f>
        <v>#REF!</v>
      </c>
      <c r="AU140" s="92" t="e">
        <f t="shared" si="122"/>
        <v>#REF!</v>
      </c>
      <c r="AV140" s="95"/>
      <c r="AX140" s="54" t="e">
        <f>AX138/8*10</f>
        <v>#REF!</v>
      </c>
      <c r="AY140" s="54" t="e">
        <f t="shared" ref="AY140:BD140" si="172">AY138/8*10</f>
        <v>#REF!</v>
      </c>
      <c r="AZ140" s="54" t="e">
        <f t="shared" si="172"/>
        <v>#REF!</v>
      </c>
      <c r="BA140" s="54" t="e">
        <f t="shared" si="172"/>
        <v>#REF!</v>
      </c>
      <c r="BB140" s="54" t="e">
        <f t="shared" si="172"/>
        <v>#REF!</v>
      </c>
      <c r="BC140" s="54" t="e">
        <f>BC138/8*10</f>
        <v>#REF!</v>
      </c>
      <c r="BD140" s="54" t="e">
        <f t="shared" si="172"/>
        <v>#REF!</v>
      </c>
    </row>
    <row r="141" spans="1:56" s="4" customFormat="1">
      <c r="A141" s="19" t="s">
        <v>73</v>
      </c>
      <c r="B141" s="17" t="s">
        <v>74</v>
      </c>
      <c r="C141" s="7" t="s">
        <v>9</v>
      </c>
      <c r="D141" s="31">
        <f>D137+D140</f>
        <v>14695101.655090703</v>
      </c>
      <c r="E141" s="31">
        <f>E137+E140</f>
        <v>5610123.6633813232</v>
      </c>
      <c r="F141" s="31">
        <f t="shared" ref="F141:J141" si="173">F137+F140</f>
        <v>4400266.0132503901</v>
      </c>
      <c r="G141" s="31">
        <f t="shared" si="173"/>
        <v>1825077.5002920842</v>
      </c>
      <c r="H141" s="31">
        <f t="shared" si="173"/>
        <v>920463.77534353663</v>
      </c>
      <c r="I141" s="31">
        <f t="shared" si="173"/>
        <v>1598418.5841753422</v>
      </c>
      <c r="J141" s="31">
        <f t="shared" si="173"/>
        <v>340752.11864802503</v>
      </c>
      <c r="M141" s="31">
        <f>M137+M140</f>
        <v>12826317.630634401</v>
      </c>
      <c r="N141" s="31">
        <f>N137+N140</f>
        <v>4573723.0926127676</v>
      </c>
      <c r="O141" s="31">
        <f t="shared" ref="O141" si="174">O137+O140</f>
        <v>3465760.3644875321</v>
      </c>
      <c r="P141" s="31">
        <f>P137*0.8/(0.8-23%)</f>
        <v>2760820.9084965694</v>
      </c>
      <c r="Q141" s="31">
        <f t="shared" ref="Q141:S141" si="175">Q137*0.8/(0.8-23%)</f>
        <v>716484.85755784099</v>
      </c>
      <c r="R141" s="31">
        <f t="shared" si="175"/>
        <v>1146361.2838344297</v>
      </c>
      <c r="S141" s="31">
        <f t="shared" si="175"/>
        <v>163167.12364526148</v>
      </c>
      <c r="U141" s="91">
        <f t="shared" si="159"/>
        <v>1868784.0244563017</v>
      </c>
      <c r="V141" s="95"/>
      <c r="AT141" s="104" t="e">
        <f>AT137+AT140</f>
        <v>#REF!</v>
      </c>
      <c r="AU141" s="91" t="e">
        <f t="shared" si="122"/>
        <v>#REF!</v>
      </c>
      <c r="AV141" s="95"/>
      <c r="AX141" s="31" t="e">
        <f>AX137+AX140</f>
        <v>#REF!</v>
      </c>
      <c r="AY141" s="31" t="e">
        <f>AY137+AY140</f>
        <v>#REF!</v>
      </c>
      <c r="AZ141" s="31" t="e">
        <f t="shared" ref="AZ141:BD141" si="176">AZ137+AZ140</f>
        <v>#REF!</v>
      </c>
      <c r="BA141" s="31" t="e">
        <f t="shared" si="176"/>
        <v>#REF!</v>
      </c>
      <c r="BB141" s="31" t="e">
        <f t="shared" si="176"/>
        <v>#REF!</v>
      </c>
      <c r="BC141" s="31" t="e">
        <f t="shared" si="176"/>
        <v>#REF!</v>
      </c>
      <c r="BD141" s="31" t="e">
        <f t="shared" si="176"/>
        <v>#REF!</v>
      </c>
    </row>
    <row r="142" spans="1:56" s="4" customFormat="1" ht="30" customHeight="1">
      <c r="A142" s="793" t="s">
        <v>75</v>
      </c>
      <c r="B142" s="796" t="s">
        <v>76</v>
      </c>
      <c r="C142" s="14" t="s">
        <v>77</v>
      </c>
      <c r="D142" s="25" t="s">
        <v>133</v>
      </c>
      <c r="E142" s="25">
        <v>1559287</v>
      </c>
      <c r="F142" s="25"/>
      <c r="H142" s="25"/>
      <c r="I142" s="25"/>
      <c r="J142" s="25"/>
      <c r="M142" s="25" t="s">
        <v>133</v>
      </c>
      <c r="N142" s="25">
        <f>E142</f>
        <v>1559287</v>
      </c>
      <c r="O142" s="25"/>
      <c r="Q142" s="25"/>
      <c r="R142" s="25"/>
      <c r="S142" s="25"/>
      <c r="U142" s="92"/>
      <c r="V142" s="95"/>
      <c r="AT142" s="92" t="e">
        <f>#REF!</f>
        <v>#REF!</v>
      </c>
      <c r="AU142" s="92"/>
      <c r="AV142" s="95"/>
      <c r="AX142" s="147" t="s">
        <v>133</v>
      </c>
      <c r="AY142" s="25" t="e">
        <f>#REF!</f>
        <v>#REF!</v>
      </c>
      <c r="AZ142" s="25"/>
      <c r="BA142" s="25"/>
      <c r="BB142" s="25"/>
      <c r="BC142" s="25"/>
      <c r="BD142" s="25"/>
    </row>
    <row r="143" spans="1:56" s="4" customFormat="1" ht="30" customHeight="1">
      <c r="A143" s="794"/>
      <c r="B143" s="797"/>
      <c r="C143" s="14" t="s">
        <v>131</v>
      </c>
      <c r="D143" s="25" t="s">
        <v>134</v>
      </c>
      <c r="E143" s="25"/>
      <c r="F143" s="25">
        <v>687793</v>
      </c>
      <c r="G143" s="25"/>
      <c r="H143" s="25"/>
      <c r="I143" s="25"/>
      <c r="J143" s="25"/>
      <c r="M143" s="25" t="s">
        <v>134</v>
      </c>
      <c r="N143" s="25"/>
      <c r="O143" s="25">
        <f>F143</f>
        <v>687793</v>
      </c>
      <c r="P143" s="25"/>
      <c r="Q143" s="25"/>
      <c r="R143" s="25"/>
      <c r="S143" s="25"/>
      <c r="U143" s="92"/>
      <c r="V143" s="95"/>
      <c r="AT143" s="92" t="e">
        <f>#REF!</f>
        <v>#REF!</v>
      </c>
      <c r="AU143" s="92"/>
      <c r="AV143" s="95"/>
      <c r="AX143" s="147" t="s">
        <v>134</v>
      </c>
      <c r="AY143" s="25"/>
      <c r="AZ143" s="25" t="e">
        <f>#REF!</f>
        <v>#REF!</v>
      </c>
      <c r="BA143" s="25"/>
      <c r="BB143" s="25"/>
      <c r="BC143" s="25"/>
      <c r="BD143" s="25"/>
    </row>
    <row r="144" spans="1:56" s="4" customFormat="1" ht="30" customHeight="1">
      <c r="A144" s="794"/>
      <c r="B144" s="797"/>
      <c r="C144" s="111"/>
      <c r="D144" s="25" t="s">
        <v>133</v>
      </c>
      <c r="E144" s="112"/>
      <c r="F144" s="112"/>
      <c r="G144" s="25">
        <v>470408</v>
      </c>
      <c r="H144" s="112"/>
      <c r="I144" s="112"/>
      <c r="J144" s="112"/>
      <c r="M144" s="25" t="s">
        <v>133</v>
      </c>
      <c r="N144" s="25"/>
      <c r="O144" s="25"/>
      <c r="P144" s="25">
        <f>G144</f>
        <v>470408</v>
      </c>
      <c r="Q144" s="25"/>
      <c r="R144" s="25"/>
      <c r="S144" s="25"/>
      <c r="U144" s="92"/>
      <c r="V144" s="95"/>
      <c r="AT144" s="92" t="e">
        <f>#REF!</f>
        <v>#REF!</v>
      </c>
      <c r="AU144" s="92"/>
      <c r="AV144" s="95"/>
      <c r="AX144" s="147" t="s">
        <v>133</v>
      </c>
      <c r="AY144" s="25"/>
      <c r="AZ144" s="25"/>
      <c r="BA144" s="25" t="e">
        <f>#REF!</f>
        <v>#REF!</v>
      </c>
      <c r="BB144" s="25"/>
      <c r="BC144" s="25"/>
      <c r="BD144" s="25"/>
    </row>
    <row r="145" spans="1:56" s="4" customFormat="1" ht="30" customHeight="1">
      <c r="A145" s="794"/>
      <c r="B145" s="797"/>
      <c r="C145" s="14"/>
      <c r="D145" s="25" t="s">
        <v>133</v>
      </c>
      <c r="E145" s="25"/>
      <c r="F145" s="25"/>
      <c r="G145" s="25"/>
      <c r="H145" s="25">
        <v>1683607.128</v>
      </c>
      <c r="I145" s="25"/>
      <c r="J145" s="25"/>
      <c r="M145" s="25" t="s">
        <v>133</v>
      </c>
      <c r="N145" s="25"/>
      <c r="O145" s="25"/>
      <c r="P145" s="25"/>
      <c r="Q145" s="25">
        <f>H145</f>
        <v>1683607.128</v>
      </c>
      <c r="R145" s="25"/>
      <c r="S145" s="25"/>
      <c r="U145" s="92"/>
      <c r="V145" s="95"/>
      <c r="AT145" s="92" t="e">
        <f>#REF!</f>
        <v>#REF!</v>
      </c>
      <c r="AU145" s="92"/>
      <c r="AV145" s="95"/>
      <c r="AX145" s="147" t="s">
        <v>135</v>
      </c>
      <c r="AY145" s="25"/>
      <c r="AZ145" s="25"/>
      <c r="BA145" s="25"/>
      <c r="BB145" s="25" t="e">
        <f>#REF!</f>
        <v>#REF!</v>
      </c>
      <c r="BC145" s="25"/>
      <c r="BD145" s="25"/>
    </row>
    <row r="146" spans="1:56" s="4" customFormat="1" ht="30" customHeight="1">
      <c r="A146" s="794"/>
      <c r="B146" s="797"/>
      <c r="C146" s="14"/>
      <c r="D146" s="25" t="s">
        <v>135</v>
      </c>
      <c r="E146" s="25"/>
      <c r="F146" s="25"/>
      <c r="G146" s="25"/>
      <c r="H146" s="25"/>
      <c r="I146" s="25">
        <v>280197.30000000005</v>
      </c>
      <c r="J146" s="25"/>
      <c r="M146" s="25" t="s">
        <v>135</v>
      </c>
      <c r="N146" s="25"/>
      <c r="O146" s="25"/>
      <c r="P146" s="25"/>
      <c r="Q146" s="25"/>
      <c r="R146" s="25">
        <f>I146</f>
        <v>280197.30000000005</v>
      </c>
      <c r="S146" s="25"/>
      <c r="U146" s="92"/>
      <c r="V146" s="95"/>
      <c r="AT146" s="92" t="e">
        <f>#REF!</f>
        <v>#REF!</v>
      </c>
      <c r="AU146" s="92"/>
      <c r="AV146" s="95"/>
      <c r="AX146" s="147" t="s">
        <v>137</v>
      </c>
      <c r="AY146" s="25"/>
      <c r="AZ146" s="25"/>
      <c r="BA146" s="25"/>
      <c r="BB146" s="25"/>
      <c r="BC146" s="25" t="e">
        <f>#REF!</f>
        <v>#REF!</v>
      </c>
      <c r="BD146" s="25"/>
    </row>
    <row r="147" spans="1:56" s="4" customFormat="1" ht="30" customHeight="1">
      <c r="A147" s="795"/>
      <c r="B147" s="798"/>
      <c r="C147" s="14"/>
      <c r="D147" s="25" t="s">
        <v>137</v>
      </c>
      <c r="E147" s="25"/>
      <c r="F147" s="25"/>
      <c r="G147" s="25"/>
      <c r="H147" s="25"/>
      <c r="I147" s="25"/>
      <c r="J147" s="25">
        <v>2190</v>
      </c>
      <c r="M147" s="25" t="s">
        <v>137</v>
      </c>
      <c r="N147" s="25"/>
      <c r="O147" s="25"/>
      <c r="P147" s="25"/>
      <c r="Q147" s="25"/>
      <c r="R147" s="25"/>
      <c r="S147" s="25">
        <f>J147</f>
        <v>2190</v>
      </c>
      <c r="U147" s="92"/>
      <c r="V147" s="95"/>
      <c r="AT147" s="92" t="e">
        <f>#REF!</f>
        <v>#REF!</v>
      </c>
      <c r="AU147" s="92"/>
      <c r="AV147" s="95"/>
      <c r="AX147" s="147" t="s">
        <v>169</v>
      </c>
      <c r="AY147" s="25"/>
      <c r="AZ147" s="25"/>
      <c r="BA147" s="25"/>
      <c r="BB147" s="25"/>
      <c r="BC147" s="25"/>
      <c r="BD147" s="25" t="e">
        <f>#REF!</f>
        <v>#REF!</v>
      </c>
    </row>
    <row r="148" spans="1:56" s="5" customFormat="1" ht="30" customHeight="1">
      <c r="A148" s="793" t="s">
        <v>78</v>
      </c>
      <c r="B148" s="799" t="s">
        <v>79</v>
      </c>
      <c r="C148" s="14" t="s">
        <v>80</v>
      </c>
      <c r="D148" s="25" t="s">
        <v>169</v>
      </c>
      <c r="E148" s="31">
        <f>(E141*1000)/E142</f>
        <v>3597.8775320908358</v>
      </c>
      <c r="F148" s="31"/>
      <c r="H148" s="68"/>
      <c r="I148" s="31"/>
      <c r="J148" s="31"/>
      <c r="M148" s="25" t="s">
        <v>169</v>
      </c>
      <c r="N148" s="31">
        <f>(N141*1000)/N142</f>
        <v>2933.2144067209997</v>
      </c>
      <c r="O148" s="31"/>
      <c r="Q148" s="68"/>
      <c r="R148" s="31"/>
      <c r="S148" s="31"/>
      <c r="U148" s="91"/>
      <c r="V148" s="95"/>
      <c r="AT148" s="91" t="e">
        <f>#REF!</f>
        <v>#REF!</v>
      </c>
      <c r="AU148" s="91" t="e">
        <f>E148-AT148</f>
        <v>#REF!</v>
      </c>
      <c r="AV148" s="95"/>
      <c r="AX148" s="147" t="s">
        <v>170</v>
      </c>
      <c r="AY148" s="31" t="e">
        <f>(AY141*1000)/AY142</f>
        <v>#REF!</v>
      </c>
      <c r="AZ148" s="31"/>
      <c r="BB148" s="68"/>
      <c r="BC148" s="31"/>
      <c r="BD148" s="31"/>
    </row>
    <row r="149" spans="1:56" s="4" customFormat="1" ht="36" customHeight="1">
      <c r="A149" s="794"/>
      <c r="B149" s="800"/>
      <c r="C149" s="14" t="s">
        <v>89</v>
      </c>
      <c r="D149" s="25" t="s">
        <v>170</v>
      </c>
      <c r="E149" s="46"/>
      <c r="F149" s="31">
        <f>(F141*1000)/F143</f>
        <v>6397.6603618390855</v>
      </c>
      <c r="G149" s="46"/>
      <c r="H149" s="36"/>
      <c r="I149" s="46"/>
      <c r="J149" s="46"/>
      <c r="M149" s="25" t="s">
        <v>170</v>
      </c>
      <c r="N149" s="46"/>
      <c r="O149" s="31">
        <f>(O141*1000)/O143</f>
        <v>5038.9584722257023</v>
      </c>
      <c r="P149" s="46"/>
      <c r="Q149" s="36"/>
      <c r="R149" s="46"/>
      <c r="S149" s="46"/>
      <c r="U149" s="91"/>
      <c r="V149" s="95"/>
      <c r="AT149" s="91" t="e">
        <f>#REF!</f>
        <v>#REF!</v>
      </c>
      <c r="AU149" s="91" t="e">
        <f>F149-AT149</f>
        <v>#REF!</v>
      </c>
      <c r="AV149" s="95"/>
      <c r="AX149" s="147" t="s">
        <v>171</v>
      </c>
      <c r="AY149" s="46"/>
      <c r="AZ149" s="31" t="e">
        <f>(AZ141*1000)/AZ143</f>
        <v>#REF!</v>
      </c>
      <c r="BA149" s="46"/>
      <c r="BB149" s="36"/>
      <c r="BC149" s="46"/>
      <c r="BD149" s="46"/>
    </row>
    <row r="150" spans="1:56" s="4" customFormat="1" ht="30" customHeight="1">
      <c r="A150" s="794"/>
      <c r="B150" s="800"/>
      <c r="C150" s="111"/>
      <c r="D150" s="25" t="s">
        <v>169</v>
      </c>
      <c r="E150" s="113"/>
      <c r="F150" s="114"/>
      <c r="G150" s="31">
        <f>(G141*1000)/G144</f>
        <v>3879.7756421916383</v>
      </c>
      <c r="H150" s="115"/>
      <c r="I150" s="113"/>
      <c r="J150" s="113"/>
      <c r="M150" s="25" t="s">
        <v>169</v>
      </c>
      <c r="N150" s="46"/>
      <c r="O150" s="31"/>
      <c r="P150" s="31">
        <f>(P141*1000)/P144</f>
        <v>5868.9922545887166</v>
      </c>
      <c r="Q150" s="36"/>
      <c r="R150" s="46"/>
      <c r="S150" s="46"/>
      <c r="U150" s="91"/>
      <c r="V150" s="95"/>
      <c r="AT150" s="91" t="e">
        <f>#REF!</f>
        <v>#REF!</v>
      </c>
      <c r="AU150" s="91" t="e">
        <f>G150-AT150</f>
        <v>#REF!</v>
      </c>
      <c r="AV150" s="95"/>
      <c r="AX150" s="147" t="s">
        <v>170</v>
      </c>
      <c r="AY150" s="46"/>
      <c r="AZ150" s="31"/>
      <c r="BA150" s="31" t="e">
        <f>(BA141*1000)/BA144</f>
        <v>#REF!</v>
      </c>
      <c r="BB150" s="148"/>
      <c r="BC150" s="148"/>
      <c r="BD150" s="148"/>
    </row>
    <row r="151" spans="1:56" s="4" customFormat="1" ht="30" customHeight="1">
      <c r="A151" s="794"/>
      <c r="B151" s="800"/>
      <c r="C151" s="14"/>
      <c r="D151" s="25" t="s">
        <v>171</v>
      </c>
      <c r="E151" s="46"/>
      <c r="F151" s="31"/>
      <c r="G151" s="46"/>
      <c r="H151" s="46">
        <f>(H141*1000)/H145</f>
        <v>546.72123919846968</v>
      </c>
      <c r="I151" s="47"/>
      <c r="J151" s="47"/>
      <c r="M151" s="25" t="s">
        <v>171</v>
      </c>
      <c r="N151" s="46"/>
      <c r="O151" s="31"/>
      <c r="P151" s="46"/>
      <c r="Q151" s="46">
        <f>(Q141*1000)/Q145</f>
        <v>425.56535051557523</v>
      </c>
      <c r="R151" s="47"/>
      <c r="S151" s="47"/>
      <c r="U151" s="91"/>
      <c r="V151" s="95"/>
      <c r="AT151" s="91" t="e">
        <f>#REF!</f>
        <v>#REF!</v>
      </c>
      <c r="AU151" s="91" t="e">
        <f>H151-AT151</f>
        <v>#REF!</v>
      </c>
      <c r="AV151" s="95"/>
      <c r="AX151" s="147" t="s">
        <v>172</v>
      </c>
      <c r="AY151" s="46"/>
      <c r="AZ151" s="31"/>
      <c r="BA151" s="46"/>
      <c r="BB151" s="46" t="e">
        <f>(BB141*1000)/BB145</f>
        <v>#REF!</v>
      </c>
      <c r="BC151" s="47"/>
      <c r="BD151" s="47"/>
    </row>
    <row r="152" spans="1:56" s="4" customFormat="1" ht="35.25" customHeight="1">
      <c r="A152" s="794"/>
      <c r="B152" s="800"/>
      <c r="C152" s="14"/>
      <c r="D152" s="25" t="s">
        <v>170</v>
      </c>
      <c r="E152" s="46"/>
      <c r="F152" s="31"/>
      <c r="G152" s="46"/>
      <c r="H152" s="36"/>
      <c r="I152" s="46">
        <f>(I141*1000)/I146</f>
        <v>5704.6180822418419</v>
      </c>
      <c r="J152" s="46"/>
      <c r="M152" s="25" t="s">
        <v>170</v>
      </c>
      <c r="N152" s="46"/>
      <c r="O152" s="31"/>
      <c r="P152" s="46"/>
      <c r="Q152" s="36"/>
      <c r="R152" s="46">
        <f>(R141*1000)/R146</f>
        <v>4091.2645619155842</v>
      </c>
      <c r="S152" s="46"/>
      <c r="U152" s="91"/>
      <c r="V152" s="95"/>
      <c r="AT152" s="91" t="e">
        <f>#REF!</f>
        <v>#REF!</v>
      </c>
      <c r="AU152" s="91" t="e">
        <f>I152-AT152</f>
        <v>#REF!</v>
      </c>
      <c r="AV152" s="95"/>
      <c r="AX152" s="86">
        <f>75729*58</f>
        <v>4392282</v>
      </c>
      <c r="AY152" s="33"/>
      <c r="AZ152" s="25"/>
      <c r="BA152" s="33"/>
      <c r="BB152" s="36"/>
      <c r="BC152" s="46" t="e">
        <f>(BC141*1000)/BC146</f>
        <v>#REF!</v>
      </c>
      <c r="BD152" s="46"/>
    </row>
    <row r="153" spans="1:56" s="4" customFormat="1" ht="30" customHeight="1">
      <c r="A153" s="795"/>
      <c r="B153" s="801"/>
      <c r="C153" s="14"/>
      <c r="D153" s="25" t="s">
        <v>172</v>
      </c>
      <c r="E153" s="33"/>
      <c r="F153" s="25"/>
      <c r="G153" s="33"/>
      <c r="H153" s="32"/>
      <c r="I153" s="33"/>
      <c r="J153" s="46">
        <f>(J141*1000)/J147</f>
        <v>155594.5747251256</v>
      </c>
      <c r="M153" s="25" t="s">
        <v>172</v>
      </c>
      <c r="N153" s="33"/>
      <c r="O153" s="25"/>
      <c r="P153" s="33"/>
      <c r="Q153" s="32"/>
      <c r="R153" s="33"/>
      <c r="S153" s="46">
        <f>(S141*1000)/S147</f>
        <v>74505.535911078303</v>
      </c>
      <c r="U153" s="91"/>
      <c r="V153" s="95"/>
      <c r="AT153" s="91" t="e">
        <f>#REF!</f>
        <v>#REF!</v>
      </c>
      <c r="AU153" s="91" t="e">
        <f>J153-AT153</f>
        <v>#REF!</v>
      </c>
      <c r="AV153" s="95"/>
      <c r="AX153" s="82"/>
      <c r="AY153" s="149"/>
      <c r="AZ153" s="149"/>
      <c r="BA153" s="149"/>
      <c r="BB153" s="32"/>
      <c r="BC153" s="33"/>
      <c r="BD153" s="46" t="e">
        <f>(BD141*1000)/BD147</f>
        <v>#REF!</v>
      </c>
    </row>
    <row r="154" spans="1:56" ht="27" hidden="1" customHeight="1">
      <c r="D154" s="86">
        <f>75729*58</f>
        <v>4392282</v>
      </c>
      <c r="H154" s="38"/>
      <c r="I154" s="39"/>
      <c r="M154" s="86">
        <f>75729*58</f>
        <v>4392282</v>
      </c>
      <c r="Q154" s="38"/>
      <c r="R154" s="39"/>
      <c r="AX154" s="85" t="e">
        <f>AX141/AX152*1000</f>
        <v>#REF!</v>
      </c>
      <c r="AY154" s="40"/>
      <c r="AZ154" s="40"/>
      <c r="BA154" s="40"/>
      <c r="BB154" s="38"/>
      <c r="BC154" s="39"/>
    </row>
    <row r="155" spans="1:56" hidden="1">
      <c r="B155" s="1" t="s">
        <v>107</v>
      </c>
      <c r="C155" s="3"/>
      <c r="D155" s="82"/>
      <c r="E155" s="40"/>
      <c r="F155" s="40"/>
      <c r="G155" s="40"/>
      <c r="H155" s="38"/>
      <c r="I155" s="39"/>
      <c r="M155" s="82"/>
      <c r="N155" s="40"/>
      <c r="O155" s="40"/>
      <c r="P155" s="40"/>
      <c r="Q155" s="38"/>
      <c r="R155" s="39"/>
      <c r="AX155" s="40"/>
      <c r="AY155" s="40"/>
      <c r="AZ155" s="40"/>
      <c r="BA155" s="40"/>
      <c r="BB155" s="38"/>
      <c r="BC155" s="39"/>
    </row>
    <row r="156" spans="1:56" hidden="1">
      <c r="B156" s="11" t="s">
        <v>183</v>
      </c>
      <c r="C156" s="84"/>
      <c r="D156" s="85">
        <f>D141/D154*1000</f>
        <v>3345.6644302644281</v>
      </c>
      <c r="E156" s="40"/>
      <c r="F156" s="40"/>
      <c r="G156" s="40"/>
      <c r="H156" s="38"/>
      <c r="I156" s="39"/>
      <c r="M156" s="85">
        <f>M141/M154*1000</f>
        <v>2920.1944753625567</v>
      </c>
      <c r="N156" s="40"/>
      <c r="O156" s="40"/>
      <c r="P156" s="40"/>
      <c r="Q156" s="38"/>
      <c r="R156" s="39"/>
      <c r="AX156" s="106"/>
      <c r="AY156" s="106"/>
      <c r="AZ156" s="106"/>
      <c r="BA156" s="106"/>
      <c r="BB156" s="38"/>
      <c r="BC156" s="39"/>
    </row>
    <row r="157" spans="1:56">
      <c r="C157" s="3"/>
      <c r="D157" s="40"/>
      <c r="E157" s="40"/>
      <c r="F157" s="40"/>
      <c r="G157" s="40"/>
      <c r="H157" s="38"/>
      <c r="I157" s="39"/>
      <c r="M157" s="40"/>
      <c r="N157" s="40"/>
      <c r="O157" s="40"/>
      <c r="P157" s="40"/>
      <c r="Q157" s="38"/>
      <c r="R157" s="39"/>
    </row>
    <row r="158" spans="1:56" ht="24" customHeight="1">
      <c r="B158" s="237" t="s">
        <v>203</v>
      </c>
      <c r="C158" s="3"/>
      <c r="D158" s="239">
        <f>[53]ДУП!$F$5</f>
        <v>3621139974.9052768</v>
      </c>
      <c r="E158" s="106"/>
      <c r="F158" s="106"/>
      <c r="G158" s="106"/>
      <c r="H158" s="38"/>
      <c r="I158" s="39"/>
      <c r="M158" s="106"/>
      <c r="N158" s="106"/>
      <c r="O158" s="106"/>
      <c r="P158" s="106"/>
      <c r="Q158" s="38"/>
      <c r="R158" s="39"/>
      <c r="AZ158" s="82"/>
    </row>
    <row r="159" spans="1:56" ht="24" customHeight="1">
      <c r="B159" s="106"/>
      <c r="C159" s="106"/>
      <c r="D159" s="106"/>
      <c r="E159" s="106"/>
      <c r="F159" s="106"/>
      <c r="G159" s="106"/>
      <c r="H159" s="38"/>
      <c r="I159" s="39"/>
      <c r="M159" s="106"/>
      <c r="N159" s="106"/>
      <c r="O159" s="106"/>
      <c r="P159" s="106"/>
      <c r="Q159" s="38"/>
      <c r="R159" s="39"/>
      <c r="AZ159" s="82"/>
    </row>
    <row r="160" spans="1:56" ht="24" customHeight="1">
      <c r="B160" s="106"/>
      <c r="C160" s="106"/>
      <c r="D160" s="106"/>
      <c r="E160" s="106"/>
      <c r="F160" s="106"/>
      <c r="G160" s="106"/>
      <c r="H160" s="38"/>
      <c r="I160" s="39"/>
      <c r="M160" s="106"/>
      <c r="N160" s="106"/>
      <c r="O160" s="106"/>
      <c r="P160" s="106"/>
      <c r="Q160" s="38"/>
      <c r="R160" s="39"/>
      <c r="AZ160" s="82"/>
    </row>
    <row r="161" spans="2:56" ht="24" customHeight="1">
      <c r="B161" s="106"/>
      <c r="C161" s="106"/>
      <c r="D161" s="106"/>
      <c r="E161" s="106"/>
      <c r="F161" s="106"/>
      <c r="G161" s="106"/>
      <c r="H161" s="38"/>
      <c r="I161" s="39"/>
      <c r="M161" s="106"/>
      <c r="N161" s="106"/>
      <c r="O161" s="106"/>
      <c r="P161" s="106"/>
      <c r="Q161" s="38"/>
      <c r="R161" s="39"/>
      <c r="AZ161" s="82"/>
    </row>
    <row r="162" spans="2:56" ht="24" customHeight="1">
      <c r="B162" s="106"/>
      <c r="C162" s="106"/>
      <c r="D162" s="106"/>
      <c r="E162" s="106"/>
      <c r="F162" s="106"/>
      <c r="G162" s="106"/>
      <c r="H162" s="38"/>
      <c r="I162" s="39"/>
      <c r="M162" s="106"/>
      <c r="N162" s="106"/>
      <c r="O162" s="106"/>
      <c r="P162" s="106"/>
      <c r="Q162" s="38"/>
      <c r="R162" s="39"/>
      <c r="AZ162" s="82"/>
    </row>
    <row r="163" spans="2:56">
      <c r="B163" s="1" t="s">
        <v>180</v>
      </c>
      <c r="BA163" s="82"/>
    </row>
    <row r="164" spans="2:56">
      <c r="F164" s="82"/>
      <c r="O164" s="82"/>
    </row>
    <row r="165" spans="2:56">
      <c r="G165" s="82"/>
      <c r="P165" s="82"/>
      <c r="BA165" s="83"/>
    </row>
    <row r="166" spans="2:56">
      <c r="B166" s="1" t="s">
        <v>181</v>
      </c>
    </row>
    <row r="167" spans="2:56">
      <c r="G167" s="83"/>
      <c r="P167" s="83"/>
    </row>
    <row r="169" spans="2:56">
      <c r="BB169" s="37"/>
      <c r="BD169" s="37"/>
    </row>
    <row r="170" spans="2:56">
      <c r="M170" s="201"/>
      <c r="N170" s="201"/>
      <c r="O170" s="201"/>
      <c r="P170" s="201"/>
      <c r="Q170" s="201"/>
      <c r="R170" s="201"/>
      <c r="S170" s="11"/>
      <c r="T170" s="11"/>
      <c r="AX170" s="1"/>
      <c r="BB170" s="37"/>
      <c r="BC170" s="41"/>
      <c r="BD170" s="37"/>
    </row>
    <row r="171" spans="2:56">
      <c r="D171" s="221"/>
      <c r="H171" s="37"/>
      <c r="J171" s="37"/>
      <c r="M171" s="225"/>
      <c r="N171" s="226"/>
      <c r="O171" s="226"/>
      <c r="P171" s="226"/>
      <c r="Q171" s="226"/>
      <c r="R171" s="226"/>
      <c r="S171" s="226"/>
    </row>
    <row r="172" spans="2:56">
      <c r="D172" s="1"/>
      <c r="H172" s="37"/>
      <c r="I172" s="41"/>
      <c r="J172" s="37"/>
      <c r="M172" s="224"/>
      <c r="N172" s="223"/>
      <c r="O172" s="223"/>
      <c r="P172" s="223"/>
      <c r="Q172" s="223"/>
      <c r="R172" s="223"/>
      <c r="S172" s="223"/>
      <c r="T172" s="202"/>
    </row>
    <row r="173" spans="2:56">
      <c r="D173" s="221"/>
      <c r="M173" s="221"/>
      <c r="N173" s="221"/>
      <c r="O173" s="221"/>
      <c r="P173" s="221"/>
      <c r="Q173" s="83"/>
      <c r="R173" s="221"/>
      <c r="S173" s="222"/>
    </row>
    <row r="174" spans="2:56">
      <c r="M174" s="221"/>
      <c r="N174" s="221"/>
      <c r="O174" s="221"/>
      <c r="P174" s="221"/>
      <c r="Q174" s="83"/>
      <c r="R174" s="221"/>
      <c r="S174" s="222"/>
    </row>
    <row r="177" spans="2:19">
      <c r="N177" s="312"/>
      <c r="O177" s="312"/>
      <c r="P177" s="312"/>
      <c r="Q177" s="312"/>
      <c r="R177" s="313"/>
      <c r="S177" s="312"/>
    </row>
    <row r="179" spans="2:19" ht="44.25" customHeight="1" thickBot="1">
      <c r="B179" s="3" t="s">
        <v>269</v>
      </c>
      <c r="C179" s="3"/>
      <c r="D179" s="40"/>
      <c r="E179" s="40"/>
      <c r="F179" s="40"/>
      <c r="G179" s="40"/>
      <c r="H179" s="311"/>
      <c r="I179" s="40"/>
      <c r="J179" s="3"/>
      <c r="K179" s="3"/>
      <c r="L179" s="3"/>
      <c r="M179" s="40" t="s">
        <v>270</v>
      </c>
      <c r="N179" s="40"/>
    </row>
    <row r="180" spans="2:19" ht="44.25" customHeight="1">
      <c r="B180" s="288" t="s">
        <v>184</v>
      </c>
      <c r="C180" s="289"/>
      <c r="D180" s="289">
        <f>SUM(E180:J180)</f>
        <v>0.99999999999999989</v>
      </c>
      <c r="E180" s="290">
        <f>E181/$D$181</f>
        <v>9.3072622588082576E-2</v>
      </c>
      <c r="F180" s="290">
        <f>F181/$D$181</f>
        <v>0.12834454139923065</v>
      </c>
      <c r="G180" s="290">
        <f t="shared" ref="G180:J180" si="177">G181/$D$181</f>
        <v>0.2951584000203693</v>
      </c>
      <c r="H180" s="290">
        <f t="shared" si="177"/>
        <v>0.14563286926731397</v>
      </c>
      <c r="I180" s="290">
        <f t="shared" si="177"/>
        <v>0.27132322133281178</v>
      </c>
      <c r="J180" s="290">
        <f t="shared" si="177"/>
        <v>6.6468345392191611E-2</v>
      </c>
      <c r="K180" s="291"/>
      <c r="L180" s="291"/>
      <c r="M180" s="289">
        <f>SUM(N180:S180)</f>
        <v>1.0000000000000013</v>
      </c>
      <c r="N180" s="290">
        <f>N181/$M$181</f>
        <v>7.3178726352214618E-2</v>
      </c>
      <c r="O180" s="290">
        <f t="shared" ref="O180:S180" si="178">O181/$M$181</f>
        <v>0.11869515317901584</v>
      </c>
      <c r="P180" s="290">
        <f t="shared" si="178"/>
        <v>0.33057308420062681</v>
      </c>
      <c r="Q180" s="290">
        <f t="shared" si="178"/>
        <v>0.13991792247944571</v>
      </c>
      <c r="R180" s="290">
        <f t="shared" si="178"/>
        <v>0.29913932303443458</v>
      </c>
      <c r="S180" s="292">
        <f t="shared" si="178"/>
        <v>3.8495790754263695E-2</v>
      </c>
    </row>
    <row r="181" spans="2:19" ht="44.25" customHeight="1" thickBot="1">
      <c r="B181" s="293" t="s">
        <v>266</v>
      </c>
      <c r="C181" s="294"/>
      <c r="D181" s="295">
        <f>D27</f>
        <v>1206129.5796632001</v>
      </c>
      <c r="E181" s="295">
        <f t="shared" ref="E181:J181" si="179">E27</f>
        <v>112257.6431603157</v>
      </c>
      <c r="F181" s="295">
        <f t="shared" si="179"/>
        <v>154800.14776992027</v>
      </c>
      <c r="G181" s="295">
        <f t="shared" si="179"/>
        <v>355999.27695063071</v>
      </c>
      <c r="H181" s="295">
        <f t="shared" si="179"/>
        <v>175652.11139453118</v>
      </c>
      <c r="I181" s="295">
        <f t="shared" si="179"/>
        <v>327250.9628990097</v>
      </c>
      <c r="J181" s="295">
        <f t="shared" si="179"/>
        <v>80169.437488792464</v>
      </c>
      <c r="K181" s="296"/>
      <c r="L181" s="296"/>
      <c r="M181" s="295">
        <v>662190.37199999997</v>
      </c>
      <c r="N181" s="297">
        <v>48458.248025659195</v>
      </c>
      <c r="O181" s="297">
        <v>78598.787638209484</v>
      </c>
      <c r="P181" s="297">
        <v>218902.31360000037</v>
      </c>
      <c r="Q181" s="297">
        <v>92652.301136131311</v>
      </c>
      <c r="R181" s="297">
        <v>198087.17960000041</v>
      </c>
      <c r="S181" s="298">
        <v>25491.542000000038</v>
      </c>
    </row>
    <row r="182" spans="2:19" ht="44.25" customHeight="1">
      <c r="B182" s="288" t="s">
        <v>185</v>
      </c>
      <c r="C182" s="289"/>
      <c r="D182" s="289">
        <f t="shared" ref="D182:D186" si="180">SUM(E182:J182)</f>
        <v>1</v>
      </c>
      <c r="E182" s="290">
        <f>E183/$D$183</f>
        <v>0.16079218264292713</v>
      </c>
      <c r="F182" s="290">
        <f t="shared" ref="F182:J182" si="181">F183/$D$183</f>
        <v>0.15534803384397219</v>
      </c>
      <c r="G182" s="290">
        <f t="shared" si="181"/>
        <v>0.25920046939220653</v>
      </c>
      <c r="H182" s="290">
        <f t="shared" si="181"/>
        <v>0.15459492525696034</v>
      </c>
      <c r="I182" s="290">
        <f t="shared" si="181"/>
        <v>0.24692281308740627</v>
      </c>
      <c r="J182" s="290">
        <f t="shared" si="181"/>
        <v>2.3141575776527534E-2</v>
      </c>
      <c r="K182" s="291"/>
      <c r="L182" s="291"/>
      <c r="M182" s="289">
        <f t="shared" ref="M182:M184" si="182">SUM(N182:S182)</f>
        <v>1</v>
      </c>
      <c r="N182" s="290">
        <f>N183/$M$183</f>
        <v>0.1441540075696161</v>
      </c>
      <c r="O182" s="290">
        <f t="shared" ref="O182:S182" si="183">O183/$M$183</f>
        <v>0.13134858926447257</v>
      </c>
      <c r="P182" s="290">
        <f t="shared" si="183"/>
        <v>0.30635189779406091</v>
      </c>
      <c r="Q182" s="290">
        <f t="shared" si="183"/>
        <v>0.1547106040498217</v>
      </c>
      <c r="R182" s="290">
        <f t="shared" si="183"/>
        <v>0.25200086304672814</v>
      </c>
      <c r="S182" s="292">
        <f t="shared" si="183"/>
        <v>1.1434038275300462E-2</v>
      </c>
    </row>
    <row r="183" spans="2:19" ht="44.25" customHeight="1" thickBot="1">
      <c r="B183" s="302" t="s">
        <v>267</v>
      </c>
      <c r="C183" s="303"/>
      <c r="D183" s="304">
        <f>D9+D34+D35</f>
        <v>1464008.3638296984</v>
      </c>
      <c r="E183" s="304">
        <f t="shared" ref="E183:J183" si="184">E9+E34+E35</f>
        <v>235401.10022767779</v>
      </c>
      <c r="F183" s="304">
        <f t="shared" si="184"/>
        <v>227430.82085207434</v>
      </c>
      <c r="G183" s="304">
        <f t="shared" si="184"/>
        <v>379471.65509877412</v>
      </c>
      <c r="H183" s="304">
        <f t="shared" si="184"/>
        <v>226328.26358181704</v>
      </c>
      <c r="I183" s="304">
        <f t="shared" si="184"/>
        <v>361497.0635803201</v>
      </c>
      <c r="J183" s="304">
        <f t="shared" si="184"/>
        <v>33879.46048903506</v>
      </c>
      <c r="K183" s="296"/>
      <c r="L183" s="296"/>
      <c r="M183" s="304">
        <f t="shared" ref="M183:S183" si="185">M9+M34+M35</f>
        <v>1343755.3547713193</v>
      </c>
      <c r="N183" s="304">
        <f t="shared" si="185"/>
        <v>193707.71958341694</v>
      </c>
      <c r="O183" s="304">
        <f t="shared" si="185"/>
        <v>176500.37016579363</v>
      </c>
      <c r="P183" s="304">
        <f t="shared" si="185"/>
        <v>411662.00310512527</v>
      </c>
      <c r="Q183" s="304">
        <f t="shared" si="185"/>
        <v>207893.20263185329</v>
      </c>
      <c r="R183" s="304">
        <f t="shared" si="185"/>
        <v>338627.5091260348</v>
      </c>
      <c r="S183" s="305">
        <f t="shared" si="185"/>
        <v>15364.550159095215</v>
      </c>
    </row>
    <row r="184" spans="2:19" ht="44.25" customHeight="1">
      <c r="B184" s="299" t="s">
        <v>186</v>
      </c>
      <c r="C184" s="289"/>
      <c r="D184" s="289">
        <f t="shared" si="180"/>
        <v>0.99999999999999989</v>
      </c>
      <c r="E184" s="290">
        <f>E185/$D$185</f>
        <v>0.44185279533405841</v>
      </c>
      <c r="F184" s="290">
        <f t="shared" ref="F184:J184" si="186">F185/$D$185</f>
        <v>0.33633393860302879</v>
      </c>
      <c r="G184" s="290">
        <f t="shared" si="186"/>
        <v>9.0402489153487198E-2</v>
      </c>
      <c r="H184" s="290">
        <f t="shared" si="186"/>
        <v>4.0100758461085462E-2</v>
      </c>
      <c r="I184" s="290">
        <f t="shared" si="186"/>
        <v>7.0677529522682858E-2</v>
      </c>
      <c r="J184" s="290">
        <f t="shared" si="186"/>
        <v>2.0632488925657146E-2</v>
      </c>
      <c r="K184" s="291"/>
      <c r="L184" s="291"/>
      <c r="M184" s="289">
        <f t="shared" si="182"/>
        <v>1.0000000000000002</v>
      </c>
      <c r="N184" s="290">
        <f>N185/$M$185</f>
        <v>0.4783808428278491</v>
      </c>
      <c r="O184" s="290">
        <f t="shared" ref="O184:S184" si="187">O185/$M$185</f>
        <v>0.3251762527771252</v>
      </c>
      <c r="P184" s="290">
        <f t="shared" si="187"/>
        <v>0.15840398296827077</v>
      </c>
      <c r="Q184" s="290">
        <f t="shared" si="187"/>
        <v>1.82311147799793E-2</v>
      </c>
      <c r="R184" s="290">
        <f t="shared" si="187"/>
        <v>1.6054947672862661E-2</v>
      </c>
      <c r="S184" s="292">
        <f t="shared" si="187"/>
        <v>3.7528589739133054E-3</v>
      </c>
    </row>
    <row r="185" spans="2:19" ht="44.25" customHeight="1" thickBot="1">
      <c r="B185" s="300" t="s">
        <v>271</v>
      </c>
      <c r="C185" s="294"/>
      <c r="D185" s="295">
        <f>D33</f>
        <v>2489153.8038947885</v>
      </c>
      <c r="E185" s="295">
        <f t="shared" ref="E185:J185" si="188">E33</f>
        <v>1099839.5662673169</v>
      </c>
      <c r="F185" s="295">
        <f t="shared" si="188"/>
        <v>837186.90265264537</v>
      </c>
      <c r="G185" s="295">
        <f t="shared" si="188"/>
        <v>225025.69975796001</v>
      </c>
      <c r="H185" s="295">
        <f t="shared" si="188"/>
        <v>99816.955462476995</v>
      </c>
      <c r="I185" s="295">
        <f t="shared" si="188"/>
        <v>175927.24146127226</v>
      </c>
      <c r="J185" s="295">
        <f t="shared" si="188"/>
        <v>51357.438293116582</v>
      </c>
      <c r="K185" s="296"/>
      <c r="L185" s="296"/>
      <c r="M185" s="295">
        <f>28796225075.8785/1000</f>
        <v>28796225.075878501</v>
      </c>
      <c r="N185" s="295">
        <f>13775562422.0592/1000</f>
        <v>13775562.422059201</v>
      </c>
      <c r="O185" s="295">
        <f>9363848564.30086/1000</f>
        <v>9363848.5643008593</v>
      </c>
      <c r="P185" s="295">
        <f>4561436746.46995/1000</f>
        <v>4561436.7464699494</v>
      </c>
      <c r="Q185" s="295">
        <f>524987284.588459/1000</f>
        <v>524987.28458845906</v>
      </c>
      <c r="R185" s="295">
        <f>462321886.769205/1000</f>
        <v>462321.88676920498</v>
      </c>
      <c r="S185" s="301">
        <f>108068171.690838/1000</f>
        <v>108068.17169083799</v>
      </c>
    </row>
    <row r="186" spans="2:19" ht="44.25" customHeight="1">
      <c r="B186" s="299" t="s">
        <v>202</v>
      </c>
      <c r="C186" s="289"/>
      <c r="D186" s="289">
        <f t="shared" si="180"/>
        <v>1</v>
      </c>
      <c r="E186" s="290">
        <f t="shared" ref="E186:J186" si="189">E94</f>
        <v>0.3585191221840619</v>
      </c>
      <c r="F186" s="290">
        <f t="shared" si="189"/>
        <v>0.54476395599278193</v>
      </c>
      <c r="G186" s="290">
        <f t="shared" si="189"/>
        <v>0</v>
      </c>
      <c r="H186" s="290">
        <f t="shared" si="189"/>
        <v>9.6716921823156166E-2</v>
      </c>
      <c r="I186" s="290">
        <f t="shared" si="189"/>
        <v>0</v>
      </c>
      <c r="J186" s="290">
        <f t="shared" si="189"/>
        <v>0</v>
      </c>
      <c r="K186" s="291"/>
      <c r="L186" s="291"/>
      <c r="M186" s="289">
        <f t="shared" ref="M186" si="190">SUM(N186:S186)</f>
        <v>1</v>
      </c>
      <c r="N186" s="290">
        <f t="shared" ref="N186:S186" si="191">N94</f>
        <v>0.3585191221840619</v>
      </c>
      <c r="O186" s="290">
        <f t="shared" si="191"/>
        <v>0.54476395599278193</v>
      </c>
      <c r="P186" s="290">
        <f t="shared" si="191"/>
        <v>0</v>
      </c>
      <c r="Q186" s="290">
        <f t="shared" si="191"/>
        <v>9.6716921823156166E-2</v>
      </c>
      <c r="R186" s="290">
        <f t="shared" si="191"/>
        <v>0</v>
      </c>
      <c r="S186" s="292">
        <f t="shared" si="191"/>
        <v>0</v>
      </c>
    </row>
    <row r="187" spans="2:19" ht="48" customHeight="1" thickBot="1">
      <c r="B187" s="306" t="s">
        <v>268</v>
      </c>
      <c r="C187" s="303"/>
      <c r="D187" s="307">
        <v>34.358000000000004</v>
      </c>
      <c r="E187" s="308">
        <v>12.318</v>
      </c>
      <c r="F187" s="308">
        <v>18.717000000000002</v>
      </c>
      <c r="G187" s="308">
        <v>0</v>
      </c>
      <c r="H187" s="308">
        <v>3.323</v>
      </c>
      <c r="I187" s="308">
        <v>0</v>
      </c>
      <c r="J187" s="308">
        <v>0</v>
      </c>
      <c r="K187" s="309"/>
      <c r="L187" s="309"/>
      <c r="M187" s="307">
        <v>34.358000000000004</v>
      </c>
      <c r="N187" s="308">
        <v>12.318</v>
      </c>
      <c r="O187" s="308">
        <v>18.717000000000002</v>
      </c>
      <c r="P187" s="308">
        <v>0</v>
      </c>
      <c r="Q187" s="308">
        <v>3.323</v>
      </c>
      <c r="R187" s="308">
        <v>0</v>
      </c>
      <c r="S187" s="310">
        <v>0</v>
      </c>
    </row>
    <row r="191" spans="2:19">
      <c r="D191" s="221"/>
    </row>
    <row r="193" spans="13:19">
      <c r="M193" s="82"/>
      <c r="N193" s="82"/>
      <c r="O193" s="82"/>
      <c r="P193" s="82"/>
      <c r="Q193" s="314"/>
      <c r="R193" s="82"/>
      <c r="S193" s="229"/>
    </row>
  </sheetData>
  <mergeCells count="14">
    <mergeCell ref="A142:A147"/>
    <mergeCell ref="B142:B147"/>
    <mergeCell ref="A148:A153"/>
    <mergeCell ref="B148:B153"/>
    <mergeCell ref="AX3:BD3"/>
    <mergeCell ref="AX4:BD4"/>
    <mergeCell ref="AT4:AV4"/>
    <mergeCell ref="M4:S4"/>
    <mergeCell ref="A1:J1"/>
    <mergeCell ref="B3:C3"/>
    <mergeCell ref="A4:A5"/>
    <mergeCell ref="B4:B5"/>
    <mergeCell ref="C4:C5"/>
    <mergeCell ref="D4:J4"/>
  </mergeCells>
  <printOptions horizontalCentered="1"/>
  <pageMargins left="0.39370078740157483" right="0.39370078740157483" top="0.39370078740157483" bottom="0.19685039370078741" header="0.31496062992125984" footer="0.31496062992125984"/>
  <pageSetup paperSize="9"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2"/>
  <sheetViews>
    <sheetView showZeros="0" zoomScale="70" zoomScaleNormal="70" workbookViewId="0">
      <pane xSplit="3" ySplit="4" topLeftCell="D23" activePane="bottomRight" state="frozen"/>
      <selection pane="topRight" activeCell="C1" sqref="C1"/>
      <selection pane="bottomLeft" activeCell="A6" sqref="A6"/>
      <selection pane="bottomRight" activeCell="A38" sqref="A38:XFD40"/>
    </sheetView>
  </sheetViews>
  <sheetFormatPr defaultColWidth="9.140625" defaultRowHeight="15"/>
  <cols>
    <col min="1" max="1" width="0.42578125" style="400" customWidth="1"/>
    <col min="2" max="2" width="7.85546875" style="414" customWidth="1"/>
    <col min="3" max="3" width="68.140625" style="400" customWidth="1"/>
    <col min="4" max="4" width="20.140625" style="400" customWidth="1"/>
    <col min="5" max="5" width="15.42578125" style="400" customWidth="1"/>
    <col min="6" max="6" width="19" style="400" customWidth="1"/>
    <col min="7" max="7" width="17.85546875" style="400" customWidth="1"/>
    <col min="8" max="8" width="53.140625" style="400" hidden="1" customWidth="1"/>
    <col min="9" max="9" width="1.28515625" style="400" customWidth="1"/>
    <col min="10" max="11" width="9.140625" style="400"/>
    <col min="12" max="12" width="15.28515625" style="400" customWidth="1"/>
    <col min="13" max="13" width="19.5703125" style="400" customWidth="1"/>
    <col min="14" max="14" width="9.140625" style="400"/>
    <col min="15" max="15" width="17.140625" style="400" customWidth="1"/>
    <col min="16" max="19" width="9.140625" style="400"/>
    <col min="20" max="20" width="9.5703125" style="400" customWidth="1"/>
    <col min="21" max="21" width="7.28515625" style="400" customWidth="1"/>
    <col min="22" max="16384" width="9.140625" style="400"/>
  </cols>
  <sheetData>
    <row r="1" spans="2:13" ht="18">
      <c r="C1" s="842" t="s">
        <v>360</v>
      </c>
      <c r="D1" s="842"/>
      <c r="E1" s="842"/>
      <c r="F1" s="842"/>
      <c r="G1" s="842"/>
      <c r="H1" s="842"/>
    </row>
    <row r="2" spans="2:13" ht="9.75" customHeight="1"/>
    <row r="3" spans="2:13" ht="30.75" customHeight="1">
      <c r="B3" s="839" t="s">
        <v>299</v>
      </c>
      <c r="C3" s="839" t="s">
        <v>300</v>
      </c>
      <c r="D3" s="840" t="s">
        <v>366</v>
      </c>
      <c r="E3" s="840"/>
      <c r="F3" s="839" t="s">
        <v>301</v>
      </c>
      <c r="G3" s="839" t="s">
        <v>336</v>
      </c>
      <c r="H3" s="841" t="s">
        <v>302</v>
      </c>
    </row>
    <row r="4" spans="2:13" ht="47.25">
      <c r="B4" s="839"/>
      <c r="C4" s="839"/>
      <c r="D4" s="466" t="s">
        <v>373</v>
      </c>
      <c r="E4" s="466" t="s">
        <v>374</v>
      </c>
      <c r="F4" s="839"/>
      <c r="G4" s="839"/>
      <c r="H4" s="841"/>
    </row>
    <row r="5" spans="2:13" s="417" customFormat="1" ht="15.75" hidden="1">
      <c r="B5" s="428" t="s">
        <v>4</v>
      </c>
      <c r="C5" s="434" t="s">
        <v>303</v>
      </c>
      <c r="D5" s="435">
        <f>SUM(D6:D9)</f>
        <v>6070878.0920951562</v>
      </c>
      <c r="E5" s="435">
        <f>SUM(E6:E9)</f>
        <v>4805832.3559680004</v>
      </c>
      <c r="F5" s="435">
        <f>E5-D5</f>
        <v>-1265045.7361271558</v>
      </c>
      <c r="G5" s="436">
        <f>(E5-D5)/D5</f>
        <v>-0.20837936735615928</v>
      </c>
      <c r="H5" s="402"/>
    </row>
    <row r="6" spans="2:13" s="418" customFormat="1" ht="109.5" hidden="1" customHeight="1">
      <c r="B6" s="415">
        <v>1</v>
      </c>
      <c r="C6" s="403" t="s">
        <v>304</v>
      </c>
      <c r="D6" s="404">
        <f>ТС!Q133</f>
        <v>2025042.1545280993</v>
      </c>
      <c r="E6" s="404">
        <f>ТС!BB133</f>
        <v>1928260.9142079998</v>
      </c>
      <c r="F6" s="405">
        <f>E6-D6</f>
        <v>-96781.240320099518</v>
      </c>
      <c r="G6" s="406">
        <f>(E6-D6)/D6</f>
        <v>-4.7792210203472379E-2</v>
      </c>
      <c r="H6" s="407" t="s">
        <v>337</v>
      </c>
    </row>
    <row r="7" spans="2:13" s="418" customFormat="1" ht="94.5" hidden="1" customHeight="1">
      <c r="B7" s="415">
        <v>2</v>
      </c>
      <c r="C7" s="403" t="s">
        <v>305</v>
      </c>
      <c r="D7" s="404">
        <f>ТС!R133</f>
        <v>1614964.8512198529</v>
      </c>
      <c r="E7" s="404">
        <f>ТС!BC133</f>
        <v>888400.85576000006</v>
      </c>
      <c r="F7" s="405">
        <f>E7-D7</f>
        <v>-726563.99545985286</v>
      </c>
      <c r="G7" s="406">
        <f>(E7-D7)/D7</f>
        <v>-0.44989461839435552</v>
      </c>
      <c r="H7" s="407" t="s">
        <v>306</v>
      </c>
      <c r="I7" s="422"/>
    </row>
    <row r="8" spans="2:13" s="418" customFormat="1" ht="110.25" hidden="1" customHeight="1">
      <c r="B8" s="415">
        <v>3</v>
      </c>
      <c r="C8" s="403" t="s">
        <v>307</v>
      </c>
      <c r="D8" s="404">
        <f>ТС!S133</f>
        <v>2362884.7848282927</v>
      </c>
      <c r="E8" s="404">
        <f>ТС!BD133</f>
        <v>1987376.7649999999</v>
      </c>
      <c r="F8" s="405">
        <f>E8-D8</f>
        <v>-375508.01982829277</v>
      </c>
      <c r="G8" s="406">
        <f>(E8-D8)/D8</f>
        <v>-0.15891931009051732</v>
      </c>
      <c r="H8" s="407" t="s">
        <v>308</v>
      </c>
    </row>
    <row r="9" spans="2:13" s="418" customFormat="1" ht="77.25" hidden="1" customHeight="1">
      <c r="B9" s="415">
        <v>4</v>
      </c>
      <c r="C9" s="403" t="s">
        <v>309</v>
      </c>
      <c r="D9" s="404">
        <f>ТС!T133</f>
        <v>67986.301518910288</v>
      </c>
      <c r="E9" s="404">
        <f>ТС!BE133</f>
        <v>1793.8209999999999</v>
      </c>
      <c r="F9" s="405">
        <f>E9-D9</f>
        <v>-66192.480518910292</v>
      </c>
      <c r="G9" s="406">
        <f>(E9-D9)/D9</f>
        <v>-0.97361496419244031</v>
      </c>
      <c r="H9" s="407" t="s">
        <v>310</v>
      </c>
    </row>
    <row r="10" spans="2:13" s="418" customFormat="1" ht="125.25" hidden="1" customHeight="1">
      <c r="B10" s="415">
        <v>5</v>
      </c>
      <c r="C10" s="408" t="s">
        <v>315</v>
      </c>
      <c r="D10" s="405">
        <f>[56]ПП!AV49</f>
        <v>0</v>
      </c>
      <c r="E10" s="405"/>
      <c r="F10" s="405"/>
      <c r="G10" s="406"/>
      <c r="H10" s="409" t="s">
        <v>311</v>
      </c>
    </row>
    <row r="11" spans="2:13" s="419" customFormat="1" ht="15.75">
      <c r="B11" s="416" t="s">
        <v>4</v>
      </c>
      <c r="C11" s="410" t="s">
        <v>312</v>
      </c>
      <c r="D11" s="438">
        <f>ТС!H6</f>
        <v>97090.292161462014</v>
      </c>
      <c r="E11" s="438">
        <f>ТС!BE6</f>
        <v>54731.933488389055</v>
      </c>
      <c r="F11" s="438">
        <f t="shared" ref="F11:F35" si="0">E11-D11</f>
        <v>-42358.358673072958</v>
      </c>
      <c r="G11" s="411">
        <f t="shared" ref="G11:G18" si="1">(E11-D11)/D11</f>
        <v>-0.43627800195132416</v>
      </c>
      <c r="H11" s="412"/>
      <c r="J11" s="418"/>
      <c r="L11" s="441"/>
      <c r="M11" s="441"/>
    </row>
    <row r="12" spans="2:13" s="423" customFormat="1" ht="42.75" customHeight="1">
      <c r="B12" s="415">
        <v>1</v>
      </c>
      <c r="C12" s="403" t="s">
        <v>321</v>
      </c>
      <c r="D12" s="404">
        <f>ТС!H8</f>
        <v>1716.5275588556301</v>
      </c>
      <c r="E12" s="404">
        <f>ТС!BE8</f>
        <v>1026.1882465878502</v>
      </c>
      <c r="F12" s="404">
        <f t="shared" si="0"/>
        <v>-690.33931226777986</v>
      </c>
      <c r="G12" s="427">
        <f t="shared" si="1"/>
        <v>-0.4021719946797786</v>
      </c>
      <c r="H12" s="407" t="s">
        <v>351</v>
      </c>
      <c r="J12" s="420"/>
      <c r="L12" s="440"/>
      <c r="M12" s="440"/>
    </row>
    <row r="13" spans="2:13" s="423" customFormat="1" ht="30" customHeight="1">
      <c r="B13" s="421">
        <v>2</v>
      </c>
      <c r="C13" s="424" t="s">
        <v>322</v>
      </c>
      <c r="D13" s="431">
        <f>ТС!H20</f>
        <v>270.98366731689896</v>
      </c>
      <c r="E13" s="431">
        <f>ТС!BE20</f>
        <v>139.41440886917061</v>
      </c>
      <c r="F13" s="404">
        <f t="shared" si="0"/>
        <v>-131.56925844772834</v>
      </c>
      <c r="G13" s="427">
        <f t="shared" si="1"/>
        <v>-0.48552468032645701</v>
      </c>
      <c r="H13" s="413" t="s">
        <v>356</v>
      </c>
      <c r="J13" s="420"/>
    </row>
    <row r="14" spans="2:13" s="423" customFormat="1" ht="30" customHeight="1">
      <c r="B14" s="421">
        <v>3</v>
      </c>
      <c r="C14" s="424" t="s">
        <v>323</v>
      </c>
      <c r="D14" s="431">
        <f>ТС!H23</f>
        <v>196.10436599999997</v>
      </c>
      <c r="E14" s="431">
        <f>ТС!BE23</f>
        <v>155.17423706919814</v>
      </c>
      <c r="F14" s="404">
        <f t="shared" si="0"/>
        <v>-40.930128930801828</v>
      </c>
      <c r="G14" s="427">
        <f t="shared" si="1"/>
        <v>-0.20871605138460728</v>
      </c>
      <c r="H14" s="413" t="s">
        <v>343</v>
      </c>
      <c r="J14" s="420"/>
    </row>
    <row r="15" spans="2:13" s="423" customFormat="1" ht="30" customHeight="1">
      <c r="B15" s="415">
        <v>4</v>
      </c>
      <c r="C15" s="403" t="s">
        <v>317</v>
      </c>
      <c r="D15" s="404">
        <f>ТС!H24</f>
        <v>72334.61626882838</v>
      </c>
      <c r="E15" s="404">
        <f>ТС!BE24</f>
        <v>25170.557073037126</v>
      </c>
      <c r="F15" s="404">
        <f t="shared" si="0"/>
        <v>-47164.059195791255</v>
      </c>
      <c r="G15" s="427">
        <f t="shared" si="1"/>
        <v>-0.65202612011527272</v>
      </c>
      <c r="H15" s="407" t="s">
        <v>338</v>
      </c>
      <c r="J15" s="420"/>
    </row>
    <row r="16" spans="2:13" s="418" customFormat="1" ht="30" customHeight="1">
      <c r="B16" s="415">
        <v>5</v>
      </c>
      <c r="C16" s="403" t="s">
        <v>324</v>
      </c>
      <c r="D16" s="404">
        <f>ТС!H29</f>
        <v>9391.1257335300597</v>
      </c>
      <c r="E16" s="404">
        <f>ТС!BE29</f>
        <v>17964.221861703169</v>
      </c>
      <c r="F16" s="404">
        <f t="shared" si="0"/>
        <v>8573.0961281731088</v>
      </c>
      <c r="G16" s="427">
        <f t="shared" si="1"/>
        <v>0.91289333903429071</v>
      </c>
      <c r="H16" s="413" t="s">
        <v>350</v>
      </c>
    </row>
    <row r="17" spans="2:15" s="418" customFormat="1" ht="30" customHeight="1">
      <c r="B17" s="415">
        <v>6</v>
      </c>
      <c r="C17" s="403" t="s">
        <v>325</v>
      </c>
      <c r="D17" s="404">
        <f>ТС!H32</f>
        <v>241.15776975044733</v>
      </c>
      <c r="E17" s="404">
        <f>ТС!BE32</f>
        <v>26.944519487160612</v>
      </c>
      <c r="F17" s="404">
        <f t="shared" si="0"/>
        <v>-214.21325026328671</v>
      </c>
      <c r="G17" s="427">
        <f t="shared" si="1"/>
        <v>-0.88827015810005583</v>
      </c>
      <c r="H17" s="413" t="s">
        <v>339</v>
      </c>
    </row>
    <row r="18" spans="2:15" s="418" customFormat="1" ht="30" customHeight="1">
      <c r="B18" s="415">
        <v>7</v>
      </c>
      <c r="C18" s="403" t="s">
        <v>329</v>
      </c>
      <c r="D18" s="404">
        <f>ТС!H33</f>
        <v>53.880370743103676</v>
      </c>
      <c r="E18" s="432">
        <f>ТС!BE33</f>
        <v>0</v>
      </c>
      <c r="F18" s="404">
        <f t="shared" si="0"/>
        <v>-53.880370743103676</v>
      </c>
      <c r="G18" s="427">
        <f t="shared" si="1"/>
        <v>-1</v>
      </c>
      <c r="H18" s="413" t="s">
        <v>340</v>
      </c>
    </row>
    <row r="19" spans="2:15" s="418" customFormat="1" ht="30" customHeight="1">
      <c r="B19" s="415">
        <v>8</v>
      </c>
      <c r="C19" s="403" t="s">
        <v>318</v>
      </c>
      <c r="D19" s="404">
        <f>ТС!H34</f>
        <v>579.02461074512826</v>
      </c>
      <c r="E19" s="404">
        <f>ТС!BE34</f>
        <v>38.907886342090713</v>
      </c>
      <c r="F19" s="404">
        <f t="shared" si="0"/>
        <v>-540.11672440303755</v>
      </c>
      <c r="G19" s="427"/>
      <c r="H19" s="413" t="s">
        <v>341</v>
      </c>
    </row>
    <row r="20" spans="2:15" s="418" customFormat="1" ht="34.5" customHeight="1">
      <c r="B20" s="415">
        <v>9</v>
      </c>
      <c r="C20" s="403" t="s">
        <v>326</v>
      </c>
      <c r="D20" s="404">
        <f>ТС!H35</f>
        <v>1229.984754434571</v>
      </c>
      <c r="E20" s="404">
        <f>ТС!BE35</f>
        <v>2466.2073228081213</v>
      </c>
      <c r="F20" s="404">
        <f t="shared" si="0"/>
        <v>1236.2225683735503</v>
      </c>
      <c r="G20" s="427">
        <f t="shared" ref="G20:G35" si="2">(E20-D20)/D20</f>
        <v>1.0050714563058523</v>
      </c>
      <c r="H20" s="413" t="s">
        <v>342</v>
      </c>
    </row>
    <row r="21" spans="2:15" s="418" customFormat="1" ht="70.5" customHeight="1">
      <c r="B21" s="415">
        <v>10</v>
      </c>
      <c r="C21" s="425" t="s">
        <v>327</v>
      </c>
      <c r="D21" s="404">
        <f>ТС!H41</f>
        <v>8089.0506103963353</v>
      </c>
      <c r="E21" s="404">
        <f>ТС!BE41</f>
        <v>7197.3707117057975</v>
      </c>
      <c r="F21" s="404">
        <f t="shared" si="0"/>
        <v>-891.67989869053781</v>
      </c>
      <c r="G21" s="427">
        <f t="shared" si="2"/>
        <v>-0.11023294841851021</v>
      </c>
      <c r="H21" s="413" t="s">
        <v>352</v>
      </c>
    </row>
    <row r="22" spans="2:15" s="418" customFormat="1" ht="29.25" customHeight="1">
      <c r="B22" s="442"/>
      <c r="C22" s="403" t="s">
        <v>320</v>
      </c>
      <c r="D22" s="404">
        <f>ТС!H61+ТС!H62</f>
        <v>0</v>
      </c>
      <c r="E22" s="404">
        <f>ТС!BE61+ТС!BE62</f>
        <v>0</v>
      </c>
      <c r="F22" s="404">
        <f t="shared" si="0"/>
        <v>0</v>
      </c>
      <c r="G22" s="427" t="e">
        <f t="shared" si="2"/>
        <v>#DIV/0!</v>
      </c>
      <c r="H22" s="413" t="s">
        <v>344</v>
      </c>
    </row>
    <row r="23" spans="2:15" s="418" customFormat="1" ht="29.25" customHeight="1">
      <c r="B23" s="415">
        <v>11</v>
      </c>
      <c r="C23" s="403" t="s">
        <v>319</v>
      </c>
      <c r="D23" s="404">
        <f>ТС!H63</f>
        <v>949.06767854894395</v>
      </c>
      <c r="E23" s="404">
        <f>ТС!BE63</f>
        <v>109.24676995384299</v>
      </c>
      <c r="F23" s="404">
        <f t="shared" si="0"/>
        <v>-839.82090859510095</v>
      </c>
      <c r="G23" s="427">
        <f t="shared" si="2"/>
        <v>-0.88489043255495392</v>
      </c>
      <c r="H23" s="413" t="s">
        <v>343</v>
      </c>
    </row>
    <row r="24" spans="2:15" s="418" customFormat="1" ht="29.25" customHeight="1">
      <c r="B24" s="415">
        <v>12</v>
      </c>
      <c r="C24" s="403" t="s">
        <v>328</v>
      </c>
      <c r="D24" s="404">
        <f>ТС!H65</f>
        <v>286.45462504397187</v>
      </c>
      <c r="E24" s="404">
        <f>ТС!BE65</f>
        <v>64.943087714552547</v>
      </c>
      <c r="F24" s="404">
        <f t="shared" si="0"/>
        <v>-221.51153732941933</v>
      </c>
      <c r="G24" s="427">
        <f t="shared" si="2"/>
        <v>-0.77328664983299344</v>
      </c>
      <c r="H24" s="407" t="s">
        <v>345</v>
      </c>
    </row>
    <row r="25" spans="2:15" s="418" customFormat="1" ht="55.5" customHeight="1">
      <c r="B25" s="426">
        <v>13</v>
      </c>
      <c r="C25" s="425" t="s">
        <v>330</v>
      </c>
      <c r="D25" s="433">
        <f>ТС!H70</f>
        <v>1752.3141472685454</v>
      </c>
      <c r="E25" s="433">
        <f>ТС!BE70</f>
        <v>372.75736311097603</v>
      </c>
      <c r="F25" s="404">
        <f t="shared" si="0"/>
        <v>-1379.5567841575694</v>
      </c>
      <c r="G25" s="427">
        <f t="shared" si="2"/>
        <v>-0.78727709087322095</v>
      </c>
      <c r="H25" s="425" t="s">
        <v>353</v>
      </c>
    </row>
    <row r="26" spans="2:15" s="419" customFormat="1" ht="20.25" customHeight="1">
      <c r="B26" s="428" t="s">
        <v>45</v>
      </c>
      <c r="C26" s="429" t="s">
        <v>314</v>
      </c>
      <c r="D26" s="437">
        <f>ТС!H86</f>
        <v>19166.283435874579</v>
      </c>
      <c r="E26" s="437">
        <f>ТС!BE86</f>
        <v>31546.062398761733</v>
      </c>
      <c r="F26" s="437">
        <f t="shared" si="0"/>
        <v>12379.778962887154</v>
      </c>
      <c r="G26" s="430">
        <f t="shared" si="2"/>
        <v>0.64591442594004667</v>
      </c>
      <c r="H26" s="412"/>
      <c r="L26" s="441"/>
      <c r="M26" s="441"/>
      <c r="O26" s="441"/>
    </row>
    <row r="27" spans="2:15" s="418" customFormat="1" ht="30" customHeight="1">
      <c r="B27" s="415">
        <v>1</v>
      </c>
      <c r="C27" s="425" t="s">
        <v>331</v>
      </c>
      <c r="D27" s="404">
        <f>ТС!H88+ТС!H89+ТС!H90</f>
        <v>5594.4337876307973</v>
      </c>
      <c r="E27" s="404">
        <f>ТС!BE88+ТС!BE89+ТС!BE90</f>
        <v>4188.6741631050127</v>
      </c>
      <c r="F27" s="404">
        <f t="shared" si="0"/>
        <v>-1405.7596245257846</v>
      </c>
      <c r="G27" s="427">
        <f t="shared" si="2"/>
        <v>-0.25127826655735858</v>
      </c>
      <c r="H27" s="407" t="s">
        <v>346</v>
      </c>
      <c r="J27" s="400"/>
    </row>
    <row r="28" spans="2:15" s="418" customFormat="1" ht="30" customHeight="1">
      <c r="B28" s="415">
        <v>2</v>
      </c>
      <c r="C28" s="403" t="s">
        <v>316</v>
      </c>
      <c r="D28" s="404">
        <f>ТС!H91</f>
        <v>19.635080282680551</v>
      </c>
      <c r="E28" s="404">
        <f>ТС!BE91</f>
        <v>136.7526936764566</v>
      </c>
      <c r="F28" s="404">
        <f t="shared" si="0"/>
        <v>117.11761339377605</v>
      </c>
      <c r="G28" s="427">
        <f t="shared" si="2"/>
        <v>5.9647127339266133</v>
      </c>
      <c r="H28" s="413" t="s">
        <v>313</v>
      </c>
      <c r="J28" s="400"/>
    </row>
    <row r="29" spans="2:15" s="418" customFormat="1" ht="37.5" customHeight="1">
      <c r="B29" s="415">
        <v>3</v>
      </c>
      <c r="C29" s="425" t="s">
        <v>332</v>
      </c>
      <c r="D29" s="404">
        <f>ТС!H92</f>
        <v>986.0030569550795</v>
      </c>
      <c r="E29" s="404">
        <f>ТС!BE92</f>
        <v>157.87000377254441</v>
      </c>
      <c r="F29" s="404">
        <f t="shared" si="0"/>
        <v>-828.13305318253515</v>
      </c>
      <c r="G29" s="427">
        <f t="shared" si="2"/>
        <v>-0.83988893070973858</v>
      </c>
      <c r="H29" s="413" t="s">
        <v>347</v>
      </c>
      <c r="J29" s="400"/>
    </row>
    <row r="30" spans="2:15" s="418" customFormat="1" ht="30" customHeight="1">
      <c r="B30" s="415">
        <v>4</v>
      </c>
      <c r="C30" s="403" t="s">
        <v>318</v>
      </c>
      <c r="D30" s="404">
        <f>ТС!H97</f>
        <v>439.67778669791687</v>
      </c>
      <c r="E30" s="404">
        <f>ТС!BE97</f>
        <v>95.339122617965145</v>
      </c>
      <c r="F30" s="404">
        <f t="shared" si="0"/>
        <v>-344.33866407995174</v>
      </c>
      <c r="G30" s="427">
        <f t="shared" si="2"/>
        <v>-0.78316138430830384</v>
      </c>
      <c r="H30" s="413" t="s">
        <v>348</v>
      </c>
      <c r="J30" s="400"/>
    </row>
    <row r="31" spans="2:15" s="418" customFormat="1" ht="30" customHeight="1">
      <c r="B31" s="415">
        <v>5</v>
      </c>
      <c r="C31" s="403" t="s">
        <v>333</v>
      </c>
      <c r="D31" s="404">
        <f>ТС!H99</f>
        <v>5.4253651596024126E-2</v>
      </c>
      <c r="E31" s="404">
        <f>ТС!BE99</f>
        <v>9.2320071697852918E-2</v>
      </c>
      <c r="F31" s="404">
        <f t="shared" si="0"/>
        <v>3.8066420101828792E-2</v>
      </c>
      <c r="G31" s="439">
        <f t="shared" si="2"/>
        <v>0.70163793554899478</v>
      </c>
      <c r="H31" s="413" t="s">
        <v>354</v>
      </c>
      <c r="J31" s="400"/>
    </row>
    <row r="32" spans="2:15" s="418" customFormat="1" ht="30" customHeight="1">
      <c r="B32" s="415">
        <v>6</v>
      </c>
      <c r="C32" s="403" t="s">
        <v>329</v>
      </c>
      <c r="D32" s="404">
        <f>ТС!H103</f>
        <v>34.7997401624161</v>
      </c>
      <c r="E32" s="404">
        <f>ТС!BE103</f>
        <v>2.9756732322621322</v>
      </c>
      <c r="F32" s="404">
        <f t="shared" si="0"/>
        <v>-31.824066930153968</v>
      </c>
      <c r="G32" s="439">
        <f t="shared" si="2"/>
        <v>-0.91449151004075957</v>
      </c>
      <c r="H32" s="413" t="s">
        <v>340</v>
      </c>
      <c r="J32" s="400"/>
    </row>
    <row r="33" spans="2:10" s="418" customFormat="1" ht="30" customHeight="1">
      <c r="B33" s="415">
        <v>7</v>
      </c>
      <c r="C33" s="403" t="s">
        <v>334</v>
      </c>
      <c r="D33" s="404">
        <f>ТС!H104</f>
        <v>11.427881170330508</v>
      </c>
      <c r="E33" s="404">
        <f>ТС!BE104</f>
        <v>4.2719490927167696</v>
      </c>
      <c r="F33" s="404">
        <f t="shared" si="0"/>
        <v>-7.1559320776137385</v>
      </c>
      <c r="G33" s="427">
        <f t="shared" si="2"/>
        <v>-0.62618187667126224</v>
      </c>
      <c r="H33" s="407" t="s">
        <v>345</v>
      </c>
      <c r="J33" s="400"/>
    </row>
    <row r="34" spans="2:10" s="418" customFormat="1" ht="48.75" customHeight="1">
      <c r="B34" s="415">
        <v>8</v>
      </c>
      <c r="C34" s="425" t="s">
        <v>335</v>
      </c>
      <c r="D34" s="404">
        <f>ТС!H107</f>
        <v>595.05901416393147</v>
      </c>
      <c r="E34" s="404">
        <f>ТС!BE107</f>
        <v>141.44698886359399</v>
      </c>
      <c r="F34" s="404">
        <f t="shared" si="0"/>
        <v>-453.61202530033745</v>
      </c>
      <c r="G34" s="427">
        <f t="shared" si="2"/>
        <v>-0.76229754445056253</v>
      </c>
      <c r="H34" s="413" t="s">
        <v>355</v>
      </c>
      <c r="J34" s="400"/>
    </row>
    <row r="35" spans="2:10" s="418" customFormat="1" ht="30" customHeight="1">
      <c r="B35" s="415">
        <v>9</v>
      </c>
      <c r="C35" s="424" t="s">
        <v>66</v>
      </c>
      <c r="D35" s="404">
        <f>ТС!H125</f>
        <v>11485.192835159829</v>
      </c>
      <c r="E35" s="404">
        <f>ТС!BE125</f>
        <v>26818.639484329484</v>
      </c>
      <c r="F35" s="404">
        <f t="shared" si="0"/>
        <v>15333.446649169655</v>
      </c>
      <c r="G35" s="427">
        <f t="shared" si="2"/>
        <v>1.3350621856543059</v>
      </c>
      <c r="H35" s="413" t="s">
        <v>349</v>
      </c>
      <c r="J35" s="400"/>
    </row>
    <row r="36" spans="2:10">
      <c r="B36" s="415">
        <v>10</v>
      </c>
      <c r="C36" s="424" t="str">
        <f>ТС!C126</f>
        <v>Всего затрат</v>
      </c>
      <c r="D36" s="404">
        <f>ТС!H126</f>
        <v>116256.57559733659</v>
      </c>
      <c r="E36" s="404">
        <f>ТС!BE126</f>
        <v>86277.995887150784</v>
      </c>
      <c r="F36" s="404">
        <f t="shared" ref="F36:F50" si="3">E36-D36</f>
        <v>-29978.579710185804</v>
      </c>
      <c r="G36" s="427">
        <f t="shared" ref="G36:G50" si="4">(E36-D36)/D36</f>
        <v>-0.2578656695860273</v>
      </c>
    </row>
    <row r="37" spans="2:10">
      <c r="B37" s="415">
        <v>11</v>
      </c>
      <c r="C37" s="424" t="str">
        <f>ТС!C127</f>
        <v>Прибыль (чистый доход)</v>
      </c>
      <c r="D37" s="404">
        <f>ТС!H127</f>
        <v>37528.438438438476</v>
      </c>
      <c r="E37" s="404">
        <f>ТС!BE127</f>
        <v>-84484.106634370328</v>
      </c>
      <c r="F37" s="404">
        <f t="shared" si="3"/>
        <v>-122012.5450728088</v>
      </c>
      <c r="G37" s="427">
        <f t="shared" si="4"/>
        <v>-3.2512022921752464</v>
      </c>
    </row>
    <row r="38" spans="2:10" hidden="1">
      <c r="B38" s="415">
        <v>12</v>
      </c>
      <c r="C38" s="424" t="str">
        <f>ТС!C128</f>
        <v>Прочие доходы и расходы</v>
      </c>
      <c r="D38" s="404">
        <f>ТС!H128</f>
        <v>0</v>
      </c>
      <c r="E38" s="404">
        <f>ТС!BE128</f>
        <v>0</v>
      </c>
      <c r="F38" s="404">
        <f t="shared" si="3"/>
        <v>0</v>
      </c>
      <c r="G38" s="427" t="e">
        <f t="shared" si="4"/>
        <v>#DIV/0!</v>
      </c>
    </row>
    <row r="39" spans="2:10" hidden="1">
      <c r="B39" s="415">
        <v>13</v>
      </c>
      <c r="C39" s="424" t="str">
        <f>ТС!C129</f>
        <v>Финансовые доходы и расходы</v>
      </c>
      <c r="D39" s="404">
        <f>ТС!H129</f>
        <v>0</v>
      </c>
      <c r="E39" s="404">
        <f>ТС!BE129</f>
        <v>0</v>
      </c>
      <c r="F39" s="404">
        <f t="shared" si="3"/>
        <v>0</v>
      </c>
      <c r="G39" s="427" t="e">
        <f t="shared" si="4"/>
        <v>#DIV/0!</v>
      </c>
    </row>
    <row r="40" spans="2:10" hidden="1">
      <c r="B40" s="415">
        <v>14</v>
      </c>
      <c r="C40" s="424" t="str">
        <f>ТС!C130</f>
        <v>Невошло в исполнение ТС</v>
      </c>
      <c r="D40" s="404">
        <f>ТС!H130</f>
        <v>0</v>
      </c>
      <c r="E40" s="404">
        <f>ТС!BE130</f>
        <v>0</v>
      </c>
      <c r="F40" s="404">
        <f t="shared" si="3"/>
        <v>0</v>
      </c>
      <c r="G40" s="427" t="e">
        <f t="shared" si="4"/>
        <v>#DIV/0!</v>
      </c>
    </row>
    <row r="41" spans="2:10">
      <c r="B41" s="415">
        <v>15</v>
      </c>
      <c r="C41" s="424" t="str">
        <f>ТС!C131</f>
        <v>КПН</v>
      </c>
      <c r="D41" s="404">
        <f>ТС!H131</f>
        <v>9382.1096096096189</v>
      </c>
      <c r="E41" s="404">
        <f>ТС!BE131</f>
        <v>0</v>
      </c>
      <c r="F41" s="404">
        <f t="shared" si="3"/>
        <v>-9382.1096096096189</v>
      </c>
      <c r="G41" s="427">
        <f t="shared" si="4"/>
        <v>-1</v>
      </c>
    </row>
    <row r="42" spans="2:10">
      <c r="B42" s="415">
        <v>16</v>
      </c>
      <c r="C42" s="424" t="str">
        <f>ТС!C132</f>
        <v>Итого прибыль</v>
      </c>
      <c r="D42" s="404">
        <f>ТС!H132</f>
        <v>46910.548048048091</v>
      </c>
      <c r="E42" s="404">
        <f>ТС!BE132</f>
        <v>-84484.106634370328</v>
      </c>
      <c r="F42" s="404">
        <f t="shared" si="3"/>
        <v>-131394.65468241842</v>
      </c>
      <c r="G42" s="427">
        <f t="shared" si="4"/>
        <v>-2.8009618337401974</v>
      </c>
    </row>
    <row r="43" spans="2:10">
      <c r="B43" s="415">
        <v>17</v>
      </c>
      <c r="C43" s="424" t="str">
        <f>ТС!C133</f>
        <v>Всего доходов</v>
      </c>
      <c r="D43" s="404">
        <f>ТС!H133</f>
        <v>163167.12364538468</v>
      </c>
      <c r="E43" s="404">
        <f>ТС!BE133</f>
        <v>1793.8209999999999</v>
      </c>
      <c r="F43" s="404">
        <f t="shared" si="3"/>
        <v>-161373.30264538468</v>
      </c>
      <c r="G43" s="427">
        <f t="shared" si="4"/>
        <v>-0.98900623508018348</v>
      </c>
    </row>
    <row r="44" spans="2:10" hidden="1">
      <c r="B44" s="415">
        <v>18</v>
      </c>
      <c r="C44" s="424" t="str">
        <f>ТС!C134</f>
        <v xml:space="preserve">Объем оказанных услуг </v>
      </c>
      <c r="D44" s="404">
        <f>ТС!H134</f>
        <v>0</v>
      </c>
      <c r="E44" s="404">
        <f>ТС!BE134</f>
        <v>0</v>
      </c>
      <c r="F44" s="404">
        <f t="shared" si="3"/>
        <v>0</v>
      </c>
      <c r="G44" s="427" t="e">
        <f t="shared" si="4"/>
        <v>#DIV/0!</v>
      </c>
    </row>
    <row r="45" spans="2:10" hidden="1">
      <c r="B45" s="415">
        <v>19</v>
      </c>
      <c r="C45" s="424">
        <f>ТС!C135</f>
        <v>0</v>
      </c>
      <c r="D45" s="404">
        <f>ТС!H135</f>
        <v>0</v>
      </c>
      <c r="E45" s="404">
        <f>ТС!BE135</f>
        <v>0</v>
      </c>
      <c r="F45" s="404">
        <f t="shared" si="3"/>
        <v>0</v>
      </c>
      <c r="G45" s="427" t="e">
        <f t="shared" si="4"/>
        <v>#DIV/0!</v>
      </c>
    </row>
    <row r="46" spans="2:10" hidden="1">
      <c r="B46" s="415">
        <v>20</v>
      </c>
      <c r="C46" s="424">
        <f>ТС!C136</f>
        <v>0</v>
      </c>
      <c r="D46" s="404">
        <f>ТС!H136</f>
        <v>0</v>
      </c>
      <c r="E46" s="404">
        <f>ТС!BE136</f>
        <v>0</v>
      </c>
      <c r="F46" s="404">
        <f t="shared" si="3"/>
        <v>0</v>
      </c>
      <c r="G46" s="427" t="e">
        <f t="shared" si="4"/>
        <v>#DIV/0!</v>
      </c>
    </row>
    <row r="47" spans="2:10">
      <c r="B47" s="415">
        <v>18</v>
      </c>
      <c r="C47" s="424" t="s">
        <v>76</v>
      </c>
      <c r="D47" s="404">
        <f>ТС!H137</f>
        <v>2190</v>
      </c>
      <c r="E47" s="404">
        <f>ТС!BE137</f>
        <v>20</v>
      </c>
      <c r="F47" s="404">
        <f t="shared" si="3"/>
        <v>-2170</v>
      </c>
      <c r="G47" s="427">
        <f t="shared" si="4"/>
        <v>-0.9908675799086758</v>
      </c>
    </row>
    <row r="48" spans="2:10" hidden="1">
      <c r="B48" s="415">
        <v>22</v>
      </c>
      <c r="C48" s="424">
        <f>ТС!C138</f>
        <v>0</v>
      </c>
      <c r="D48" s="404">
        <f>ТС!H138</f>
        <v>0</v>
      </c>
      <c r="E48" s="404">
        <f>ТС!BE138</f>
        <v>0</v>
      </c>
      <c r="F48" s="404">
        <f t="shared" si="3"/>
        <v>0</v>
      </c>
      <c r="G48" s="427" t="e">
        <f t="shared" si="4"/>
        <v>#DIV/0!</v>
      </c>
    </row>
    <row r="49" spans="2:7" hidden="1">
      <c r="B49" s="415">
        <v>23</v>
      </c>
      <c r="C49" s="424" t="str">
        <f>ТС!C139</f>
        <v>Тариф</v>
      </c>
      <c r="D49" s="404">
        <f>ТС!H139</f>
        <v>0</v>
      </c>
      <c r="E49" s="404">
        <f>ТС!BE139</f>
        <v>0</v>
      </c>
      <c r="F49" s="404">
        <f t="shared" si="3"/>
        <v>0</v>
      </c>
      <c r="G49" s="427" t="e">
        <f t="shared" si="4"/>
        <v>#DIV/0!</v>
      </c>
    </row>
    <row r="50" spans="2:7" hidden="1">
      <c r="B50" s="415">
        <v>24</v>
      </c>
      <c r="C50" s="424">
        <f>ТС!C140</f>
        <v>0</v>
      </c>
      <c r="D50" s="404">
        <f>ТС!H140</f>
        <v>0</v>
      </c>
      <c r="E50" s="404">
        <f>ТС!BE140</f>
        <v>0</v>
      </c>
      <c r="F50" s="404">
        <f t="shared" si="3"/>
        <v>0</v>
      </c>
      <c r="G50" s="427" t="e">
        <f t="shared" si="4"/>
        <v>#DIV/0!</v>
      </c>
    </row>
    <row r="51" spans="2:7" hidden="1">
      <c r="B51" s="415">
        <v>25</v>
      </c>
      <c r="C51" s="424">
        <f>ТС!C141</f>
        <v>0</v>
      </c>
      <c r="D51" s="404">
        <f>ТС!H141</f>
        <v>0</v>
      </c>
      <c r="E51" s="404">
        <f>ТС!BE141</f>
        <v>0</v>
      </c>
      <c r="F51" s="404">
        <f t="shared" ref="F51:F52" si="5">E51-D51</f>
        <v>0</v>
      </c>
      <c r="G51" s="427" t="e">
        <f t="shared" ref="G51:G52" si="6">(E51-D51)/D51</f>
        <v>#DIV/0!</v>
      </c>
    </row>
    <row r="52" spans="2:7">
      <c r="B52" s="415">
        <v>19</v>
      </c>
      <c r="C52" s="424" t="s">
        <v>79</v>
      </c>
      <c r="D52" s="404">
        <f>ТС!H142</f>
        <v>74505.535911134546</v>
      </c>
      <c r="E52" s="404">
        <f>ТС!BE142</f>
        <v>71890</v>
      </c>
      <c r="F52" s="404">
        <f t="shared" si="5"/>
        <v>-2615.535911134546</v>
      </c>
      <c r="G52" s="427">
        <f t="shared" si="6"/>
        <v>-3.5105255994053793E-2</v>
      </c>
    </row>
  </sheetData>
  <mergeCells count="7">
    <mergeCell ref="C1:H1"/>
    <mergeCell ref="B3:B4"/>
    <mergeCell ref="C3:C4"/>
    <mergeCell ref="D3:E3"/>
    <mergeCell ref="F3:F4"/>
    <mergeCell ref="G3:G4"/>
    <mergeCell ref="H3:H4"/>
  </mergeCells>
  <printOptions horizontalCentered="1"/>
  <pageMargins left="0.59055118110236227" right="0.39370078740157483" top="0.39370078740157483" bottom="0.39370078740157483" header="0.31496062992125984" footer="0.31496062992125984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5"/>
  <sheetViews>
    <sheetView showZeros="0" zoomScale="70" zoomScaleNormal="70" workbookViewId="0">
      <pane xSplit="3" ySplit="4" topLeftCell="D5" activePane="bottomRight" state="frozen"/>
      <selection pane="topRight" activeCell="C1" sqref="C1"/>
      <selection pane="bottomLeft" activeCell="A6" sqref="A6"/>
      <selection pane="bottomRight" activeCell="H15" sqref="H15"/>
    </sheetView>
  </sheetViews>
  <sheetFormatPr defaultColWidth="9.140625" defaultRowHeight="15"/>
  <cols>
    <col min="1" max="1" width="0.42578125" style="400" customWidth="1"/>
    <col min="2" max="2" width="4.5703125" style="414" customWidth="1"/>
    <col min="3" max="3" width="42.85546875" style="400" customWidth="1"/>
    <col min="4" max="4" width="14.42578125" style="400" customWidth="1"/>
    <col min="5" max="5" width="13.5703125" style="400" customWidth="1"/>
    <col min="6" max="6" width="15.28515625" style="400" customWidth="1"/>
    <col min="7" max="7" width="12" style="400" customWidth="1"/>
    <col min="8" max="8" width="53.140625" style="400" customWidth="1"/>
    <col min="9" max="9" width="1.28515625" style="400" customWidth="1"/>
    <col min="10" max="11" width="9.140625" style="400"/>
    <col min="12" max="12" width="15.28515625" style="400" customWidth="1"/>
    <col min="13" max="13" width="19.5703125" style="400" customWidth="1"/>
    <col min="14" max="14" width="9.140625" style="400"/>
    <col min="15" max="15" width="17.140625" style="400" customWidth="1"/>
    <col min="16" max="19" width="9.140625" style="400"/>
    <col min="20" max="20" width="9.5703125" style="400" customWidth="1"/>
    <col min="21" max="21" width="7.28515625" style="400" customWidth="1"/>
    <col min="22" max="16384" width="9.140625" style="400"/>
  </cols>
  <sheetData>
    <row r="1" spans="2:13" ht="18">
      <c r="C1" s="842" t="s">
        <v>379</v>
      </c>
      <c r="D1" s="842"/>
      <c r="E1" s="842"/>
      <c r="F1" s="842"/>
      <c r="G1" s="842"/>
      <c r="H1" s="842"/>
    </row>
    <row r="2" spans="2:13" ht="9.75" customHeight="1"/>
    <row r="3" spans="2:13" ht="30.75" customHeight="1">
      <c r="B3" s="839" t="s">
        <v>299</v>
      </c>
      <c r="C3" s="839" t="s">
        <v>300</v>
      </c>
      <c r="D3" s="840" t="s">
        <v>366</v>
      </c>
      <c r="E3" s="840"/>
      <c r="F3" s="839" t="s">
        <v>301</v>
      </c>
      <c r="G3" s="839" t="s">
        <v>336</v>
      </c>
      <c r="H3" s="841" t="s">
        <v>302</v>
      </c>
    </row>
    <row r="4" spans="2:13" ht="47.25">
      <c r="B4" s="839"/>
      <c r="C4" s="839"/>
      <c r="D4" s="401" t="s">
        <v>373</v>
      </c>
      <c r="E4" s="401" t="s">
        <v>374</v>
      </c>
      <c r="F4" s="839"/>
      <c r="G4" s="839"/>
      <c r="H4" s="841"/>
    </row>
    <row r="5" spans="2:13" s="417" customFormat="1" ht="15.75" hidden="1">
      <c r="B5" s="428" t="s">
        <v>4</v>
      </c>
      <c r="C5" s="434" t="s">
        <v>303</v>
      </c>
      <c r="D5" s="435">
        <f>SUM(D6:D9)</f>
        <v>6070878.0920951562</v>
      </c>
      <c r="E5" s="435">
        <f>SUM(E6:E9)</f>
        <v>4805832.3559680004</v>
      </c>
      <c r="F5" s="435">
        <f t="shared" ref="F5:F23" si="0">E5-D5</f>
        <v>-1265045.7361271558</v>
      </c>
      <c r="G5" s="436">
        <f>(E5-D5)/D5</f>
        <v>-0.20837936735615928</v>
      </c>
      <c r="H5" s="402"/>
    </row>
    <row r="6" spans="2:13" s="418" customFormat="1" ht="109.5" hidden="1" customHeight="1">
      <c r="B6" s="415">
        <v>1</v>
      </c>
      <c r="C6" s="403" t="s">
        <v>304</v>
      </c>
      <c r="D6" s="404">
        <f>ТС!Q133</f>
        <v>2025042.1545280993</v>
      </c>
      <c r="E6" s="404">
        <f>ТС!BB133</f>
        <v>1928260.9142079998</v>
      </c>
      <c r="F6" s="405">
        <f>E6-D6</f>
        <v>-96781.240320099518</v>
      </c>
      <c r="G6" s="406">
        <f>(E6-D6)/D6</f>
        <v>-4.7792210203472379E-2</v>
      </c>
      <c r="H6" s="407" t="s">
        <v>337</v>
      </c>
    </row>
    <row r="7" spans="2:13" s="418" customFormat="1" ht="94.5" hidden="1" customHeight="1">
      <c r="B7" s="415">
        <v>2</v>
      </c>
      <c r="C7" s="403" t="s">
        <v>305</v>
      </c>
      <c r="D7" s="404">
        <f>ТС!R133</f>
        <v>1614964.8512198529</v>
      </c>
      <c r="E7" s="404">
        <f>ТС!BC133</f>
        <v>888400.85576000006</v>
      </c>
      <c r="F7" s="405">
        <f t="shared" si="0"/>
        <v>-726563.99545985286</v>
      </c>
      <c r="G7" s="406">
        <f>(E7-D7)/D7</f>
        <v>-0.44989461839435552</v>
      </c>
      <c r="H7" s="407" t="s">
        <v>306</v>
      </c>
      <c r="I7" s="422"/>
    </row>
    <row r="8" spans="2:13" s="418" customFormat="1" ht="110.25" hidden="1" customHeight="1">
      <c r="B8" s="415">
        <v>3</v>
      </c>
      <c r="C8" s="403" t="s">
        <v>307</v>
      </c>
      <c r="D8" s="404">
        <f>ТС!S133</f>
        <v>2362884.7848282927</v>
      </c>
      <c r="E8" s="404">
        <f>ТС!BD133</f>
        <v>1987376.7649999999</v>
      </c>
      <c r="F8" s="405">
        <f t="shared" si="0"/>
        <v>-375508.01982829277</v>
      </c>
      <c r="G8" s="406">
        <f>(E8-D8)/D8</f>
        <v>-0.15891931009051732</v>
      </c>
      <c r="H8" s="407" t="s">
        <v>308</v>
      </c>
    </row>
    <row r="9" spans="2:13" s="418" customFormat="1" ht="77.25" hidden="1" customHeight="1">
      <c r="B9" s="415">
        <v>4</v>
      </c>
      <c r="C9" s="403" t="s">
        <v>309</v>
      </c>
      <c r="D9" s="404">
        <f>ТС!T133</f>
        <v>67986.301518910288</v>
      </c>
      <c r="E9" s="404">
        <f>ТС!BE133</f>
        <v>1793.8209999999999</v>
      </c>
      <c r="F9" s="405">
        <f t="shared" si="0"/>
        <v>-66192.480518910292</v>
      </c>
      <c r="G9" s="406">
        <f>(E9-D9)/D9</f>
        <v>-0.97361496419244031</v>
      </c>
      <c r="H9" s="407" t="s">
        <v>310</v>
      </c>
    </row>
    <row r="10" spans="2:13" s="418" customFormat="1" ht="125.25" hidden="1" customHeight="1">
      <c r="B10" s="415">
        <v>5</v>
      </c>
      <c r="C10" s="408" t="s">
        <v>315</v>
      </c>
      <c r="D10" s="405">
        <f>[56]ПП!AV49</f>
        <v>0</v>
      </c>
      <c r="E10" s="405"/>
      <c r="F10" s="405"/>
      <c r="G10" s="406"/>
      <c r="H10" s="409" t="s">
        <v>311</v>
      </c>
    </row>
    <row r="11" spans="2:13" s="419" customFormat="1" ht="15.75">
      <c r="B11" s="416" t="s">
        <v>4</v>
      </c>
      <c r="C11" s="410" t="s">
        <v>312</v>
      </c>
      <c r="D11" s="438">
        <f>ТС!D6</f>
        <v>4760881.1499521928</v>
      </c>
      <c r="E11" s="438">
        <f>ТС!BA6</f>
        <v>1673069.4908857143</v>
      </c>
      <c r="F11" s="438">
        <f t="shared" si="0"/>
        <v>-3087811.6590664787</v>
      </c>
      <c r="G11" s="411">
        <f>(E11-D11)/D11</f>
        <v>-0.64857986616563312</v>
      </c>
      <c r="H11" s="412"/>
      <c r="J11" s="418"/>
    </row>
    <row r="12" spans="2:13" s="423" customFormat="1" ht="75" customHeight="1">
      <c r="B12" s="415">
        <v>1</v>
      </c>
      <c r="C12" s="403" t="s">
        <v>321</v>
      </c>
      <c r="D12" s="404">
        <f>ТС!D8</f>
        <v>111957.85165392877</v>
      </c>
      <c r="E12" s="404">
        <f>ТС!BA8</f>
        <v>32108.18665</v>
      </c>
      <c r="F12" s="404">
        <f>E12-D12</f>
        <v>-79849.665003928763</v>
      </c>
      <c r="G12" s="427">
        <f>(E12-D12)/D12</f>
        <v>-0.7132118366360839</v>
      </c>
      <c r="H12" s="407" t="s">
        <v>368</v>
      </c>
      <c r="J12" s="420"/>
      <c r="L12" s="440"/>
      <c r="M12" s="440"/>
    </row>
    <row r="13" spans="2:13" s="423" customFormat="1" ht="63.75" customHeight="1">
      <c r="B13" s="421">
        <v>2</v>
      </c>
      <c r="C13" s="424" t="s">
        <v>322</v>
      </c>
      <c r="D13" s="431">
        <f>ТС!D20</f>
        <v>310983.29078606778</v>
      </c>
      <c r="E13" s="431">
        <f>ТС!BA20</f>
        <v>49921.427130000004</v>
      </c>
      <c r="F13" s="404">
        <f t="shared" ref="F13:F14" si="1">E13-D13</f>
        <v>-261061.86365606778</v>
      </c>
      <c r="G13" s="427">
        <f t="shared" ref="G13:G14" si="2">(E13-D13)/D13</f>
        <v>-0.83947231697299762</v>
      </c>
      <c r="H13" s="413" t="s">
        <v>356</v>
      </c>
      <c r="J13" s="420"/>
    </row>
    <row r="14" spans="2:13" s="423" customFormat="1" ht="51.75" customHeight="1">
      <c r="B14" s="421">
        <v>3</v>
      </c>
      <c r="C14" s="424" t="s">
        <v>323</v>
      </c>
      <c r="D14" s="431">
        <f>ТС!D23</f>
        <v>61848.571080000009</v>
      </c>
      <c r="E14" s="431">
        <f>ТС!BA23</f>
        <v>7520.8685499999992</v>
      </c>
      <c r="F14" s="404">
        <f t="shared" si="1"/>
        <v>-54327.70253000001</v>
      </c>
      <c r="G14" s="427">
        <f t="shared" si="2"/>
        <v>-0.87839866922273935</v>
      </c>
      <c r="H14" s="413" t="s">
        <v>343</v>
      </c>
      <c r="J14" s="420"/>
    </row>
    <row r="15" spans="2:13" s="423" customFormat="1" ht="49.5" customHeight="1">
      <c r="B15" s="415">
        <v>4</v>
      </c>
      <c r="C15" s="403" t="s">
        <v>317</v>
      </c>
      <c r="D15" s="404">
        <f>ТС!D24</f>
        <v>1196407.4733271997</v>
      </c>
      <c r="E15" s="404">
        <f>ТС!BA24</f>
        <v>377625.19326000003</v>
      </c>
      <c r="F15" s="404">
        <f>E15-D15</f>
        <v>-818782.28006719961</v>
      </c>
      <c r="G15" s="427">
        <f>(E15-D15)/D15</f>
        <v>-0.68436740685861197</v>
      </c>
      <c r="H15" s="407" t="s">
        <v>338</v>
      </c>
      <c r="J15" s="420"/>
    </row>
    <row r="16" spans="2:13" s="418" customFormat="1" ht="49.5" customHeight="1">
      <c r="B16" s="415">
        <v>5</v>
      </c>
      <c r="C16" s="403" t="s">
        <v>324</v>
      </c>
      <c r="D16" s="404">
        <f>ТС!D29</f>
        <v>2220718.321853674</v>
      </c>
      <c r="E16" s="404">
        <f>ТС!BA29</f>
        <v>870676.43300000008</v>
      </c>
      <c r="F16" s="404">
        <f t="shared" si="0"/>
        <v>-1350041.8888536738</v>
      </c>
      <c r="G16" s="427">
        <f t="shared" ref="G16:G23" si="3">(E16-D16)/D16</f>
        <v>-0.60793026993480614</v>
      </c>
      <c r="H16" s="413" t="s">
        <v>367</v>
      </c>
    </row>
    <row r="17" spans="2:15" s="418" customFormat="1" ht="66.75" customHeight="1">
      <c r="B17" s="415">
        <v>6</v>
      </c>
      <c r="C17" s="403" t="s">
        <v>325</v>
      </c>
      <c r="D17" s="404">
        <f>ТС!D32</f>
        <v>6258.5412933942862</v>
      </c>
      <c r="E17" s="404">
        <f>ТС!BA32</f>
        <v>404.23934000000003</v>
      </c>
      <c r="F17" s="404">
        <f>E17-D17</f>
        <v>-5854.3019533942861</v>
      </c>
      <c r="G17" s="427">
        <f>(E17-D17)/D17</f>
        <v>-0.93540997477692389</v>
      </c>
      <c r="H17" s="413" t="s">
        <v>339</v>
      </c>
    </row>
    <row r="18" spans="2:15" s="418" customFormat="1" ht="34.5" customHeight="1">
      <c r="B18" s="415">
        <v>7</v>
      </c>
      <c r="C18" s="403" t="s">
        <v>329</v>
      </c>
      <c r="D18" s="404">
        <f>ТС!D33</f>
        <v>1398.3066999999996</v>
      </c>
      <c r="E18" s="432">
        <f>ТС!BA33</f>
        <v>0</v>
      </c>
      <c r="F18" s="404">
        <f>E18-D18</f>
        <v>-1398.3066999999996</v>
      </c>
      <c r="G18" s="427">
        <f>(E18-D18)/D18</f>
        <v>-1</v>
      </c>
      <c r="H18" s="413" t="s">
        <v>340</v>
      </c>
    </row>
    <row r="19" spans="2:15" s="418" customFormat="1" ht="37.5" customHeight="1">
      <c r="B19" s="415">
        <v>8</v>
      </c>
      <c r="C19" s="403" t="s">
        <v>318</v>
      </c>
      <c r="D19" s="404">
        <f>ТС!D34</f>
        <v>15026.88236</v>
      </c>
      <c r="E19" s="404">
        <f>ТС!BA34</f>
        <v>583.72161000000006</v>
      </c>
      <c r="F19" s="404">
        <f>E19-D19</f>
        <v>-14443.160749999999</v>
      </c>
      <c r="G19" s="427"/>
      <c r="H19" s="413" t="s">
        <v>341</v>
      </c>
    </row>
    <row r="20" spans="2:15" s="418" customFormat="1" ht="34.5" customHeight="1">
      <c r="B20" s="415">
        <v>9</v>
      </c>
      <c r="C20" s="403" t="s">
        <v>326</v>
      </c>
      <c r="D20" s="404">
        <f>ТС!D35</f>
        <v>327658.90089290583</v>
      </c>
      <c r="E20" s="404">
        <f>ТС!BA35</f>
        <v>119530.28700000001</v>
      </c>
      <c r="F20" s="404">
        <f>E20-D20</f>
        <v>-208128.61389290582</v>
      </c>
      <c r="G20" s="427">
        <f>(E20-D20)/D20</f>
        <v>-0.63519902351418778</v>
      </c>
      <c r="H20" s="413" t="s">
        <v>369</v>
      </c>
    </row>
    <row r="21" spans="2:15" s="418" customFormat="1" ht="107.25" customHeight="1">
      <c r="B21" s="415">
        <v>10</v>
      </c>
      <c r="C21" s="425" t="s">
        <v>327</v>
      </c>
      <c r="D21" s="404">
        <f>ТС!D41</f>
        <v>432737.40652417857</v>
      </c>
      <c r="E21" s="404">
        <f>ТС!BA41</f>
        <v>206392.10206999999</v>
      </c>
      <c r="F21" s="404">
        <f>E21-D21</f>
        <v>-226345.30445417858</v>
      </c>
      <c r="G21" s="427">
        <f>(E21-D21)/D21</f>
        <v>-0.52305463091860505</v>
      </c>
      <c r="H21" s="413" t="s">
        <v>375</v>
      </c>
    </row>
    <row r="22" spans="2:15" s="418" customFormat="1" ht="60.75" customHeight="1">
      <c r="B22" s="442"/>
      <c r="C22" s="403" t="s">
        <v>320</v>
      </c>
      <c r="D22" s="404">
        <f>ТС!D61+ТС!D62</f>
        <v>220858.22142857141</v>
      </c>
      <c r="E22" s="404">
        <f>ТС!BA61+ТС!BA62</f>
        <v>99723.312579999998</v>
      </c>
      <c r="F22" s="404">
        <f t="shared" si="0"/>
        <v>-121134.90884857142</v>
      </c>
      <c r="G22" s="427">
        <f t="shared" si="3"/>
        <v>-0.5484736228746101</v>
      </c>
      <c r="H22" s="413" t="s">
        <v>376</v>
      </c>
    </row>
    <row r="23" spans="2:15" s="418" customFormat="1" ht="48" customHeight="1">
      <c r="B23" s="415">
        <v>11</v>
      </c>
      <c r="C23" s="403" t="s">
        <v>319</v>
      </c>
      <c r="D23" s="404">
        <f>ТС!D63</f>
        <v>24630.262846479996</v>
      </c>
      <c r="E23" s="404">
        <f>ТС!BA63</f>
        <v>1638.9916399999997</v>
      </c>
      <c r="F23" s="404">
        <f t="shared" si="0"/>
        <v>-22991.271206479996</v>
      </c>
      <c r="G23" s="427">
        <f t="shared" si="3"/>
        <v>-0.93345618557886256</v>
      </c>
      <c r="H23" s="413" t="s">
        <v>343</v>
      </c>
    </row>
    <row r="24" spans="2:15" s="418" customFormat="1" ht="36" customHeight="1">
      <c r="B24" s="415">
        <v>12</v>
      </c>
      <c r="C24" s="403" t="s">
        <v>328</v>
      </c>
      <c r="D24" s="404">
        <f>ТС!D65</f>
        <v>5755.7888171199993</v>
      </c>
      <c r="E24" s="404">
        <f>ТС!BA65</f>
        <v>1035.8933900000002</v>
      </c>
      <c r="F24" s="404">
        <f>E24-D24</f>
        <v>-4719.8954271199991</v>
      </c>
      <c r="G24" s="427">
        <f>(E24-D24)/D24</f>
        <v>-0.82002581697944821</v>
      </c>
      <c r="H24" s="407" t="s">
        <v>345</v>
      </c>
    </row>
    <row r="25" spans="2:15" s="418" customFormat="1" ht="90.75" customHeight="1">
      <c r="B25" s="426">
        <v>13</v>
      </c>
      <c r="C25" s="425" t="s">
        <v>330</v>
      </c>
      <c r="D25" s="433">
        <f>ТС!D70</f>
        <v>45499.551817243897</v>
      </c>
      <c r="E25" s="433">
        <f>ТС!BA70</f>
        <v>5632.1472457142891</v>
      </c>
      <c r="F25" s="404">
        <f>E25-D25</f>
        <v>-39867.404571529609</v>
      </c>
      <c r="G25" s="427">
        <f>(E25-D25)/D25</f>
        <v>-0.87621532475008346</v>
      </c>
      <c r="H25" s="425" t="s">
        <v>353</v>
      </c>
    </row>
    <row r="26" spans="2:15" s="419" customFormat="1" ht="20.25" customHeight="1">
      <c r="B26" s="428" t="s">
        <v>45</v>
      </c>
      <c r="C26" s="429" t="s">
        <v>314</v>
      </c>
      <c r="D26" s="437">
        <f>ТС!D86</f>
        <v>3265785.471496609</v>
      </c>
      <c r="E26" s="437">
        <f>ТС!BA86</f>
        <v>1375602.5031999999</v>
      </c>
      <c r="F26" s="437">
        <f>E26-D26</f>
        <v>-1890182.9682966091</v>
      </c>
      <c r="G26" s="430">
        <f>(E26-D26)/D26</f>
        <v>-0.5787835682392195</v>
      </c>
      <c r="H26" s="412"/>
      <c r="L26" s="441"/>
      <c r="M26" s="441"/>
      <c r="O26" s="441"/>
    </row>
    <row r="27" spans="2:15" s="418" customFormat="1" ht="45" customHeight="1">
      <c r="B27" s="415">
        <v>1</v>
      </c>
      <c r="C27" s="425" t="s">
        <v>331</v>
      </c>
      <c r="D27" s="404">
        <f>ТС!D88+ТС!D89+ТС!D90</f>
        <v>145187.09021599998</v>
      </c>
      <c r="E27" s="404">
        <f>ТС!BA88+ТС!BA89+ТС!BA90</f>
        <v>62841.234929999991</v>
      </c>
      <c r="F27" s="404">
        <f t="shared" ref="F27" si="4">E27-D27</f>
        <v>-82345.855285999991</v>
      </c>
      <c r="G27" s="427">
        <f t="shared" ref="G27:G29" si="5">(E27-D27)/D27</f>
        <v>-0.5671706428132911</v>
      </c>
      <c r="H27" s="407" t="s">
        <v>338</v>
      </c>
      <c r="J27" s="400"/>
    </row>
    <row r="28" spans="2:15" s="418" customFormat="1" ht="52.5" customHeight="1">
      <c r="B28" s="415">
        <v>2</v>
      </c>
      <c r="C28" s="403" t="s">
        <v>316</v>
      </c>
      <c r="D28" s="404">
        <f>ТС!D91</f>
        <v>5232.0325435000004</v>
      </c>
      <c r="E28" s="404">
        <f>ТС!BA91</f>
        <v>6628.027</v>
      </c>
      <c r="F28" s="404">
        <f t="shared" ref="F28:F33" si="6">E28-D28</f>
        <v>1395.9944564999996</v>
      </c>
      <c r="G28" s="427">
        <f t="shared" si="5"/>
        <v>0.26681685270369909</v>
      </c>
      <c r="H28" s="413" t="s">
        <v>367</v>
      </c>
      <c r="J28" s="400"/>
    </row>
    <row r="29" spans="2:15" s="418" customFormat="1" ht="63" customHeight="1">
      <c r="B29" s="415">
        <v>3</v>
      </c>
      <c r="C29" s="425" t="s">
        <v>332</v>
      </c>
      <c r="D29" s="404">
        <f>ТС!D92</f>
        <v>25588.812061714285</v>
      </c>
      <c r="E29" s="404">
        <f>ТС!BA92</f>
        <v>2368.4692599999998</v>
      </c>
      <c r="F29" s="404">
        <f t="shared" si="6"/>
        <v>-23220.342801714287</v>
      </c>
      <c r="G29" s="427">
        <f t="shared" si="5"/>
        <v>-0.90744121867448169</v>
      </c>
      <c r="H29" s="413" t="s">
        <v>377</v>
      </c>
      <c r="J29" s="400"/>
    </row>
    <row r="30" spans="2:15" s="418" customFormat="1" ht="35.25" customHeight="1">
      <c r="B30" s="415">
        <v>4</v>
      </c>
      <c r="C30" s="403" t="s">
        <v>318</v>
      </c>
      <c r="D30" s="404">
        <f>ТС!D97</f>
        <v>11410.545</v>
      </c>
      <c r="E30" s="404">
        <f>ТС!BA97</f>
        <v>1430.3400000000001</v>
      </c>
      <c r="F30" s="404">
        <f t="shared" si="6"/>
        <v>-9980.2049999999999</v>
      </c>
      <c r="G30" s="427">
        <f>(E30-D30)/D30</f>
        <v>-0.87464752998213491</v>
      </c>
      <c r="H30" s="413" t="s">
        <v>348</v>
      </c>
      <c r="J30" s="400"/>
    </row>
    <row r="31" spans="2:15" s="418" customFormat="1" ht="46.5" customHeight="1">
      <c r="B31" s="415">
        <v>5</v>
      </c>
      <c r="C31" s="403" t="s">
        <v>333</v>
      </c>
      <c r="D31" s="404">
        <f>ТС!D99</f>
        <v>14.456618799999999</v>
      </c>
      <c r="E31" s="404">
        <f>ТС!BA99</f>
        <v>4.4744999999999999</v>
      </c>
      <c r="F31" s="404">
        <f t="shared" si="6"/>
        <v>-9.9821187999999985</v>
      </c>
      <c r="G31" s="439">
        <f>(E31-D31)/D31</f>
        <v>-0.69048779234602209</v>
      </c>
      <c r="H31" s="413" t="s">
        <v>378</v>
      </c>
      <c r="J31" s="400"/>
    </row>
    <row r="32" spans="2:15" s="418" customFormat="1" ht="30">
      <c r="B32" s="415">
        <v>6</v>
      </c>
      <c r="C32" s="403" t="s">
        <v>329</v>
      </c>
      <c r="D32" s="404">
        <f>ТС!D103</f>
        <v>903.125</v>
      </c>
      <c r="E32" s="404">
        <f>ТС!BA103</f>
        <v>44.642999999999994</v>
      </c>
      <c r="F32" s="404">
        <f t="shared" si="6"/>
        <v>-858.48199999999997</v>
      </c>
      <c r="G32" s="439">
        <f>(E32-D32)/D32</f>
        <v>-0.9505683044982699</v>
      </c>
      <c r="H32" s="413" t="s">
        <v>340</v>
      </c>
      <c r="J32" s="400"/>
    </row>
    <row r="33" spans="2:10" s="418" customFormat="1" ht="30.75" customHeight="1">
      <c r="B33" s="415">
        <v>7</v>
      </c>
      <c r="C33" s="403" t="s">
        <v>334</v>
      </c>
      <c r="D33" s="404">
        <f>ТС!D104</f>
        <v>296.57707597200005</v>
      </c>
      <c r="E33" s="404">
        <f>ТС!BA104</f>
        <v>64.090579999999989</v>
      </c>
      <c r="F33" s="404">
        <f t="shared" si="6"/>
        <v>-232.48649597200006</v>
      </c>
      <c r="G33" s="427">
        <f>(E33-D33)/D33</f>
        <v>-0.78389907652184554</v>
      </c>
      <c r="H33" s="407" t="s">
        <v>345</v>
      </c>
      <c r="J33" s="400"/>
    </row>
    <row r="34" spans="2:10" s="418" customFormat="1" ht="79.5" customHeight="1">
      <c r="B34" s="415">
        <v>8</v>
      </c>
      <c r="C34" s="425" t="s">
        <v>335</v>
      </c>
      <c r="D34" s="404">
        <f>ТС!D107</f>
        <v>16767.959742622967</v>
      </c>
      <c r="E34" s="404">
        <f>ТС!BA107</f>
        <v>2395.51793</v>
      </c>
      <c r="F34" s="404">
        <f t="shared" ref="F34:F35" si="7">E34-D34</f>
        <v>-14372.441812622967</v>
      </c>
      <c r="G34" s="427">
        <f t="shared" ref="G34:G35" si="8">(E34-D34)/D34</f>
        <v>-0.85713718503803638</v>
      </c>
      <c r="H34" s="413" t="s">
        <v>370</v>
      </c>
      <c r="J34" s="400"/>
    </row>
    <row r="35" spans="2:10" s="418" customFormat="1" ht="27" customHeight="1">
      <c r="B35" s="415">
        <v>9</v>
      </c>
      <c r="C35" s="424" t="s">
        <v>66</v>
      </c>
      <c r="D35" s="404">
        <f>ТС!D125</f>
        <v>3060384.8732379996</v>
      </c>
      <c r="E35" s="404">
        <f>ТС!BA125</f>
        <v>1299825.706</v>
      </c>
      <c r="F35" s="404">
        <f t="shared" si="7"/>
        <v>-1760559.1672379996</v>
      </c>
      <c r="G35" s="427">
        <f t="shared" si="8"/>
        <v>-0.57527377769818322</v>
      </c>
      <c r="H35" s="413" t="s">
        <v>349</v>
      </c>
      <c r="J35" s="400"/>
    </row>
  </sheetData>
  <mergeCells count="7">
    <mergeCell ref="C1:H1"/>
    <mergeCell ref="H3:H4"/>
    <mergeCell ref="B3:B4"/>
    <mergeCell ref="C3:C4"/>
    <mergeCell ref="D3:E3"/>
    <mergeCell ref="F3:F4"/>
    <mergeCell ref="G3:G4"/>
  </mergeCells>
  <printOptions horizontalCentered="1"/>
  <pageMargins left="0.59055118110236227" right="0.39370078740157483" top="0.39370078740157483" bottom="0.39370078740157483" header="0.31496062992125984" footer="0.31496062992125984"/>
  <pageSetup paperSize="9" scale="6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outlinePr summaryBelow="0" summaryRight="0"/>
  </sheetPr>
  <dimension ref="B1:CB191"/>
  <sheetViews>
    <sheetView showZeros="0" zoomScale="70" zoomScaleNormal="70" zoomScaleSheetLayoutView="3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S40" sqref="BS40"/>
    </sheetView>
  </sheetViews>
  <sheetFormatPr defaultColWidth="9.140625" defaultRowHeight="20.25" outlineLevelRow="1" outlineLevelCol="1"/>
  <cols>
    <col min="1" max="1" width="1.7109375" style="1" customWidth="1"/>
    <col min="2" max="2" width="8.28515625" style="80" customWidth="1"/>
    <col min="3" max="3" width="65.42578125" style="381" customWidth="1"/>
    <col min="4" max="4" width="19.7109375" style="37" customWidth="1"/>
    <col min="5" max="7" width="19.7109375" style="37" customWidth="1" outlineLevel="1"/>
    <col min="8" max="8" width="19.7109375" style="1" customWidth="1" outlineLevel="1"/>
    <col min="9" max="9" width="3" style="1" customWidth="1"/>
    <col min="10" max="10" width="19.7109375" style="37" hidden="1" customWidth="1" collapsed="1"/>
    <col min="11" max="13" width="19.7109375" style="37" hidden="1" customWidth="1" outlineLevel="1"/>
    <col min="14" max="14" width="19.7109375" style="1" hidden="1" customWidth="1" outlineLevel="1"/>
    <col min="15" max="15" width="3" style="1" hidden="1" customWidth="1"/>
    <col min="16" max="16" width="19.7109375" style="37" hidden="1" customWidth="1" collapsed="1"/>
    <col min="17" max="17" width="15" style="37" hidden="1" customWidth="1" outlineLevel="1"/>
    <col min="18" max="18" width="15.5703125" style="37" hidden="1" customWidth="1" outlineLevel="1"/>
    <col min="19" max="19" width="15" style="37" hidden="1" customWidth="1" outlineLevel="1"/>
    <col min="20" max="20" width="13.85546875" style="1" hidden="1" customWidth="1" outlineLevel="1"/>
    <col min="21" max="21" width="3.28515625" style="1" customWidth="1" collapsed="1"/>
    <col min="22" max="25" width="19.7109375" style="37" hidden="1" customWidth="1" outlineLevel="1"/>
    <col min="26" max="26" width="19.7109375" style="1" hidden="1" customWidth="1" outlineLevel="1"/>
    <col min="27" max="27" width="5.140625" style="1" customWidth="1" collapsed="1"/>
    <col min="28" max="31" width="19.7109375" style="37" hidden="1" customWidth="1" outlineLevel="1"/>
    <col min="32" max="32" width="19.7109375" style="1" hidden="1" customWidth="1" outlineLevel="1"/>
    <col min="33" max="33" width="6.85546875" style="1" customWidth="1" collapsed="1"/>
    <col min="34" max="37" width="19.7109375" style="37" hidden="1" customWidth="1" outlineLevel="1"/>
    <col min="38" max="38" width="19.7109375" style="1" hidden="1" customWidth="1" outlineLevel="1"/>
    <col min="39" max="39" width="7.140625" style="1" customWidth="1" collapsed="1"/>
    <col min="40" max="43" width="19.7109375" style="37" hidden="1" customWidth="1" outlineLevel="1"/>
    <col min="44" max="44" width="19.7109375" style="1" hidden="1" customWidth="1" outlineLevel="1"/>
    <col min="45" max="45" width="3.140625" style="1" customWidth="1" collapsed="1"/>
    <col min="46" max="49" width="19.7109375" style="37" hidden="1" customWidth="1" outlineLevel="1"/>
    <col min="50" max="51" width="19.7109375" style="1" hidden="1" customWidth="1" outlineLevel="1"/>
    <col min="52" max="52" width="3.42578125" style="1" customWidth="1"/>
    <col min="53" max="53" width="20.5703125" style="37" bestFit="1" customWidth="1"/>
    <col min="54" max="54" width="20.140625" style="37" customWidth="1" outlineLevel="1"/>
    <col min="55" max="55" width="17.5703125" style="37" customWidth="1" outlineLevel="1"/>
    <col min="56" max="56" width="20.7109375" style="37" customWidth="1" outlineLevel="1"/>
    <col min="57" max="57" width="16" style="1" customWidth="1" outlineLevel="1"/>
    <col min="58" max="58" width="4.7109375" style="1" customWidth="1"/>
    <col min="59" max="59" width="18.85546875" style="37" hidden="1" customWidth="1"/>
    <col min="60" max="61" width="11.28515625" style="1" hidden="1" customWidth="1" outlineLevel="1"/>
    <col min="62" max="62" width="14.85546875" style="1" hidden="1" customWidth="1" outlineLevel="1"/>
    <col min="63" max="63" width="11.7109375" style="1" hidden="1" customWidth="1" outlineLevel="1"/>
    <col min="64" max="64" width="9.140625" style="1" customWidth="1"/>
    <col min="65" max="65" width="18.85546875" style="37" customWidth="1"/>
    <col min="66" max="67" width="11.28515625" style="1" customWidth="1" outlineLevel="1"/>
    <col min="68" max="68" width="14.85546875" style="1" customWidth="1" outlineLevel="1"/>
    <col min="69" max="69" width="11.7109375" style="1" customWidth="1" outlineLevel="1"/>
    <col min="70" max="70" width="9.140625" style="1"/>
    <col min="71" max="75" width="17.7109375" style="1" customWidth="1"/>
    <col min="76" max="16384" width="9.140625" style="1"/>
  </cols>
  <sheetData>
    <row r="1" spans="2:69" s="2" customFormat="1" ht="24.75" customHeight="1">
      <c r="B1" s="369" t="s">
        <v>285</v>
      </c>
      <c r="C1" s="377"/>
      <c r="D1" s="199"/>
      <c r="E1" s="200"/>
      <c r="F1" s="200"/>
      <c r="G1" s="200"/>
      <c r="H1" s="199"/>
      <c r="J1" s="199"/>
      <c r="K1" s="200"/>
      <c r="L1" s="200"/>
      <c r="M1" s="200"/>
      <c r="N1" s="199"/>
      <c r="P1" s="199"/>
      <c r="Q1" s="200"/>
      <c r="R1" s="200"/>
      <c r="S1" s="200"/>
      <c r="T1" s="199"/>
      <c r="V1" s="199"/>
      <c r="W1" s="200"/>
      <c r="X1" s="200"/>
      <c r="Y1" s="200"/>
      <c r="Z1" s="199"/>
      <c r="AC1" s="200"/>
      <c r="AD1" s="200"/>
      <c r="AE1" s="200"/>
      <c r="AF1" s="199"/>
      <c r="AH1" s="199"/>
      <c r="AI1" s="199"/>
      <c r="AJ1" s="200"/>
      <c r="AK1" s="200"/>
      <c r="AL1" s="199"/>
      <c r="AN1" s="199"/>
      <c r="AO1" s="200"/>
      <c r="AP1" s="200"/>
      <c r="AQ1" s="200"/>
      <c r="AR1" s="199"/>
      <c r="AS1" s="199"/>
      <c r="AT1" s="199"/>
      <c r="AU1" s="200"/>
      <c r="AV1" s="200"/>
      <c r="AW1" s="200"/>
      <c r="AX1" s="199"/>
      <c r="AY1" s="199"/>
      <c r="BA1" s="199"/>
      <c r="BB1" s="200"/>
      <c r="BC1" s="200"/>
      <c r="BD1" s="200"/>
      <c r="BE1" s="199"/>
      <c r="BG1" s="199"/>
      <c r="BH1" s="199"/>
      <c r="BM1" s="199"/>
      <c r="BN1" s="199"/>
    </row>
    <row r="2" spans="2:69" s="2" customFormat="1" ht="18" customHeight="1">
      <c r="B2" s="81"/>
      <c r="C2" s="378"/>
      <c r="D2" s="170"/>
      <c r="E2" s="198"/>
      <c r="F2" s="198"/>
      <c r="G2" s="198"/>
      <c r="H2" s="198"/>
      <c r="I2" s="206"/>
      <c r="J2" s="170"/>
      <c r="K2" s="198"/>
      <c r="L2" s="198"/>
      <c r="M2" s="198"/>
      <c r="N2" s="198"/>
      <c r="P2" s="170"/>
      <c r="Q2" s="198"/>
      <c r="R2" s="198"/>
      <c r="S2" s="198"/>
      <c r="T2" s="198"/>
      <c r="V2" s="170"/>
      <c r="W2" s="198"/>
      <c r="X2" s="198"/>
      <c r="Y2" s="198"/>
      <c r="Z2" s="198"/>
      <c r="AB2" s="170"/>
      <c r="AC2" s="198"/>
      <c r="AD2" s="198"/>
      <c r="AE2" s="198"/>
      <c r="AF2" s="198"/>
      <c r="AH2" s="170"/>
      <c r="AI2" s="198"/>
      <c r="AJ2" s="198"/>
      <c r="AK2" s="198"/>
      <c r="AL2" s="198"/>
      <c r="AN2" s="170"/>
      <c r="AO2" s="198"/>
      <c r="AP2" s="198"/>
      <c r="AQ2" s="198"/>
      <c r="AR2" s="198"/>
      <c r="AS2" s="206"/>
      <c r="AT2" s="170"/>
      <c r="AU2" s="198"/>
      <c r="AV2" s="198"/>
      <c r="AW2" s="198"/>
      <c r="AX2" s="198"/>
      <c r="AY2" s="198"/>
      <c r="BA2" s="170"/>
      <c r="BB2" s="198"/>
      <c r="BC2" s="198"/>
      <c r="BD2" s="198"/>
      <c r="BE2" s="198"/>
      <c r="BG2" s="170"/>
      <c r="BH2" s="206"/>
      <c r="BM2" s="170"/>
      <c r="BN2" s="206"/>
    </row>
    <row r="3" spans="2:69" s="2" customFormat="1" ht="42.75" customHeight="1">
      <c r="B3" s="788" t="s">
        <v>0</v>
      </c>
      <c r="C3" s="789" t="s">
        <v>1</v>
      </c>
      <c r="D3" s="809" t="s">
        <v>284</v>
      </c>
      <c r="E3" s="809"/>
      <c r="F3" s="809"/>
      <c r="G3" s="809"/>
      <c r="H3" s="809"/>
      <c r="I3" s="367"/>
      <c r="J3" s="809" t="s">
        <v>286</v>
      </c>
      <c r="K3" s="809"/>
      <c r="L3" s="809"/>
      <c r="M3" s="809"/>
      <c r="N3" s="809"/>
      <c r="P3" s="809" t="s">
        <v>361</v>
      </c>
      <c r="Q3" s="809"/>
      <c r="R3" s="809"/>
      <c r="S3" s="809"/>
      <c r="T3" s="809"/>
      <c r="V3" s="809" t="s">
        <v>287</v>
      </c>
      <c r="W3" s="809"/>
      <c r="X3" s="809"/>
      <c r="Y3" s="809"/>
      <c r="Z3" s="809"/>
      <c r="AB3" s="809" t="s">
        <v>288</v>
      </c>
      <c r="AC3" s="809"/>
      <c r="AD3" s="809"/>
      <c r="AE3" s="809"/>
      <c r="AF3" s="809"/>
      <c r="AH3" s="809" t="s">
        <v>289</v>
      </c>
      <c r="AI3" s="809"/>
      <c r="AJ3" s="809"/>
      <c r="AK3" s="809"/>
      <c r="AL3" s="809"/>
      <c r="AN3" s="809" t="s">
        <v>290</v>
      </c>
      <c r="AO3" s="809"/>
      <c r="AP3" s="809"/>
      <c r="AQ3" s="809"/>
      <c r="AR3" s="809"/>
      <c r="AS3" s="447"/>
      <c r="AT3" s="809" t="s">
        <v>364</v>
      </c>
      <c r="AU3" s="809"/>
      <c r="AV3" s="809"/>
      <c r="AW3" s="809"/>
      <c r="AX3" s="809"/>
      <c r="AY3" s="809"/>
      <c r="BA3" s="809" t="s">
        <v>362</v>
      </c>
      <c r="BB3" s="809"/>
      <c r="BC3" s="809"/>
      <c r="BD3" s="809"/>
      <c r="BE3" s="809"/>
      <c r="BG3" s="809" t="s">
        <v>363</v>
      </c>
      <c r="BH3" s="809"/>
      <c r="BI3" s="809"/>
      <c r="BJ3" s="809"/>
      <c r="BK3" s="809"/>
      <c r="BM3" s="809" t="s">
        <v>372</v>
      </c>
      <c r="BN3" s="809"/>
      <c r="BO3" s="809"/>
      <c r="BP3" s="809"/>
      <c r="BQ3" s="809"/>
    </row>
    <row r="4" spans="2:69" ht="84.6" customHeight="1">
      <c r="B4" s="788"/>
      <c r="C4" s="789"/>
      <c r="D4" s="366" t="s">
        <v>3</v>
      </c>
      <c r="E4" s="73" t="s">
        <v>173</v>
      </c>
      <c r="F4" s="73" t="s">
        <v>174</v>
      </c>
      <c r="G4" s="73" t="s">
        <v>197</v>
      </c>
      <c r="H4" s="73" t="s">
        <v>198</v>
      </c>
      <c r="J4" s="368" t="s">
        <v>3</v>
      </c>
      <c r="K4" s="73" t="s">
        <v>173</v>
      </c>
      <c r="L4" s="73" t="s">
        <v>174</v>
      </c>
      <c r="M4" s="73" t="s">
        <v>197</v>
      </c>
      <c r="N4" s="73" t="s">
        <v>198</v>
      </c>
      <c r="P4" s="394" t="s">
        <v>3</v>
      </c>
      <c r="Q4" s="73" t="s">
        <v>357</v>
      </c>
      <c r="R4" s="73" t="s">
        <v>358</v>
      </c>
      <c r="S4" s="73" t="s">
        <v>197</v>
      </c>
      <c r="T4" s="73" t="s">
        <v>198</v>
      </c>
      <c r="V4" s="368" t="s">
        <v>291</v>
      </c>
      <c r="W4" s="73" t="s">
        <v>173</v>
      </c>
      <c r="X4" s="73" t="s">
        <v>174</v>
      </c>
      <c r="Y4" s="73" t="s">
        <v>197</v>
      </c>
      <c r="Z4" s="73" t="s">
        <v>198</v>
      </c>
      <c r="AB4" s="392" t="s">
        <v>291</v>
      </c>
      <c r="AC4" s="73" t="s">
        <v>173</v>
      </c>
      <c r="AD4" s="73" t="s">
        <v>174</v>
      </c>
      <c r="AE4" s="73" t="s">
        <v>197</v>
      </c>
      <c r="AF4" s="73" t="s">
        <v>198</v>
      </c>
      <c r="AH4" s="368" t="s">
        <v>291</v>
      </c>
      <c r="AI4" s="73" t="s">
        <v>173</v>
      </c>
      <c r="AJ4" s="73" t="s">
        <v>174</v>
      </c>
      <c r="AK4" s="73" t="s">
        <v>197</v>
      </c>
      <c r="AL4" s="73" t="s">
        <v>198</v>
      </c>
      <c r="AN4" s="368" t="s">
        <v>291</v>
      </c>
      <c r="AO4" s="73" t="s">
        <v>173</v>
      </c>
      <c r="AP4" s="73" t="s">
        <v>174</v>
      </c>
      <c r="AQ4" s="73" t="s">
        <v>197</v>
      </c>
      <c r="AR4" s="73" t="s">
        <v>198</v>
      </c>
      <c r="AS4" s="449"/>
      <c r="AT4" s="448" t="s">
        <v>291</v>
      </c>
      <c r="AU4" s="73" t="s">
        <v>173</v>
      </c>
      <c r="AV4" s="73" t="s">
        <v>174</v>
      </c>
      <c r="AW4" s="73" t="s">
        <v>197</v>
      </c>
      <c r="AX4" s="73" t="s">
        <v>198</v>
      </c>
      <c r="AY4" s="73" t="s">
        <v>365</v>
      </c>
      <c r="BA4" s="393" t="s">
        <v>291</v>
      </c>
      <c r="BB4" s="73" t="s">
        <v>357</v>
      </c>
      <c r="BC4" s="73" t="s">
        <v>358</v>
      </c>
      <c r="BD4" s="73" t="s">
        <v>197</v>
      </c>
      <c r="BE4" s="73" t="s">
        <v>198</v>
      </c>
      <c r="BG4" s="394" t="s">
        <v>291</v>
      </c>
      <c r="BH4" s="399" t="s">
        <v>292</v>
      </c>
      <c r="BI4" s="399" t="s">
        <v>293</v>
      </c>
      <c r="BJ4" s="399" t="s">
        <v>294</v>
      </c>
      <c r="BK4" s="399" t="s">
        <v>295</v>
      </c>
      <c r="BM4" s="465" t="s">
        <v>291</v>
      </c>
      <c r="BN4" s="399" t="s">
        <v>292</v>
      </c>
      <c r="BO4" s="399" t="s">
        <v>293</v>
      </c>
      <c r="BP4" s="399" t="s">
        <v>294</v>
      </c>
      <c r="BQ4" s="399" t="s">
        <v>295</v>
      </c>
    </row>
    <row r="5" spans="2:69" s="135" customFormat="1" ht="12" customHeight="1">
      <c r="B5" s="77">
        <v>1</v>
      </c>
      <c r="C5" s="10">
        <v>2</v>
      </c>
      <c r="D5" s="10">
        <v>4</v>
      </c>
      <c r="E5" s="134">
        <v>5</v>
      </c>
      <c r="F5" s="134">
        <v>6</v>
      </c>
      <c r="G5" s="134">
        <v>7</v>
      </c>
      <c r="H5" s="134">
        <v>8</v>
      </c>
      <c r="J5" s="10">
        <v>4</v>
      </c>
      <c r="K5" s="134">
        <v>5</v>
      </c>
      <c r="L5" s="134">
        <v>6</v>
      </c>
      <c r="M5" s="134">
        <v>7</v>
      </c>
      <c r="N5" s="134">
        <v>8</v>
      </c>
      <c r="P5" s="10">
        <v>4</v>
      </c>
      <c r="Q5" s="134">
        <v>5</v>
      </c>
      <c r="R5" s="134">
        <v>6</v>
      </c>
      <c r="S5" s="134">
        <v>7</v>
      </c>
      <c r="T5" s="134">
        <v>8</v>
      </c>
      <c r="V5" s="10">
        <v>4</v>
      </c>
      <c r="W5" s="134">
        <v>5</v>
      </c>
      <c r="X5" s="134">
        <v>6</v>
      </c>
      <c r="Y5" s="134">
        <v>7</v>
      </c>
      <c r="Z5" s="134">
        <v>8</v>
      </c>
      <c r="AB5" s="10">
        <v>4</v>
      </c>
      <c r="AC5" s="134">
        <v>5</v>
      </c>
      <c r="AD5" s="134">
        <v>6</v>
      </c>
      <c r="AE5" s="134">
        <v>7</v>
      </c>
      <c r="AF5" s="134">
        <v>8</v>
      </c>
      <c r="AH5" s="10">
        <v>4</v>
      </c>
      <c r="AI5" s="134">
        <v>5</v>
      </c>
      <c r="AJ5" s="134">
        <v>6</v>
      </c>
      <c r="AK5" s="134">
        <v>7</v>
      </c>
      <c r="AL5" s="134">
        <v>8</v>
      </c>
      <c r="AN5" s="10">
        <v>4</v>
      </c>
      <c r="AO5" s="134">
        <v>5</v>
      </c>
      <c r="AP5" s="134">
        <v>6</v>
      </c>
      <c r="AQ5" s="134">
        <v>7</v>
      </c>
      <c r="AR5" s="134">
        <v>8</v>
      </c>
      <c r="AS5" s="450"/>
      <c r="AT5" s="10">
        <v>4</v>
      </c>
      <c r="AU5" s="134">
        <v>5</v>
      </c>
      <c r="AV5" s="134">
        <v>6</v>
      </c>
      <c r="AW5" s="134">
        <v>7</v>
      </c>
      <c r="AX5" s="134">
        <v>8</v>
      </c>
      <c r="AY5" s="134">
        <v>8</v>
      </c>
      <c r="BA5" s="10">
        <v>4</v>
      </c>
      <c r="BB5" s="134">
        <v>5</v>
      </c>
      <c r="BC5" s="134">
        <v>6</v>
      </c>
      <c r="BD5" s="134">
        <v>7</v>
      </c>
      <c r="BE5" s="134">
        <v>8</v>
      </c>
      <c r="BG5" s="10">
        <v>4</v>
      </c>
      <c r="BH5" s="134"/>
      <c r="BI5" s="134"/>
      <c r="BJ5" s="134"/>
      <c r="BK5" s="134"/>
      <c r="BM5" s="10">
        <v>4</v>
      </c>
      <c r="BN5" s="134"/>
      <c r="BO5" s="134"/>
      <c r="BP5" s="134"/>
      <c r="BQ5" s="134"/>
    </row>
    <row r="6" spans="2:69" s="4" customFormat="1">
      <c r="B6" s="384" t="s">
        <v>4</v>
      </c>
      <c r="C6" s="385" t="s">
        <v>5</v>
      </c>
      <c r="D6" s="386">
        <f>D7+D24+D29+D30+D31</f>
        <v>4760881.1499521928</v>
      </c>
      <c r="E6" s="386">
        <f>E7+E24+E29+E30+E31</f>
        <v>1114587.5174498702</v>
      </c>
      <c r="F6" s="386">
        <f>F7+F24+F29+F30+F31</f>
        <v>994883.7768598689</v>
      </c>
      <c r="G6" s="386">
        <f>G7+G24+G29+G30+G31</f>
        <v>2554319.5634809919</v>
      </c>
      <c r="H6" s="386">
        <f>H7+H24+H29+H30+H31</f>
        <v>97090.292161462014</v>
      </c>
      <c r="J6" s="386">
        <f>D6/12</f>
        <v>396740.09582934942</v>
      </c>
      <c r="K6" s="386">
        <f t="shared" ref="K6:K69" si="0">E6/12</f>
        <v>92882.29312082252</v>
      </c>
      <c r="L6" s="386">
        <f t="shared" ref="L6:L69" si="1">F6/12</f>
        <v>82906.98140498907</v>
      </c>
      <c r="M6" s="386">
        <f t="shared" ref="M6:M69" si="2">G6/12</f>
        <v>212859.963623416</v>
      </c>
      <c r="N6" s="386">
        <f t="shared" ref="N6:N69" si="3">H6/12</f>
        <v>8090.8576801218342</v>
      </c>
      <c r="P6" s="386">
        <f t="shared" ref="P6:T9" si="4">J6*5</f>
        <v>1983700.4791467472</v>
      </c>
      <c r="Q6" s="386">
        <f t="shared" si="4"/>
        <v>464411.4656041126</v>
      </c>
      <c r="R6" s="386">
        <f t="shared" si="4"/>
        <v>414534.90702494537</v>
      </c>
      <c r="S6" s="386">
        <f t="shared" si="4"/>
        <v>1064299.81811708</v>
      </c>
      <c r="T6" s="386">
        <f t="shared" si="4"/>
        <v>40454.28840060917</v>
      </c>
      <c r="V6" s="386">
        <f>V7+V24+V29+V30+V31</f>
        <v>369331.31761000003</v>
      </c>
      <c r="W6" s="386">
        <f>W7+W24+W29+W30+W31</f>
        <v>115894.40278951003</v>
      </c>
      <c r="X6" s="386">
        <f>X7+X24+X29+X30+X31</f>
        <v>94047.389915448613</v>
      </c>
      <c r="Y6" s="386">
        <f>Y7+Y24+Y29+Y30+Y31</f>
        <v>147710.95790238402</v>
      </c>
      <c r="Z6" s="386">
        <f>Z7+Z24+Z29+Z30+Z31</f>
        <v>11678.567002657335</v>
      </c>
      <c r="AB6" s="386">
        <f>AB7+AB24+AB29+AB30+AB31</f>
        <v>326250.41120999999</v>
      </c>
      <c r="AC6" s="386">
        <f>AC7+AC24+AC29+AC30+AC31</f>
        <v>111471.06999880586</v>
      </c>
      <c r="AD6" s="386">
        <f>AD7+AD24+AD29+AD30+AD31</f>
        <v>88377.943341902006</v>
      </c>
      <c r="AE6" s="386">
        <f>AE7+AE24+AE29+AE30+AE31</f>
        <v>117429.84937255637</v>
      </c>
      <c r="AF6" s="386">
        <f>AF7+AF24+AF29+AF30+AF31</f>
        <v>8971.5484967357534</v>
      </c>
      <c r="AH6" s="386">
        <f>AH7+AH24+AH29+AH30+AH31</f>
        <v>336298.82710000005</v>
      </c>
      <c r="AI6" s="386">
        <f>AI7+AI24+AI29+AI30+AI31</f>
        <v>112012.60530692981</v>
      </c>
      <c r="AJ6" s="386">
        <f>AJ7+AJ24+AJ29+AJ30+AJ31</f>
        <v>89042.952961665855</v>
      </c>
      <c r="AK6" s="386">
        <f>AK7+AK24+AK29+AK30+AK31</f>
        <v>125979.72511223427</v>
      </c>
      <c r="AL6" s="386">
        <f>AL7+AL24+AL29+AL30+AL31</f>
        <v>9263.5437191701185</v>
      </c>
      <c r="AN6" s="386">
        <f>AN7+AN24+AN29+AN30+AN31</f>
        <v>360173.51560999994</v>
      </c>
      <c r="AO6" s="386">
        <f>AO7+AO24+AO29+AO30+AO31</f>
        <v>114406.10629743512</v>
      </c>
      <c r="AP6" s="386">
        <f>AP7+AP24+AP29+AP30+AP31</f>
        <v>91839.053649548907</v>
      </c>
      <c r="AQ6" s="386">
        <f>AQ7+AQ24+AQ29+AQ30+AQ31</f>
        <v>143515.12385526826</v>
      </c>
      <c r="AR6" s="386">
        <f>AR7+AR24+AR29+AR30+AR31</f>
        <v>10413.231807747665</v>
      </c>
      <c r="AS6" s="460"/>
      <c r="AT6" s="386">
        <f t="shared" ref="AT6:AY6" si="5">AT7+AT24+AT29+AT30+AT31</f>
        <v>281015.41935571423</v>
      </c>
      <c r="AU6" s="386">
        <f t="shared" si="5"/>
        <v>34883.267474801643</v>
      </c>
      <c r="AV6" s="386">
        <f t="shared" si="5"/>
        <v>38194.267012115924</v>
      </c>
      <c r="AW6" s="386">
        <f t="shared" si="5"/>
        <v>193532.84240671847</v>
      </c>
      <c r="AX6" s="386">
        <f t="shared" si="5"/>
        <v>14405.042462078185</v>
      </c>
      <c r="AY6" s="386">
        <f t="shared" si="5"/>
        <v>0</v>
      </c>
      <c r="BA6" s="386">
        <f>BA7+BA24+BA29+BA30+BA31</f>
        <v>1673069.4908857143</v>
      </c>
      <c r="BB6" s="386">
        <f>BB7+BB24+BB29+BB30+BB31</f>
        <v>488667.45186748251</v>
      </c>
      <c r="BC6" s="386">
        <f>BC7+BC24+BC29+BC30+BC31</f>
        <v>401501.60688068136</v>
      </c>
      <c r="BD6" s="386">
        <f>BD7+BD24+BD29+BD30+BD31</f>
        <v>728168.49864916154</v>
      </c>
      <c r="BE6" s="386">
        <f>BE7+BE24+BE29+BE30+BE31</f>
        <v>54731.933488389055</v>
      </c>
      <c r="BG6" s="398">
        <f t="shared" ref="BG6:BK9" si="6">BA6/P6</f>
        <v>0.84340832120248055</v>
      </c>
      <c r="BH6" s="398">
        <f t="shared" si="6"/>
        <v>1.0522295164091553</v>
      </c>
      <c r="BI6" s="398">
        <f t="shared" si="6"/>
        <v>0.96855922161585373</v>
      </c>
      <c r="BJ6" s="398">
        <f t="shared" si="6"/>
        <v>0.6841760998676204</v>
      </c>
      <c r="BK6" s="398">
        <f t="shared" si="6"/>
        <v>1.352932795316822</v>
      </c>
      <c r="BM6" s="398">
        <f>BA6/D6</f>
        <v>0.35142013383436693</v>
      </c>
      <c r="BN6" s="398">
        <f t="shared" ref="BN6:BQ7" si="7">BB6/E6</f>
        <v>0.43842896517048141</v>
      </c>
      <c r="BO6" s="398">
        <f t="shared" si="7"/>
        <v>0.40356634233993904</v>
      </c>
      <c r="BP6" s="398">
        <f t="shared" si="7"/>
        <v>0.28507337494484186</v>
      </c>
      <c r="BQ6" s="398">
        <f t="shared" si="7"/>
        <v>0.56372199804867584</v>
      </c>
    </row>
    <row r="7" spans="2:69" s="6" customFormat="1">
      <c r="B7" s="375" t="s">
        <v>8</v>
      </c>
      <c r="C7" s="379" t="s">
        <v>272</v>
      </c>
      <c r="D7" s="376">
        <f>D8+D20+D23</f>
        <v>484789.71351999656</v>
      </c>
      <c r="E7" s="376">
        <f t="shared" ref="E7:H7" si="8">E8+E20+E23</f>
        <v>29230.408609269456</v>
      </c>
      <c r="F7" s="376">
        <f t="shared" si="8"/>
        <v>40562.014689048257</v>
      </c>
      <c r="G7" s="376">
        <f t="shared" si="8"/>
        <v>412813.67462950631</v>
      </c>
      <c r="H7" s="376">
        <f t="shared" si="8"/>
        <v>2183.615592172529</v>
      </c>
      <c r="J7" s="376">
        <f t="shared" ref="J7:J70" si="9">D7/12</f>
        <v>40399.142793333049</v>
      </c>
      <c r="K7" s="376">
        <f t="shared" si="0"/>
        <v>2435.867384105788</v>
      </c>
      <c r="L7" s="376">
        <f t="shared" si="1"/>
        <v>3380.1678907540213</v>
      </c>
      <c r="M7" s="376">
        <f t="shared" si="2"/>
        <v>34401.139552458859</v>
      </c>
      <c r="N7" s="376">
        <f t="shared" si="3"/>
        <v>181.96796601437742</v>
      </c>
      <c r="P7" s="376">
        <f t="shared" si="4"/>
        <v>201995.71396666524</v>
      </c>
      <c r="Q7" s="376">
        <f t="shared" si="4"/>
        <v>12179.33692052894</v>
      </c>
      <c r="R7" s="376">
        <f t="shared" si="4"/>
        <v>16900.839453770106</v>
      </c>
      <c r="S7" s="376">
        <f t="shared" si="4"/>
        <v>172005.69776229429</v>
      </c>
      <c r="T7" s="376">
        <f t="shared" si="4"/>
        <v>909.83983007188715</v>
      </c>
      <c r="V7" s="376">
        <f>V8+V20+V23</f>
        <v>10501.721770000004</v>
      </c>
      <c r="W7" s="376">
        <f t="shared" ref="W7:Z7" si="10">W8+W20+W23</f>
        <v>619.56911381633381</v>
      </c>
      <c r="X7" s="376">
        <f t="shared" si="10"/>
        <v>510.54026980585536</v>
      </c>
      <c r="Y7" s="376">
        <f t="shared" si="10"/>
        <v>9304.8651988837701</v>
      </c>
      <c r="Z7" s="376">
        <f t="shared" si="10"/>
        <v>66.7471874940438</v>
      </c>
      <c r="AB7" s="376">
        <f>AB8+AB20+AB23</f>
        <v>9389.8158500000027</v>
      </c>
      <c r="AC7" s="376">
        <f t="shared" ref="AC7:AF7" si="11">AC8+AC20+AC23</f>
        <v>618.96996971803833</v>
      </c>
      <c r="AD7" s="376">
        <f t="shared" si="11"/>
        <v>517.29008061546176</v>
      </c>
      <c r="AE7" s="376">
        <f t="shared" si="11"/>
        <v>8202.8664580731711</v>
      </c>
      <c r="AF7" s="376">
        <f t="shared" si="11"/>
        <v>50.689341593331804</v>
      </c>
      <c r="AH7" s="376">
        <f>AH8+AH20+AH23</f>
        <v>17303.402790000047</v>
      </c>
      <c r="AI7" s="376">
        <f t="shared" ref="AI7:AL7" si="12">AI8+AI20+AI23</f>
        <v>979.04539462662274</v>
      </c>
      <c r="AJ7" s="376">
        <f t="shared" si="12"/>
        <v>889.58920906605431</v>
      </c>
      <c r="AK7" s="376">
        <f t="shared" si="12"/>
        <v>15266.840259380482</v>
      </c>
      <c r="AL7" s="376">
        <f t="shared" si="12"/>
        <v>167.92792692688585</v>
      </c>
      <c r="AN7" s="376">
        <f>AN8+AN20+AN23</f>
        <v>25242.647839999983</v>
      </c>
      <c r="AO7" s="376">
        <f>AO8+AO20+AO23</f>
        <v>1565.5702629997213</v>
      </c>
      <c r="AP7" s="376">
        <f t="shared" ref="AP7:AR7" si="13">AP8+AP20+AP23</f>
        <v>1716.8992213397305</v>
      </c>
      <c r="AQ7" s="376">
        <f t="shared" si="13"/>
        <v>21382.884853915388</v>
      </c>
      <c r="AR7" s="376">
        <f t="shared" si="13"/>
        <v>577.29350174514491</v>
      </c>
      <c r="AS7" s="461"/>
      <c r="AT7" s="376">
        <f>AT8+AT20+AT23</f>
        <v>27112.894079999958</v>
      </c>
      <c r="AU7" s="376">
        <f>AU8+AU20+AU23</f>
        <v>1052.455263237234</v>
      </c>
      <c r="AV7" s="376">
        <f t="shared" ref="AV7:AX7" si="14">AV8+AV20+AV23</f>
        <v>1012.9012151345281</v>
      </c>
      <c r="AW7" s="376">
        <f t="shared" si="14"/>
        <v>24589.418666861387</v>
      </c>
      <c r="AX7" s="376">
        <f t="shared" si="14"/>
        <v>458.11893476681263</v>
      </c>
      <c r="AY7" s="376">
        <f t="shared" ref="AY7" si="15">AY8+AY20+AY23</f>
        <v>0</v>
      </c>
      <c r="BA7" s="376">
        <f>BA8+BA20+BA23</f>
        <v>89550.482329999999</v>
      </c>
      <c r="BB7" s="376">
        <f t="shared" ref="BB7:BE7" si="16">BB8+BB20+BB23</f>
        <v>4835.6100043979495</v>
      </c>
      <c r="BC7" s="376">
        <f>BC8+BC20+BC23</f>
        <v>4647.21999596163</v>
      </c>
      <c r="BD7" s="376">
        <f t="shared" si="16"/>
        <v>78746.875437114213</v>
      </c>
      <c r="BE7" s="376">
        <f t="shared" si="16"/>
        <v>1320.7768925262189</v>
      </c>
      <c r="BG7" s="397">
        <f t="shared" si="6"/>
        <v>0.44332862599638256</v>
      </c>
      <c r="BH7" s="397">
        <f t="shared" si="6"/>
        <v>0.3970339301680097</v>
      </c>
      <c r="BI7" s="397">
        <f t="shared" si="6"/>
        <v>0.27496977346441598</v>
      </c>
      <c r="BJ7" s="397">
        <f t="shared" si="6"/>
        <v>0.45781550530924603</v>
      </c>
      <c r="BK7" s="397">
        <f t="shared" si="6"/>
        <v>1.4516586863666578</v>
      </c>
      <c r="BM7" s="397">
        <f>BA7/D7</f>
        <v>0.18472026083182608</v>
      </c>
      <c r="BN7" s="397">
        <f t="shared" si="7"/>
        <v>0.1654308042366707</v>
      </c>
      <c r="BO7" s="397">
        <f t="shared" si="7"/>
        <v>0.11457073894350665</v>
      </c>
      <c r="BP7" s="397">
        <f t="shared" si="7"/>
        <v>0.19075646054551917</v>
      </c>
      <c r="BQ7" s="397">
        <f t="shared" si="7"/>
        <v>0.60485778598610751</v>
      </c>
    </row>
    <row r="8" spans="2:69" s="4" customFormat="1" outlineLevel="1">
      <c r="B8" s="13" t="s">
        <v>10</v>
      </c>
      <c r="C8" s="444" t="s">
        <v>11</v>
      </c>
      <c r="D8" s="33">
        <f>SUM(D9:D19)</f>
        <v>111957.85165392877</v>
      </c>
      <c r="E8" s="33">
        <v>18945</v>
      </c>
      <c r="F8" s="33">
        <v>25026</v>
      </c>
      <c r="G8" s="33">
        <f t="shared" ref="G8:G29" si="17">D8-E8-F8-H8</f>
        <v>66270.324095073142</v>
      </c>
      <c r="H8" s="33">
        <f t="shared" ref="H8" si="18">SUM(H9:H19)</f>
        <v>1716.5275588556301</v>
      </c>
      <c r="J8" s="33">
        <f>D8/12</f>
        <v>9329.8209711607306</v>
      </c>
      <c r="K8" s="33">
        <f t="shared" si="0"/>
        <v>1578.75</v>
      </c>
      <c r="L8" s="33">
        <f t="shared" si="1"/>
        <v>2085.5</v>
      </c>
      <c r="M8" s="33">
        <f t="shared" si="2"/>
        <v>5522.5270079227621</v>
      </c>
      <c r="N8" s="33">
        <f t="shared" si="3"/>
        <v>143.04396323796917</v>
      </c>
      <c r="P8" s="33">
        <f t="shared" si="4"/>
        <v>46649.104855803656</v>
      </c>
      <c r="Q8" s="33">
        <f t="shared" si="4"/>
        <v>7893.75</v>
      </c>
      <c r="R8" s="33">
        <f t="shared" si="4"/>
        <v>10427.5</v>
      </c>
      <c r="S8" s="33">
        <f t="shared" si="4"/>
        <v>27612.635039613811</v>
      </c>
      <c r="T8" s="33">
        <f t="shared" si="4"/>
        <v>715.2198161898458</v>
      </c>
      <c r="V8" s="33">
        <f>SUM(V9:V19)</f>
        <v>840.57683999999995</v>
      </c>
      <c r="W8" s="33">
        <f>SUM(W9:W19)</f>
        <v>27.96477402212976</v>
      </c>
      <c r="X8" s="33">
        <f t="shared" ref="X8:Y8" si="19">SUM(X9:X19)</f>
        <v>38.562640628361649</v>
      </c>
      <c r="Y8" s="33">
        <f t="shared" si="19"/>
        <v>754.16009025359926</v>
      </c>
      <c r="Z8" s="33">
        <f t="shared" ref="Z8" si="20">SUM(Z9:Z19)</f>
        <v>19.889335095909267</v>
      </c>
      <c r="AB8" s="33">
        <f>SUM(AB9:AB19)</f>
        <v>2722.5069200000003</v>
      </c>
      <c r="AC8" s="33">
        <f>SUM(AC9:AC19)</f>
        <v>2.0977757526937668</v>
      </c>
      <c r="AD8" s="33">
        <f t="shared" ref="AD8:AF8" si="21">SUM(AD9:AD19)</f>
        <v>2.8927740451613944</v>
      </c>
      <c r="AE8" s="33">
        <f t="shared" si="21"/>
        <v>2716.024372989209</v>
      </c>
      <c r="AF8" s="33">
        <f t="shared" si="21"/>
        <v>1.4919972129358912</v>
      </c>
      <c r="AH8" s="33">
        <f>SUM(AH9:AH19)</f>
        <v>4202.9033200000003</v>
      </c>
      <c r="AI8" s="33">
        <f>SUM(AI9:AI19)</f>
        <v>171.6133113818513</v>
      </c>
      <c r="AJ8" s="33">
        <f t="shared" ref="AJ8:AL8" si="22">SUM(AJ9:AJ19)</f>
        <v>238.54175606232118</v>
      </c>
      <c r="AK8" s="33">
        <f t="shared" si="22"/>
        <v>3680.2677743816284</v>
      </c>
      <c r="AL8" s="33">
        <f t="shared" si="22"/>
        <v>112.48047817419879</v>
      </c>
      <c r="AM8" s="4">
        <v>0</v>
      </c>
      <c r="AN8" s="33">
        <f>SUM(AN9:AN19)</f>
        <v>11594.266</v>
      </c>
      <c r="AO8" s="33">
        <f>SUM(AO9:AO19)</f>
        <v>753.89264315850846</v>
      </c>
      <c r="AP8" s="33">
        <f t="shared" ref="AP8:AR8" si="23">SUM(AP9:AP19)</f>
        <v>1043.742088015128</v>
      </c>
      <c r="AQ8" s="33">
        <f t="shared" si="23"/>
        <v>9281.4235253358602</v>
      </c>
      <c r="AR8" s="33">
        <f t="shared" si="23"/>
        <v>515.2077434905035</v>
      </c>
      <c r="AS8" s="451"/>
      <c r="AT8" s="33">
        <f>AU8+AV8+AW8+AX8+AY8</f>
        <v>12747.933569999997</v>
      </c>
      <c r="AU8" s="33">
        <f>SUM(AU9:AU19)</f>
        <v>220.30533117249107</v>
      </c>
      <c r="AV8" s="33">
        <f t="shared" ref="AV8:AX8" si="24">SUM(AV9:AV19)</f>
        <v>310.01273788455364</v>
      </c>
      <c r="AW8" s="33">
        <f t="shared" si="24"/>
        <v>11840.496808328651</v>
      </c>
      <c r="AX8" s="33">
        <f t="shared" si="24"/>
        <v>377.11869261430274</v>
      </c>
      <c r="AY8" s="33">
        <f t="shared" ref="AY8" si="25">SUM(AY9:AY19)</f>
        <v>0</v>
      </c>
      <c r="BA8" s="33">
        <f>SUM(BA9:BA19)</f>
        <v>32108.18665</v>
      </c>
      <c r="BB8" s="33">
        <f>SUM(BB9:BB19)</f>
        <v>1175.8738354876743</v>
      </c>
      <c r="BC8" s="33">
        <f t="shared" ref="BC8:BE8" si="26">SUM(BC9:BC19)</f>
        <v>1633.7519966355262</v>
      </c>
      <c r="BD8" s="33">
        <f t="shared" si="26"/>
        <v>28272.37257128895</v>
      </c>
      <c r="BE8" s="33">
        <f t="shared" si="26"/>
        <v>1026.1882465878502</v>
      </c>
      <c r="BG8" s="396">
        <f t="shared" si="6"/>
        <v>0.68829159207339841</v>
      </c>
      <c r="BH8" s="396">
        <f t="shared" si="6"/>
        <v>0.14896263949170854</v>
      </c>
      <c r="BI8" s="396">
        <f t="shared" si="6"/>
        <v>0.15667724733977714</v>
      </c>
      <c r="BJ8" s="396">
        <f t="shared" si="6"/>
        <v>1.023892595934023</v>
      </c>
      <c r="BK8" s="396">
        <f t="shared" si="6"/>
        <v>1.4347872127685315</v>
      </c>
      <c r="BM8" s="396">
        <f>BA8/D8</f>
        <v>0.28678816336391605</v>
      </c>
      <c r="BN8" s="396">
        <f>BB8/E8</f>
        <v>6.2067766454878562E-2</v>
      </c>
      <c r="BO8" s="396">
        <f t="shared" ref="BO8:BQ9" si="27">BC8/F8</f>
        <v>6.5282186391573807E-2</v>
      </c>
      <c r="BP8" s="396">
        <f t="shared" si="27"/>
        <v>0.42662191497250962</v>
      </c>
      <c r="BQ8" s="396">
        <f t="shared" si="27"/>
        <v>0.5978280053202214</v>
      </c>
    </row>
    <row r="9" spans="2:69" s="4" customFormat="1" hidden="1" outlineLevel="1">
      <c r="B9" s="13"/>
      <c r="C9" s="445" t="s">
        <v>81</v>
      </c>
      <c r="D9" s="29">
        <v>806.75099999999998</v>
      </c>
      <c r="E9" s="29">
        <v>58.939221758667763</v>
      </c>
      <c r="F9" s="29">
        <v>95.694741265028753</v>
      </c>
      <c r="G9" s="29">
        <f t="shared" si="17"/>
        <v>621.03083608963857</v>
      </c>
      <c r="H9" s="29">
        <v>31.086200886665022</v>
      </c>
      <c r="J9" s="29">
        <f>D9/12</f>
        <v>67.229249999999993</v>
      </c>
      <c r="K9" s="29">
        <f t="shared" si="0"/>
        <v>4.9116018132223136</v>
      </c>
      <c r="L9" s="29">
        <f t="shared" si="1"/>
        <v>7.9745617720857291</v>
      </c>
      <c r="M9" s="29">
        <f t="shared" si="2"/>
        <v>51.752569674136545</v>
      </c>
      <c r="N9" s="29">
        <f t="shared" si="3"/>
        <v>2.5905167405554184</v>
      </c>
      <c r="P9" s="29">
        <f t="shared" si="4"/>
        <v>336.14624999999995</v>
      </c>
      <c r="Q9" s="29">
        <f t="shared" si="4"/>
        <v>24.558009066111566</v>
      </c>
      <c r="R9" s="29">
        <f t="shared" si="4"/>
        <v>39.872808860428648</v>
      </c>
      <c r="S9" s="29">
        <f t="shared" si="4"/>
        <v>258.76284837068272</v>
      </c>
      <c r="T9" s="29">
        <f t="shared" si="4"/>
        <v>12.952583702777092</v>
      </c>
      <c r="V9" s="29">
        <f>W9+X9+Y9+Z9</f>
        <v>0</v>
      </c>
      <c r="W9" s="29">
        <v>0</v>
      </c>
      <c r="X9" s="29">
        <v>0</v>
      </c>
      <c r="Y9" s="29">
        <v>0</v>
      </c>
      <c r="Z9" s="29">
        <v>0</v>
      </c>
      <c r="AB9" s="29">
        <f>AC9+AD9+AE9+AF9</f>
        <v>0</v>
      </c>
      <c r="AC9" s="29">
        <v>0</v>
      </c>
      <c r="AD9" s="29">
        <v>0</v>
      </c>
      <c r="AE9" s="29">
        <v>0</v>
      </c>
      <c r="AF9" s="29">
        <v>0</v>
      </c>
      <c r="AH9" s="29">
        <f>AI9+AJ9+AK9+AL9</f>
        <v>495.89284999999995</v>
      </c>
      <c r="AI9" s="29">
        <v>46.474075884126066</v>
      </c>
      <c r="AJ9" s="29">
        <v>64.086449811342803</v>
      </c>
      <c r="AK9" s="29">
        <v>352.27865228842148</v>
      </c>
      <c r="AL9" s="29">
        <v>33.053672016109594</v>
      </c>
      <c r="AM9" s="4">
        <v>0</v>
      </c>
      <c r="AN9" s="29">
        <f>AO9+AP9+AQ9+AR9</f>
        <v>0</v>
      </c>
      <c r="AO9" s="29">
        <v>0</v>
      </c>
      <c r="AP9" s="29">
        <v>0</v>
      </c>
      <c r="AQ9" s="29">
        <v>0</v>
      </c>
      <c r="AR9" s="29">
        <v>0</v>
      </c>
      <c r="AS9" s="452"/>
      <c r="AT9" s="29">
        <f>AU9+AV9+AW9+AX9+AY9</f>
        <v>0</v>
      </c>
      <c r="AU9" s="29">
        <v>0</v>
      </c>
      <c r="AV9" s="29">
        <v>0</v>
      </c>
      <c r="AW9" s="29">
        <v>0</v>
      </c>
      <c r="AX9" s="29">
        <v>0</v>
      </c>
      <c r="AY9" s="29"/>
      <c r="BA9" s="29">
        <f>BB9+BC9+BD9+BE9</f>
        <v>495.89284999999995</v>
      </c>
      <c r="BB9" s="29">
        <f>W9+AC9+AI9+AO9+AU9</f>
        <v>46.474075884126066</v>
      </c>
      <c r="BC9" s="29">
        <f>X9+AD9+AJ9+AP9+AV9</f>
        <v>64.086449811342803</v>
      </c>
      <c r="BD9" s="29">
        <f>Y9+AE9+AK9+AQ9+AW9+AY9</f>
        <v>352.27865228842148</v>
      </c>
      <c r="BE9" s="29">
        <f>Z9+AF9+AL9+AR9+AX9</f>
        <v>33.053672016109594</v>
      </c>
      <c r="BG9" s="395">
        <f t="shared" si="6"/>
        <v>1.4752294574162288</v>
      </c>
      <c r="BH9" s="395">
        <f t="shared" si="6"/>
        <v>1.8924203407130926</v>
      </c>
      <c r="BI9" s="395">
        <f t="shared" si="6"/>
        <v>1.6072720142609449</v>
      </c>
      <c r="BJ9" s="395">
        <f t="shared" si="6"/>
        <v>1.3613957896451023</v>
      </c>
      <c r="BK9" s="395">
        <f t="shared" si="6"/>
        <v>2.5518979668143538</v>
      </c>
      <c r="BM9" s="395">
        <f>BA9/D9</f>
        <v>0.61467894059009531</v>
      </c>
      <c r="BN9" s="395">
        <f t="shared" ref="BN9" si="28">BB9/E9</f>
        <v>0.78850847529712187</v>
      </c>
      <c r="BO9" s="395">
        <f t="shared" si="27"/>
        <v>0.66969667260872701</v>
      </c>
      <c r="BP9" s="395">
        <f t="shared" si="27"/>
        <v>0.56724824568545928</v>
      </c>
      <c r="BQ9" s="395">
        <f t="shared" si="27"/>
        <v>1.0632908195059807</v>
      </c>
    </row>
    <row r="10" spans="2:69" s="4" customFormat="1" hidden="1" outlineLevel="1">
      <c r="B10" s="13"/>
      <c r="C10" s="445" t="s">
        <v>177</v>
      </c>
      <c r="D10" s="29">
        <v>5337.4310388234471</v>
      </c>
      <c r="E10" s="29">
        <v>112.512023841711</v>
      </c>
      <c r="F10" s="29">
        <v>4237.1046492823352</v>
      </c>
      <c r="G10" s="29">
        <f t="shared" si="17"/>
        <v>987.8143656994007</v>
      </c>
      <c r="H10" s="29"/>
      <c r="J10" s="29">
        <f t="shared" si="9"/>
        <v>444.78591990195395</v>
      </c>
      <c r="K10" s="29">
        <f t="shared" si="0"/>
        <v>9.3760019868092499</v>
      </c>
      <c r="L10" s="29">
        <f t="shared" si="1"/>
        <v>353.09205410686127</v>
      </c>
      <c r="M10" s="29">
        <f t="shared" si="2"/>
        <v>82.317863808283391</v>
      </c>
      <c r="N10" s="29">
        <f t="shared" si="3"/>
        <v>0</v>
      </c>
      <c r="P10" s="29">
        <f t="shared" ref="P10:P19" si="29">J10*5</f>
        <v>2223.9295995097696</v>
      </c>
      <c r="Q10" s="29">
        <f t="shared" ref="Q10:Q19" si="30">K10*5</f>
        <v>46.880009934046249</v>
      </c>
      <c r="R10" s="29">
        <f t="shared" ref="R10:R19" si="31">L10*5</f>
        <v>1765.4602705343063</v>
      </c>
      <c r="S10" s="29">
        <f t="shared" ref="S10:S19" si="32">M10*5</f>
        <v>411.58931904141696</v>
      </c>
      <c r="T10" s="29">
        <f t="shared" ref="T10:T19" si="33">N10*5</f>
        <v>0</v>
      </c>
      <c r="V10" s="29">
        <f t="shared" ref="V10:V28" si="34">W10+X10+Y10+Z10</f>
        <v>0</v>
      </c>
      <c r="W10" s="29">
        <v>0</v>
      </c>
      <c r="X10" s="29">
        <v>0</v>
      </c>
      <c r="Y10" s="29">
        <v>0</v>
      </c>
      <c r="Z10" s="29">
        <v>0</v>
      </c>
      <c r="AB10" s="29">
        <f t="shared" ref="AB10:AB28" si="35">AC10+AD10+AE10+AF10</f>
        <v>0</v>
      </c>
      <c r="AC10" s="29">
        <v>0</v>
      </c>
      <c r="AD10" s="29">
        <v>0</v>
      </c>
      <c r="AE10" s="29">
        <v>0</v>
      </c>
      <c r="AF10" s="29">
        <v>0</v>
      </c>
      <c r="AH10" s="29">
        <f t="shared" ref="AH10:AH28" si="36">AI10+AJ10+AK10+AL10</f>
        <v>0</v>
      </c>
      <c r="AI10" s="29">
        <v>0</v>
      </c>
      <c r="AJ10" s="29">
        <v>0</v>
      </c>
      <c r="AK10" s="29">
        <v>0</v>
      </c>
      <c r="AL10" s="29">
        <v>0</v>
      </c>
      <c r="AM10" s="4">
        <v>0</v>
      </c>
      <c r="AN10" s="29">
        <f t="shared" ref="AN10:AN28" si="37">AO10+AP10+AQ10+AR10</f>
        <v>0</v>
      </c>
      <c r="AO10" s="29">
        <v>0</v>
      </c>
      <c r="AP10" s="29">
        <v>0</v>
      </c>
      <c r="AQ10" s="29">
        <v>0</v>
      </c>
      <c r="AR10" s="29">
        <v>0</v>
      </c>
      <c r="AS10" s="452"/>
      <c r="AT10" s="29">
        <f t="shared" ref="AT10:AT22" si="38">AU10+AV10+AW10+AX10+AY10</f>
        <v>0</v>
      </c>
      <c r="AU10" s="29">
        <v>0</v>
      </c>
      <c r="AV10" s="29">
        <v>0</v>
      </c>
      <c r="AW10" s="29">
        <v>0</v>
      </c>
      <c r="AX10" s="29">
        <v>0</v>
      </c>
      <c r="AY10" s="29"/>
      <c r="BA10" s="29">
        <f t="shared" ref="BA10:BA19" si="39">BB10+BC10+BD10+BE10</f>
        <v>0</v>
      </c>
      <c r="BB10" s="29">
        <f t="shared" ref="BB10:BB19" si="40">W10+AC10+AI10+AO10+AU10</f>
        <v>0</v>
      </c>
      <c r="BC10" s="29">
        <f t="shared" ref="BC10:BC19" si="41">X10+AD10+AJ10+AP10+AV10</f>
        <v>0</v>
      </c>
      <c r="BD10" s="29">
        <f t="shared" ref="BD10:BD18" si="42">Y10+AE10+AK10+AQ10+AW10+AY10</f>
        <v>0</v>
      </c>
      <c r="BE10" s="29">
        <f t="shared" ref="BE10:BE19" si="43">Z10+AF10+AL10+AR10+AX10</f>
        <v>0</v>
      </c>
      <c r="BG10" s="395">
        <f t="shared" ref="BG10:BJ11" si="44">BA10/P10</f>
        <v>0</v>
      </c>
      <c r="BH10" s="395">
        <f t="shared" si="44"/>
        <v>0</v>
      </c>
      <c r="BI10" s="395">
        <f t="shared" si="44"/>
        <v>0</v>
      </c>
      <c r="BJ10" s="395">
        <f t="shared" si="44"/>
        <v>0</v>
      </c>
      <c r="BK10" s="395"/>
      <c r="BM10" s="395">
        <f t="shared" ref="BM10:BM19" si="45">BA10/D10</f>
        <v>0</v>
      </c>
      <c r="BN10" s="395">
        <f t="shared" ref="BN10:BN19" si="46">BB10/E10</f>
        <v>0</v>
      </c>
      <c r="BO10" s="395">
        <f t="shared" ref="BO10:BO22" si="47">BC10/F10</f>
        <v>0</v>
      </c>
      <c r="BP10" s="395">
        <f t="shared" ref="BP10:BP22" si="48">BD10/G10</f>
        <v>0</v>
      </c>
      <c r="BQ10" s="395"/>
    </row>
    <row r="11" spans="2:69" s="4" customFormat="1" hidden="1" outlineLevel="1">
      <c r="B11" s="13"/>
      <c r="C11" s="445" t="s">
        <v>178</v>
      </c>
      <c r="D11" s="29">
        <v>29338.055386615877</v>
      </c>
      <c r="E11" s="50">
        <v>10518.253863796914</v>
      </c>
      <c r="F11" s="50">
        <v>15982.315113548211</v>
      </c>
      <c r="G11" s="29">
        <f t="shared" si="17"/>
        <v>2837.4864092707503</v>
      </c>
      <c r="H11" s="50">
        <v>0</v>
      </c>
      <c r="J11" s="29">
        <f t="shared" si="9"/>
        <v>2444.8379488846563</v>
      </c>
      <c r="K11" s="50">
        <f t="shared" si="0"/>
        <v>876.52115531640948</v>
      </c>
      <c r="L11" s="50">
        <f t="shared" si="1"/>
        <v>1331.8595927956842</v>
      </c>
      <c r="M11" s="29">
        <f t="shared" si="2"/>
        <v>236.45720077256252</v>
      </c>
      <c r="N11" s="50">
        <f t="shared" si="3"/>
        <v>0</v>
      </c>
      <c r="P11" s="29">
        <f t="shared" si="29"/>
        <v>12224.189744423282</v>
      </c>
      <c r="Q11" s="29">
        <f t="shared" si="30"/>
        <v>4382.6057765820478</v>
      </c>
      <c r="R11" s="29">
        <f t="shared" si="31"/>
        <v>6659.2979639784207</v>
      </c>
      <c r="S11" s="29">
        <f t="shared" si="32"/>
        <v>1182.2860038628125</v>
      </c>
      <c r="T11" s="29">
        <f t="shared" si="33"/>
        <v>0</v>
      </c>
      <c r="V11" s="29">
        <f t="shared" si="34"/>
        <v>0</v>
      </c>
      <c r="W11" s="50">
        <v>0</v>
      </c>
      <c r="X11" s="50">
        <v>0</v>
      </c>
      <c r="Y11" s="29">
        <v>0</v>
      </c>
      <c r="Z11" s="50">
        <v>0</v>
      </c>
      <c r="AB11" s="29">
        <f t="shared" si="35"/>
        <v>0</v>
      </c>
      <c r="AC11" s="50">
        <v>0</v>
      </c>
      <c r="AD11" s="50">
        <v>0</v>
      </c>
      <c r="AE11" s="29">
        <v>0</v>
      </c>
      <c r="AF11" s="50">
        <v>0</v>
      </c>
      <c r="AH11" s="29">
        <f t="shared" si="36"/>
        <v>37.553570000000001</v>
      </c>
      <c r="AI11" s="50">
        <v>13.463672951277722</v>
      </c>
      <c r="AJ11" s="50">
        <v>20.457831354851855</v>
      </c>
      <c r="AK11" s="29">
        <v>3.6320656938704228</v>
      </c>
      <c r="AL11" s="50">
        <v>0</v>
      </c>
      <c r="AN11" s="29">
        <f t="shared" si="37"/>
        <v>82.285710000000009</v>
      </c>
      <c r="AO11" s="50">
        <v>29.501000517492287</v>
      </c>
      <c r="AP11" s="50">
        <v>44.826288901274822</v>
      </c>
      <c r="AQ11" s="29">
        <v>7.9584205812329003</v>
      </c>
      <c r="AR11" s="50">
        <v>0</v>
      </c>
      <c r="AS11" s="453"/>
      <c r="AT11" s="29">
        <f t="shared" si="38"/>
        <v>123.42857000000001</v>
      </c>
      <c r="AU11" s="50">
        <v>44.251502568834042</v>
      </c>
      <c r="AV11" s="50">
        <v>67.239436075732002</v>
      </c>
      <c r="AW11" s="29">
        <v>11.937631355433959</v>
      </c>
      <c r="AX11" s="50">
        <v>0</v>
      </c>
      <c r="AY11" s="50"/>
      <c r="BA11" s="29">
        <f t="shared" si="39"/>
        <v>243.26785000000001</v>
      </c>
      <c r="BB11" s="29">
        <f t="shared" si="40"/>
        <v>87.216176037604043</v>
      </c>
      <c r="BC11" s="29">
        <f t="shared" si="41"/>
        <v>132.52355633185869</v>
      </c>
      <c r="BD11" s="29">
        <f t="shared" si="42"/>
        <v>23.528117630537281</v>
      </c>
      <c r="BE11" s="29">
        <f t="shared" si="43"/>
        <v>0</v>
      </c>
      <c r="BG11" s="395">
        <f t="shared" si="44"/>
        <v>1.9900529612686981E-2</v>
      </c>
      <c r="BH11" s="395">
        <f t="shared" si="44"/>
        <v>1.9900529612686974E-2</v>
      </c>
      <c r="BI11" s="395">
        <f t="shared" si="44"/>
        <v>1.9900529612686981E-2</v>
      </c>
      <c r="BJ11" s="395">
        <f t="shared" si="44"/>
        <v>1.9900529612687002E-2</v>
      </c>
      <c r="BK11" s="395"/>
      <c r="BM11" s="395">
        <f t="shared" si="45"/>
        <v>8.2918873386195746E-3</v>
      </c>
      <c r="BN11" s="395">
        <f t="shared" si="46"/>
        <v>8.2918873386195746E-3</v>
      </c>
      <c r="BO11" s="395">
        <f t="shared" si="47"/>
        <v>8.2918873386195746E-3</v>
      </c>
      <c r="BP11" s="395">
        <f t="shared" si="48"/>
        <v>8.2918873386195833E-3</v>
      </c>
      <c r="BQ11" s="395"/>
    </row>
    <row r="12" spans="2:69" s="4" customFormat="1" hidden="1" outlineLevel="1">
      <c r="B12" s="13"/>
      <c r="C12" s="445" t="s">
        <v>132</v>
      </c>
      <c r="D12" s="29">
        <v>3332.3595</v>
      </c>
      <c r="E12" s="29"/>
      <c r="F12" s="29"/>
      <c r="G12" s="29">
        <f t="shared" si="17"/>
        <v>2997.8150000000001</v>
      </c>
      <c r="H12" s="29">
        <v>334.54450000000003</v>
      </c>
      <c r="J12" s="29">
        <f t="shared" si="9"/>
        <v>277.69662499999998</v>
      </c>
      <c r="K12" s="29">
        <f t="shared" si="0"/>
        <v>0</v>
      </c>
      <c r="L12" s="29">
        <f t="shared" si="1"/>
        <v>0</v>
      </c>
      <c r="M12" s="29">
        <f t="shared" si="2"/>
        <v>249.81791666666666</v>
      </c>
      <c r="N12" s="29">
        <f t="shared" si="3"/>
        <v>27.878708333333336</v>
      </c>
      <c r="P12" s="29">
        <f t="shared" si="29"/>
        <v>1388.483125</v>
      </c>
      <c r="Q12" s="29">
        <f t="shared" si="30"/>
        <v>0</v>
      </c>
      <c r="R12" s="29">
        <f t="shared" si="31"/>
        <v>0</v>
      </c>
      <c r="S12" s="29">
        <f t="shared" si="32"/>
        <v>1249.0895833333334</v>
      </c>
      <c r="T12" s="29">
        <f t="shared" si="33"/>
        <v>139.39354166666669</v>
      </c>
      <c r="V12" s="29">
        <f t="shared" si="34"/>
        <v>0</v>
      </c>
      <c r="W12" s="29"/>
      <c r="X12" s="29"/>
      <c r="Y12" s="29">
        <v>0</v>
      </c>
      <c r="Z12" s="29"/>
      <c r="AB12" s="29">
        <f t="shared" si="35"/>
        <v>0</v>
      </c>
      <c r="AC12" s="29"/>
      <c r="AD12" s="29"/>
      <c r="AE12" s="29">
        <v>0</v>
      </c>
      <c r="AF12" s="29"/>
      <c r="AH12" s="29">
        <f t="shared" si="36"/>
        <v>0</v>
      </c>
      <c r="AI12" s="29"/>
      <c r="AJ12" s="29"/>
      <c r="AK12" s="29">
        <v>0</v>
      </c>
      <c r="AL12" s="29"/>
      <c r="AN12" s="29">
        <f t="shared" si="37"/>
        <v>0</v>
      </c>
      <c r="AO12" s="29"/>
      <c r="AP12" s="29"/>
      <c r="AQ12" s="29">
        <v>0</v>
      </c>
      <c r="AR12" s="29"/>
      <c r="AS12" s="452"/>
      <c r="AT12" s="29">
        <f t="shared" si="38"/>
        <v>322.38324999999998</v>
      </c>
      <c r="AU12" s="29"/>
      <c r="AV12" s="29"/>
      <c r="AW12" s="29">
        <v>70.478999999999999</v>
      </c>
      <c r="AX12" s="29">
        <v>251.90424999999999</v>
      </c>
      <c r="AY12" s="29"/>
      <c r="BA12" s="29">
        <f t="shared" si="39"/>
        <v>322.38324999999998</v>
      </c>
      <c r="BB12" s="29">
        <f t="shared" si="40"/>
        <v>0</v>
      </c>
      <c r="BC12" s="29">
        <f t="shared" si="41"/>
        <v>0</v>
      </c>
      <c r="BD12" s="29">
        <f t="shared" si="42"/>
        <v>70.478999999999999</v>
      </c>
      <c r="BE12" s="29">
        <f t="shared" si="43"/>
        <v>251.90424999999999</v>
      </c>
      <c r="BG12" s="395">
        <f t="shared" ref="BG12:BG29" si="49">BA12/P12</f>
        <v>0.23218377248913269</v>
      </c>
      <c r="BH12" s="395"/>
      <c r="BI12" s="395"/>
      <c r="BJ12" s="395">
        <f>BD12/S12</f>
        <v>5.6424295695364786E-2</v>
      </c>
      <c r="BK12" s="395">
        <f>BE12/T12</f>
        <v>1.8071443410368422</v>
      </c>
      <c r="BM12" s="395">
        <f t="shared" si="45"/>
        <v>9.6743238537138621E-2</v>
      </c>
      <c r="BN12" s="395"/>
      <c r="BO12" s="395"/>
      <c r="BP12" s="395">
        <f t="shared" si="48"/>
        <v>2.3510123206401997E-2</v>
      </c>
      <c r="BQ12" s="395"/>
    </row>
    <row r="13" spans="2:69" s="4" customFormat="1" hidden="1" outlineLevel="1">
      <c r="B13" s="13"/>
      <c r="C13" s="445" t="s">
        <v>82</v>
      </c>
      <c r="D13" s="29">
        <v>30488.188357142855</v>
      </c>
      <c r="E13" s="29"/>
      <c r="F13" s="29"/>
      <c r="G13" s="29">
        <f t="shared" si="17"/>
        <v>30488.188357142855</v>
      </c>
      <c r="H13" s="29"/>
      <c r="J13" s="29">
        <f t="shared" si="9"/>
        <v>2540.6823630952381</v>
      </c>
      <c r="K13" s="29">
        <f t="shared" si="0"/>
        <v>0</v>
      </c>
      <c r="L13" s="29">
        <f t="shared" si="1"/>
        <v>0</v>
      </c>
      <c r="M13" s="29">
        <f t="shared" si="2"/>
        <v>2540.6823630952381</v>
      </c>
      <c r="N13" s="29">
        <f t="shared" si="3"/>
        <v>0</v>
      </c>
      <c r="P13" s="29">
        <f t="shared" si="29"/>
        <v>12703.411815476191</v>
      </c>
      <c r="Q13" s="29">
        <f t="shared" si="30"/>
        <v>0</v>
      </c>
      <c r="R13" s="29">
        <f t="shared" si="31"/>
        <v>0</v>
      </c>
      <c r="S13" s="29">
        <f t="shared" si="32"/>
        <v>12703.411815476191</v>
      </c>
      <c r="T13" s="29">
        <f t="shared" si="33"/>
        <v>0</v>
      </c>
      <c r="V13" s="29">
        <f t="shared" si="34"/>
        <v>542.18399999999997</v>
      </c>
      <c r="W13" s="29"/>
      <c r="X13" s="29"/>
      <c r="Y13" s="29">
        <v>542.18399999999997</v>
      </c>
      <c r="Z13" s="29"/>
      <c r="AB13" s="29">
        <f t="shared" si="35"/>
        <v>2700.123</v>
      </c>
      <c r="AC13" s="29"/>
      <c r="AD13" s="29"/>
      <c r="AE13" s="29">
        <v>2700.123</v>
      </c>
      <c r="AF13" s="29"/>
      <c r="AH13" s="29">
        <f t="shared" si="36"/>
        <v>2477.8438999999998</v>
      </c>
      <c r="AI13" s="29"/>
      <c r="AJ13" s="29"/>
      <c r="AK13" s="29">
        <v>2477.8438999999998</v>
      </c>
      <c r="AL13" s="29"/>
      <c r="AM13" s="4">
        <v>0</v>
      </c>
      <c r="AN13" s="29">
        <f t="shared" si="37"/>
        <v>3782.4960699999997</v>
      </c>
      <c r="AO13" s="29"/>
      <c r="AP13" s="29"/>
      <c r="AQ13" s="29">
        <v>3782.4960699999997</v>
      </c>
      <c r="AR13" s="29"/>
      <c r="AS13" s="452"/>
      <c r="AT13" s="29">
        <f t="shared" si="38"/>
        <v>10423.572619999999</v>
      </c>
      <c r="AU13" s="29"/>
      <c r="AV13" s="29"/>
      <c r="AW13" s="29">
        <v>10423.572619999999</v>
      </c>
      <c r="AX13" s="29"/>
      <c r="AY13" s="29"/>
      <c r="BA13" s="29">
        <f t="shared" si="39"/>
        <v>19926.219590000001</v>
      </c>
      <c r="BB13" s="29">
        <f t="shared" si="40"/>
        <v>0</v>
      </c>
      <c r="BC13" s="29">
        <f t="shared" si="41"/>
        <v>0</v>
      </c>
      <c r="BD13" s="29">
        <f t="shared" si="42"/>
        <v>19926.219590000001</v>
      </c>
      <c r="BE13" s="29">
        <f t="shared" si="43"/>
        <v>0</v>
      </c>
      <c r="BG13" s="395">
        <f t="shared" si="49"/>
        <v>1.5685722764434415</v>
      </c>
      <c r="BH13" s="395"/>
      <c r="BI13" s="395"/>
      <c r="BJ13" s="395">
        <f>BD13/S13</f>
        <v>1.5685722764434415</v>
      </c>
      <c r="BK13" s="395"/>
      <c r="BM13" s="395">
        <f t="shared" si="45"/>
        <v>0.65357178185143405</v>
      </c>
      <c r="BN13" s="395"/>
      <c r="BO13" s="395"/>
      <c r="BP13" s="395">
        <f t="shared" si="48"/>
        <v>0.65357178185143405</v>
      </c>
      <c r="BQ13" s="395"/>
    </row>
    <row r="14" spans="2:69" s="4" customFormat="1" hidden="1" outlineLevel="1">
      <c r="B14" s="13"/>
      <c r="C14" s="445" t="s">
        <v>122</v>
      </c>
      <c r="D14" s="29">
        <v>1681.6496399999999</v>
      </c>
      <c r="E14" s="29">
        <v>122.85714062002253</v>
      </c>
      <c r="F14" s="29">
        <v>199.47298137619754</v>
      </c>
      <c r="G14" s="29">
        <f t="shared" si="17"/>
        <v>1294.521211549833</v>
      </c>
      <c r="H14" s="29">
        <v>64.798306453946651</v>
      </c>
      <c r="J14" s="29">
        <f t="shared" si="9"/>
        <v>140.13746999999998</v>
      </c>
      <c r="K14" s="29">
        <f t="shared" si="0"/>
        <v>10.238095051668544</v>
      </c>
      <c r="L14" s="29">
        <f t="shared" si="1"/>
        <v>16.622748448016463</v>
      </c>
      <c r="M14" s="29">
        <f t="shared" si="2"/>
        <v>107.87676762915275</v>
      </c>
      <c r="N14" s="29">
        <f t="shared" si="3"/>
        <v>5.3998588711622206</v>
      </c>
      <c r="P14" s="29">
        <f t="shared" si="29"/>
        <v>700.68734999999992</v>
      </c>
      <c r="Q14" s="29">
        <f t="shared" si="30"/>
        <v>51.190475258342722</v>
      </c>
      <c r="R14" s="29">
        <f t="shared" si="31"/>
        <v>83.113742240082317</v>
      </c>
      <c r="S14" s="29">
        <f t="shared" si="32"/>
        <v>539.38383814576378</v>
      </c>
      <c r="T14" s="29">
        <f t="shared" si="33"/>
        <v>26.999294355811102</v>
      </c>
      <c r="V14" s="29">
        <f t="shared" si="34"/>
        <v>0</v>
      </c>
      <c r="W14" s="29">
        <v>0</v>
      </c>
      <c r="X14" s="29">
        <v>0</v>
      </c>
      <c r="Y14" s="29">
        <v>0</v>
      </c>
      <c r="Z14" s="29">
        <v>0</v>
      </c>
      <c r="AB14" s="29">
        <f t="shared" si="35"/>
        <v>0</v>
      </c>
      <c r="AC14" s="29">
        <v>0</v>
      </c>
      <c r="AD14" s="29">
        <v>0</v>
      </c>
      <c r="AE14" s="29">
        <v>0</v>
      </c>
      <c r="AF14" s="29">
        <v>0</v>
      </c>
      <c r="AH14" s="29">
        <f t="shared" si="36"/>
        <v>0</v>
      </c>
      <c r="AI14" s="29">
        <v>0</v>
      </c>
      <c r="AJ14" s="29">
        <v>0</v>
      </c>
      <c r="AK14" s="29">
        <v>0</v>
      </c>
      <c r="AL14" s="29">
        <v>0</v>
      </c>
      <c r="AM14" s="4">
        <v>0</v>
      </c>
      <c r="AN14" s="29">
        <f t="shared" si="37"/>
        <v>0</v>
      </c>
      <c r="AO14" s="29">
        <v>0</v>
      </c>
      <c r="AP14" s="29">
        <v>0</v>
      </c>
      <c r="AQ14" s="29">
        <v>0</v>
      </c>
      <c r="AR14" s="29">
        <v>0</v>
      </c>
      <c r="AS14" s="452"/>
      <c r="AT14" s="29">
        <f t="shared" si="38"/>
        <v>0</v>
      </c>
      <c r="AU14" s="29">
        <v>0</v>
      </c>
      <c r="AV14" s="29">
        <v>0</v>
      </c>
      <c r="AW14" s="29">
        <v>0</v>
      </c>
      <c r="AX14" s="29">
        <v>0</v>
      </c>
      <c r="AY14" s="29"/>
      <c r="BA14" s="29">
        <f t="shared" si="39"/>
        <v>0</v>
      </c>
      <c r="BB14" s="29">
        <f t="shared" si="40"/>
        <v>0</v>
      </c>
      <c r="BC14" s="29">
        <f t="shared" si="41"/>
        <v>0</v>
      </c>
      <c r="BD14" s="29">
        <f t="shared" si="42"/>
        <v>0</v>
      </c>
      <c r="BE14" s="29">
        <f t="shared" si="43"/>
        <v>0</v>
      </c>
      <c r="BG14" s="395">
        <f t="shared" si="49"/>
        <v>0</v>
      </c>
      <c r="BH14" s="395">
        <f t="shared" ref="BH14:BI17" si="50">BB14/Q14</f>
        <v>0</v>
      </c>
      <c r="BI14" s="395">
        <f t="shared" si="50"/>
        <v>0</v>
      </c>
      <c r="BJ14" s="395">
        <f>BD14/S14</f>
        <v>0</v>
      </c>
      <c r="BK14" s="395">
        <f>BE14/T14</f>
        <v>0</v>
      </c>
      <c r="BM14" s="395">
        <f t="shared" si="45"/>
        <v>0</v>
      </c>
      <c r="BN14" s="395">
        <f t="shared" si="46"/>
        <v>0</v>
      </c>
      <c r="BO14" s="395">
        <f t="shared" si="47"/>
        <v>0</v>
      </c>
      <c r="BP14" s="395">
        <f t="shared" si="48"/>
        <v>0</v>
      </c>
      <c r="BQ14" s="395">
        <f t="shared" ref="BQ14:BQ22" si="51">BE14/H14</f>
        <v>0</v>
      </c>
    </row>
    <row r="15" spans="2:69" s="4" customFormat="1" hidden="1" outlineLevel="1">
      <c r="B15" s="13"/>
      <c r="C15" s="445" t="s">
        <v>136</v>
      </c>
      <c r="D15" s="29">
        <v>5262.5255149999975</v>
      </c>
      <c r="E15" s="50">
        <v>575.18565974657213</v>
      </c>
      <c r="F15" s="50">
        <v>907.81433677054122</v>
      </c>
      <c r="G15" s="29">
        <f t="shared" si="17"/>
        <v>3740.0940042314164</v>
      </c>
      <c r="H15" s="50">
        <v>39.431514251467881</v>
      </c>
      <c r="J15" s="29">
        <f t="shared" si="9"/>
        <v>438.54379291666646</v>
      </c>
      <c r="K15" s="50">
        <f t="shared" si="0"/>
        <v>47.932138312214342</v>
      </c>
      <c r="L15" s="50">
        <f t="shared" si="1"/>
        <v>75.65119473087843</v>
      </c>
      <c r="M15" s="29">
        <f t="shared" si="2"/>
        <v>311.67450035261805</v>
      </c>
      <c r="N15" s="50">
        <f t="shared" si="3"/>
        <v>3.2859595209556569</v>
      </c>
      <c r="P15" s="29">
        <f t="shared" si="29"/>
        <v>2192.7189645833323</v>
      </c>
      <c r="Q15" s="29">
        <f t="shared" si="30"/>
        <v>239.6606915610717</v>
      </c>
      <c r="R15" s="29">
        <f t="shared" si="31"/>
        <v>378.25597365439216</v>
      </c>
      <c r="S15" s="29">
        <f t="shared" si="32"/>
        <v>1558.3725017630902</v>
      </c>
      <c r="T15" s="29">
        <f t="shared" si="33"/>
        <v>16.429797604778283</v>
      </c>
      <c r="V15" s="29">
        <f t="shared" si="34"/>
        <v>0</v>
      </c>
      <c r="W15" s="50">
        <v>0</v>
      </c>
      <c r="X15" s="50">
        <v>0</v>
      </c>
      <c r="Y15" s="29">
        <v>0</v>
      </c>
      <c r="Z15" s="50">
        <v>0</v>
      </c>
      <c r="AB15" s="29">
        <f t="shared" si="35"/>
        <v>22.383920000000003</v>
      </c>
      <c r="AC15" s="50">
        <v>2.0977757526937668</v>
      </c>
      <c r="AD15" s="50">
        <v>2.8927740451613944</v>
      </c>
      <c r="AE15" s="29">
        <v>15.901372989208948</v>
      </c>
      <c r="AF15" s="50">
        <v>1.4919972129358912</v>
      </c>
      <c r="AH15" s="29">
        <f t="shared" si="36"/>
        <v>0</v>
      </c>
      <c r="AI15" s="50">
        <v>0</v>
      </c>
      <c r="AJ15" s="50">
        <v>0</v>
      </c>
      <c r="AK15" s="29">
        <v>0</v>
      </c>
      <c r="AL15" s="50">
        <v>0</v>
      </c>
      <c r="AM15" s="4">
        <v>0</v>
      </c>
      <c r="AN15" s="29">
        <f t="shared" si="37"/>
        <v>141.53822</v>
      </c>
      <c r="AO15" s="50">
        <v>13.264675981482956</v>
      </c>
      <c r="AP15" s="50">
        <v>18.29161689348172</v>
      </c>
      <c r="AQ15" s="29">
        <v>100.54771588036026</v>
      </c>
      <c r="AR15" s="50">
        <v>9.4342112446750619</v>
      </c>
      <c r="AS15" s="453"/>
      <c r="AT15" s="29">
        <f t="shared" si="38"/>
        <v>39.55498</v>
      </c>
      <c r="AU15" s="50">
        <v>3.7070127994688549</v>
      </c>
      <c r="AV15" s="50">
        <v>5.1118668893061647</v>
      </c>
      <c r="AW15" s="29">
        <v>28.0995683759011</v>
      </c>
      <c r="AX15" s="50">
        <v>2.6365319353238803</v>
      </c>
      <c r="AY15" s="50"/>
      <c r="BA15" s="29">
        <f t="shared" si="39"/>
        <v>203.47712000000001</v>
      </c>
      <c r="BB15" s="29">
        <f t="shared" si="40"/>
        <v>19.069464533645579</v>
      </c>
      <c r="BC15" s="29">
        <f t="shared" si="41"/>
        <v>26.29625782794928</v>
      </c>
      <c r="BD15" s="29">
        <f t="shared" si="42"/>
        <v>144.54865724547031</v>
      </c>
      <c r="BE15" s="29">
        <f t="shared" si="43"/>
        <v>13.562740392934833</v>
      </c>
      <c r="BG15" s="395">
        <f t="shared" si="49"/>
        <v>9.2796716444993863E-2</v>
      </c>
      <c r="BH15" s="395">
        <f t="shared" si="50"/>
        <v>7.9568595122684896E-2</v>
      </c>
      <c r="BI15" s="395">
        <f t="shared" si="50"/>
        <v>6.9519742342458932E-2</v>
      </c>
      <c r="BJ15" s="395">
        <f>BD15/S15</f>
        <v>9.275616521847814E-2</v>
      </c>
      <c r="BK15" s="395">
        <f>BE15/T15</f>
        <v>0.82549649844684492</v>
      </c>
      <c r="BM15" s="395">
        <f t="shared" si="45"/>
        <v>3.8665298518747442E-2</v>
      </c>
      <c r="BN15" s="395">
        <f t="shared" si="46"/>
        <v>3.3153581301118708E-2</v>
      </c>
      <c r="BO15" s="395">
        <f t="shared" si="47"/>
        <v>2.8966559309357889E-2</v>
      </c>
      <c r="BP15" s="395">
        <f t="shared" si="48"/>
        <v>3.8648402174365895E-2</v>
      </c>
      <c r="BQ15" s="395">
        <f t="shared" si="51"/>
        <v>0.34395687435285205</v>
      </c>
    </row>
    <row r="16" spans="2:69" s="4" customFormat="1" hidden="1" outlineLevel="1">
      <c r="B16" s="13"/>
      <c r="C16" s="445" t="s">
        <v>142</v>
      </c>
      <c r="D16" s="29">
        <v>2818.8024861878453</v>
      </c>
      <c r="E16" s="50">
        <v>205.93469958798866</v>
      </c>
      <c r="F16" s="50">
        <v>334.3591450062853</v>
      </c>
      <c r="G16" s="29">
        <f t="shared" si="17"/>
        <v>2169.8928972741141</v>
      </c>
      <c r="H16" s="50">
        <v>108.61574431945689</v>
      </c>
      <c r="J16" s="29">
        <f t="shared" si="9"/>
        <v>234.90020718232043</v>
      </c>
      <c r="K16" s="50">
        <f t="shared" si="0"/>
        <v>17.161224965665721</v>
      </c>
      <c r="L16" s="50">
        <f t="shared" si="1"/>
        <v>27.863262083857109</v>
      </c>
      <c r="M16" s="29">
        <f t="shared" si="2"/>
        <v>180.82440810617618</v>
      </c>
      <c r="N16" s="50">
        <f t="shared" si="3"/>
        <v>9.0513120266214084</v>
      </c>
      <c r="P16" s="29">
        <f t="shared" si="29"/>
        <v>1174.5010359116022</v>
      </c>
      <c r="Q16" s="29">
        <f t="shared" si="30"/>
        <v>85.806124828328606</v>
      </c>
      <c r="R16" s="29">
        <f t="shared" si="31"/>
        <v>139.31631041928554</v>
      </c>
      <c r="S16" s="29">
        <f t="shared" si="32"/>
        <v>904.12204053088089</v>
      </c>
      <c r="T16" s="29">
        <f t="shared" si="33"/>
        <v>45.256560133107044</v>
      </c>
      <c r="V16" s="29">
        <f t="shared" si="34"/>
        <v>0</v>
      </c>
      <c r="W16" s="50">
        <v>0</v>
      </c>
      <c r="X16" s="50">
        <v>0</v>
      </c>
      <c r="Y16" s="29">
        <v>0</v>
      </c>
      <c r="Z16" s="50">
        <v>0</v>
      </c>
      <c r="AB16" s="29">
        <f t="shared" si="35"/>
        <v>0</v>
      </c>
      <c r="AC16" s="50">
        <v>0</v>
      </c>
      <c r="AD16" s="50">
        <v>0</v>
      </c>
      <c r="AE16" s="29">
        <v>0</v>
      </c>
      <c r="AF16" s="50">
        <v>0</v>
      </c>
      <c r="AH16" s="29">
        <f t="shared" si="36"/>
        <v>446.3</v>
      </c>
      <c r="AI16" s="50">
        <v>41.82633419111702</v>
      </c>
      <c r="AJ16" s="50">
        <v>57.677344109321801</v>
      </c>
      <c r="AK16" s="29">
        <v>317.04825450966376</v>
      </c>
      <c r="AL16" s="50">
        <v>29.748067189897402</v>
      </c>
      <c r="AM16" s="4">
        <v>0</v>
      </c>
      <c r="AN16" s="29">
        <f t="shared" si="37"/>
        <v>0</v>
      </c>
      <c r="AO16" s="50">
        <v>0</v>
      </c>
      <c r="AP16" s="50">
        <v>0</v>
      </c>
      <c r="AQ16" s="29">
        <v>0</v>
      </c>
      <c r="AR16" s="50">
        <v>0</v>
      </c>
      <c r="AS16" s="453"/>
      <c r="AT16" s="29">
        <f t="shared" si="38"/>
        <v>0</v>
      </c>
      <c r="AU16" s="50">
        <v>0</v>
      </c>
      <c r="AV16" s="50">
        <v>0</v>
      </c>
      <c r="AW16" s="29">
        <v>0</v>
      </c>
      <c r="AX16" s="50">
        <v>0</v>
      </c>
      <c r="AY16" s="50"/>
      <c r="BA16" s="29">
        <f t="shared" si="39"/>
        <v>446.3</v>
      </c>
      <c r="BB16" s="29">
        <f t="shared" si="40"/>
        <v>41.82633419111702</v>
      </c>
      <c r="BC16" s="29">
        <f t="shared" si="41"/>
        <v>57.677344109321801</v>
      </c>
      <c r="BD16" s="29">
        <f t="shared" si="42"/>
        <v>317.04825450966376</v>
      </c>
      <c r="BE16" s="29">
        <f t="shared" si="43"/>
        <v>29.748067189897402</v>
      </c>
      <c r="BG16" s="395">
        <f t="shared" si="49"/>
        <v>0.37999115058557548</v>
      </c>
      <c r="BH16" s="395">
        <f t="shared" si="50"/>
        <v>0.4874516157768285</v>
      </c>
      <c r="BI16" s="395">
        <f t="shared" si="50"/>
        <v>0.41400281083913582</v>
      </c>
      <c r="BJ16" s="395">
        <f>BD16/S16</f>
        <v>0.35066975507366227</v>
      </c>
      <c r="BK16" s="395">
        <f>BE16/T16</f>
        <v>0.65732055424458702</v>
      </c>
      <c r="BM16" s="395">
        <f t="shared" si="45"/>
        <v>0.15832964607732311</v>
      </c>
      <c r="BN16" s="395">
        <f t="shared" si="46"/>
        <v>0.20310483990701186</v>
      </c>
      <c r="BO16" s="395">
        <f t="shared" si="47"/>
        <v>0.17250117118297326</v>
      </c>
      <c r="BP16" s="395">
        <f t="shared" si="48"/>
        <v>0.14611239794735928</v>
      </c>
      <c r="BQ16" s="395">
        <f t="shared" si="51"/>
        <v>0.27388356426857796</v>
      </c>
    </row>
    <row r="17" spans="2:71" s="4" customFormat="1" hidden="1" outlineLevel="1">
      <c r="B17" s="13"/>
      <c r="C17" s="445" t="s">
        <v>83</v>
      </c>
      <c r="D17" s="29">
        <v>21637.560158730161</v>
      </c>
      <c r="E17" s="50">
        <v>1580.7863349557811</v>
      </c>
      <c r="F17" s="50">
        <v>2566.5920723943041</v>
      </c>
      <c r="G17" s="29">
        <f t="shared" si="17"/>
        <v>16656.430641320607</v>
      </c>
      <c r="H17" s="50">
        <v>833.75111005946735</v>
      </c>
      <c r="J17" s="29">
        <f t="shared" si="9"/>
        <v>1803.1300132275135</v>
      </c>
      <c r="K17" s="50">
        <f t="shared" si="0"/>
        <v>131.73219457964842</v>
      </c>
      <c r="L17" s="50">
        <f t="shared" si="1"/>
        <v>213.88267269952533</v>
      </c>
      <c r="M17" s="29">
        <f t="shared" si="2"/>
        <v>1388.0358867767172</v>
      </c>
      <c r="N17" s="50">
        <f t="shared" si="3"/>
        <v>69.479259171622274</v>
      </c>
      <c r="P17" s="29">
        <f t="shared" si="29"/>
        <v>9015.6500661375667</v>
      </c>
      <c r="Q17" s="29">
        <f t="shared" si="30"/>
        <v>658.66097289824211</v>
      </c>
      <c r="R17" s="29">
        <f t="shared" si="31"/>
        <v>1069.4133634976267</v>
      </c>
      <c r="S17" s="29">
        <f t="shared" si="32"/>
        <v>6940.1794338835862</v>
      </c>
      <c r="T17" s="29">
        <f t="shared" si="33"/>
        <v>347.39629585811139</v>
      </c>
      <c r="V17" s="29">
        <f t="shared" si="34"/>
        <v>298.39283999999998</v>
      </c>
      <c r="W17" s="50">
        <v>27.96477402212976</v>
      </c>
      <c r="X17" s="50">
        <v>38.562640628361649</v>
      </c>
      <c r="Y17" s="29">
        <v>211.97609025359935</v>
      </c>
      <c r="Z17" s="50">
        <v>19.889335095909267</v>
      </c>
      <c r="AB17" s="29">
        <f t="shared" si="35"/>
        <v>0</v>
      </c>
      <c r="AC17" s="50">
        <v>0</v>
      </c>
      <c r="AD17" s="50">
        <v>0</v>
      </c>
      <c r="AE17" s="29">
        <v>0</v>
      </c>
      <c r="AF17" s="50">
        <v>0</v>
      </c>
      <c r="AH17" s="29">
        <f t="shared" si="36"/>
        <v>6.25</v>
      </c>
      <c r="AI17" s="50">
        <v>0.58573737103849743</v>
      </c>
      <c r="AJ17" s="50">
        <v>0.80771543957710334</v>
      </c>
      <c r="AK17" s="29">
        <v>4.4399542699650425</v>
      </c>
      <c r="AL17" s="50">
        <v>0.41659291941935639</v>
      </c>
      <c r="AN17" s="29">
        <f t="shared" si="37"/>
        <v>7452.9459999999999</v>
      </c>
      <c r="AO17" s="50">
        <v>698.47503944510163</v>
      </c>
      <c r="AP17" s="50">
        <v>963.17752872550625</v>
      </c>
      <c r="AQ17" s="29">
        <v>5294.5183066430218</v>
      </c>
      <c r="AR17" s="50">
        <v>496.7751251863703</v>
      </c>
      <c r="AS17" s="453"/>
      <c r="AT17" s="29">
        <f t="shared" si="38"/>
        <v>1838.99415</v>
      </c>
      <c r="AU17" s="50">
        <v>172.34681580418817</v>
      </c>
      <c r="AV17" s="50">
        <v>237.66143491951544</v>
      </c>
      <c r="AW17" s="29">
        <v>1306.4079885973174</v>
      </c>
      <c r="AX17" s="50">
        <v>122.57791067897884</v>
      </c>
      <c r="AY17" s="50"/>
      <c r="BA17" s="29">
        <f t="shared" si="39"/>
        <v>9596.5829900000008</v>
      </c>
      <c r="BB17" s="29">
        <f t="shared" si="40"/>
        <v>899.37236664245802</v>
      </c>
      <c r="BC17" s="29">
        <f t="shared" si="41"/>
        <v>1240.2093197129605</v>
      </c>
      <c r="BD17" s="29">
        <f t="shared" si="42"/>
        <v>6817.3423397639035</v>
      </c>
      <c r="BE17" s="29">
        <f t="shared" si="43"/>
        <v>639.65896388067779</v>
      </c>
      <c r="BG17" s="395">
        <f t="shared" si="49"/>
        <v>1.0644360550377168</v>
      </c>
      <c r="BH17" s="395">
        <f t="shared" si="50"/>
        <v>1.3654556800064179</v>
      </c>
      <c r="BI17" s="395">
        <f t="shared" si="50"/>
        <v>1.1597099513108082</v>
      </c>
      <c r="BJ17" s="395">
        <f>BD17/S17</f>
        <v>0.98230058814906673</v>
      </c>
      <c r="BK17" s="395">
        <f>BE17/T17</f>
        <v>1.8412947158824531</v>
      </c>
      <c r="BM17" s="395">
        <f t="shared" si="45"/>
        <v>0.44351502293238193</v>
      </c>
      <c r="BN17" s="395">
        <f t="shared" si="46"/>
        <v>0.56893986666934082</v>
      </c>
      <c r="BO17" s="395">
        <f t="shared" si="47"/>
        <v>0.48321247971283682</v>
      </c>
      <c r="BP17" s="395">
        <f t="shared" si="48"/>
        <v>0.40929191172877777</v>
      </c>
      <c r="BQ17" s="395">
        <f t="shared" si="51"/>
        <v>0.76720613161768869</v>
      </c>
    </row>
    <row r="18" spans="2:71" s="4" customFormat="1" hidden="1" outlineLevel="1">
      <c r="B18" s="365"/>
      <c r="C18" s="446" t="s">
        <v>113</v>
      </c>
      <c r="D18" s="29">
        <v>5258.9285714285706</v>
      </c>
      <c r="E18" s="50">
        <v>5258.9285714285706</v>
      </c>
      <c r="F18" s="50"/>
      <c r="G18" s="29">
        <f t="shared" si="17"/>
        <v>0</v>
      </c>
      <c r="H18" s="50"/>
      <c r="J18" s="29">
        <f t="shared" si="9"/>
        <v>438.24404761904754</v>
      </c>
      <c r="K18" s="50">
        <f t="shared" si="0"/>
        <v>438.24404761904754</v>
      </c>
      <c r="L18" s="50">
        <f t="shared" si="1"/>
        <v>0</v>
      </c>
      <c r="M18" s="29">
        <f t="shared" si="2"/>
        <v>0</v>
      </c>
      <c r="N18" s="50">
        <f t="shared" si="3"/>
        <v>0</v>
      </c>
      <c r="P18" s="29">
        <f t="shared" si="29"/>
        <v>2191.2202380952376</v>
      </c>
      <c r="Q18" s="29">
        <f t="shared" si="30"/>
        <v>2191.2202380952376</v>
      </c>
      <c r="R18" s="29">
        <f t="shared" si="31"/>
        <v>0</v>
      </c>
      <c r="S18" s="29">
        <f t="shared" si="32"/>
        <v>0</v>
      </c>
      <c r="T18" s="29">
        <f t="shared" si="33"/>
        <v>0</v>
      </c>
      <c r="V18" s="29">
        <f t="shared" si="34"/>
        <v>0</v>
      </c>
      <c r="W18" s="50">
        <v>0</v>
      </c>
      <c r="X18" s="50"/>
      <c r="Y18" s="29"/>
      <c r="Z18" s="50"/>
      <c r="AB18" s="29">
        <f t="shared" si="35"/>
        <v>0</v>
      </c>
      <c r="AC18" s="50">
        <v>0</v>
      </c>
      <c r="AD18" s="50"/>
      <c r="AE18" s="29"/>
      <c r="AF18" s="50"/>
      <c r="AH18" s="29">
        <f t="shared" si="36"/>
        <v>0</v>
      </c>
      <c r="AI18" s="50">
        <v>0</v>
      </c>
      <c r="AJ18" s="50"/>
      <c r="AK18" s="29"/>
      <c r="AL18" s="50"/>
      <c r="AM18" s="4">
        <v>0</v>
      </c>
      <c r="AN18" s="29">
        <f t="shared" si="37"/>
        <v>0</v>
      </c>
      <c r="AO18" s="50">
        <v>0</v>
      </c>
      <c r="AP18" s="50"/>
      <c r="AQ18" s="29"/>
      <c r="AR18" s="50"/>
      <c r="AS18" s="453"/>
      <c r="AT18" s="29">
        <f t="shared" si="38"/>
        <v>0</v>
      </c>
      <c r="AU18" s="50">
        <v>0</v>
      </c>
      <c r="AV18" s="50"/>
      <c r="AW18" s="29"/>
      <c r="AX18" s="50"/>
      <c r="AY18" s="50"/>
      <c r="BA18" s="29">
        <f t="shared" si="39"/>
        <v>0</v>
      </c>
      <c r="BB18" s="29">
        <f t="shared" si="40"/>
        <v>0</v>
      </c>
      <c r="BC18" s="29">
        <f t="shared" si="41"/>
        <v>0</v>
      </c>
      <c r="BD18" s="29">
        <f t="shared" si="42"/>
        <v>0</v>
      </c>
      <c r="BE18" s="29">
        <f t="shared" si="43"/>
        <v>0</v>
      </c>
      <c r="BG18" s="395">
        <f t="shared" si="49"/>
        <v>0</v>
      </c>
      <c r="BH18" s="395">
        <f t="shared" ref="BH18:BH26" si="52">BB18/Q18</f>
        <v>0</v>
      </c>
      <c r="BI18" s="395"/>
      <c r="BJ18" s="395"/>
      <c r="BK18" s="395"/>
      <c r="BM18" s="395">
        <f t="shared" si="45"/>
        <v>0</v>
      </c>
      <c r="BN18" s="395">
        <f t="shared" si="46"/>
        <v>0</v>
      </c>
      <c r="BO18" s="395"/>
      <c r="BP18" s="395"/>
      <c r="BQ18" s="395"/>
    </row>
    <row r="19" spans="2:71" s="4" customFormat="1" hidden="1" outlineLevel="1">
      <c r="B19" s="365"/>
      <c r="C19" s="446" t="s">
        <v>143</v>
      </c>
      <c r="D19" s="29">
        <v>5995.6</v>
      </c>
      <c r="E19" s="50">
        <v>395.6941025041138</v>
      </c>
      <c r="F19" s="50">
        <v>642.45579818264707</v>
      </c>
      <c r="G19" s="29">
        <f t="shared" si="17"/>
        <v>4653.1499164286124</v>
      </c>
      <c r="H19" s="50">
        <v>304.30018288462634</v>
      </c>
      <c r="J19" s="29">
        <f t="shared" si="9"/>
        <v>499.63333333333338</v>
      </c>
      <c r="K19" s="50">
        <f t="shared" si="0"/>
        <v>32.974508542009481</v>
      </c>
      <c r="L19" s="50">
        <f t="shared" si="1"/>
        <v>53.537983181887256</v>
      </c>
      <c r="M19" s="29">
        <f t="shared" si="2"/>
        <v>387.76249303571768</v>
      </c>
      <c r="N19" s="50">
        <f t="shared" si="3"/>
        <v>25.35834857371886</v>
      </c>
      <c r="P19" s="29">
        <f t="shared" si="29"/>
        <v>2498.166666666667</v>
      </c>
      <c r="Q19" s="29">
        <f t="shared" si="30"/>
        <v>164.87254271004741</v>
      </c>
      <c r="R19" s="29">
        <f t="shared" si="31"/>
        <v>267.68991590943631</v>
      </c>
      <c r="S19" s="29">
        <f t="shared" si="32"/>
        <v>1938.8124651785884</v>
      </c>
      <c r="T19" s="29">
        <f t="shared" si="33"/>
        <v>126.7917428685943</v>
      </c>
      <c r="V19" s="29">
        <f t="shared" si="34"/>
        <v>0</v>
      </c>
      <c r="W19" s="50">
        <v>0</v>
      </c>
      <c r="X19" s="50">
        <v>0</v>
      </c>
      <c r="Y19" s="29">
        <v>0</v>
      </c>
      <c r="Z19" s="50">
        <v>0</v>
      </c>
      <c r="AB19" s="29">
        <f t="shared" si="35"/>
        <v>0</v>
      </c>
      <c r="AC19" s="50">
        <v>0</v>
      </c>
      <c r="AD19" s="50">
        <v>0</v>
      </c>
      <c r="AE19" s="29">
        <v>0</v>
      </c>
      <c r="AF19" s="50">
        <v>0</v>
      </c>
      <c r="AH19" s="29">
        <f t="shared" si="36"/>
        <v>739.06299999999999</v>
      </c>
      <c r="AI19" s="50">
        <v>69.263490984291991</v>
      </c>
      <c r="AJ19" s="50">
        <v>95.51241534722763</v>
      </c>
      <c r="AK19" s="29">
        <v>525.02494761970786</v>
      </c>
      <c r="AL19" s="50">
        <v>49.262146048772443</v>
      </c>
      <c r="AN19" s="29">
        <f t="shared" si="37"/>
        <v>135</v>
      </c>
      <c r="AO19" s="50">
        <v>12.651927214431543</v>
      </c>
      <c r="AP19" s="50">
        <v>17.446653494865433</v>
      </c>
      <c r="AQ19" s="29">
        <v>95.903012231244929</v>
      </c>
      <c r="AR19" s="50">
        <v>8.9984070594580974</v>
      </c>
      <c r="AS19" s="453"/>
      <c r="AT19" s="29">
        <f t="shared" si="38"/>
        <v>0</v>
      </c>
      <c r="AU19" s="50">
        <v>0</v>
      </c>
      <c r="AV19" s="50">
        <v>0</v>
      </c>
      <c r="AW19" s="29">
        <v>0</v>
      </c>
      <c r="AX19" s="50">
        <v>0</v>
      </c>
      <c r="AY19" s="50"/>
      <c r="BA19" s="29">
        <f t="shared" si="39"/>
        <v>874.06299999999987</v>
      </c>
      <c r="BB19" s="29">
        <f t="shared" si="40"/>
        <v>81.915418198723529</v>
      </c>
      <c r="BC19" s="29">
        <f t="shared" si="41"/>
        <v>112.95906884209306</v>
      </c>
      <c r="BD19" s="29">
        <f>Y19+AE19+AK19+AQ19+AW19+AY19</f>
        <v>620.92795985095279</v>
      </c>
      <c r="BE19" s="29">
        <f t="shared" si="43"/>
        <v>58.260553108230539</v>
      </c>
      <c r="BG19" s="395">
        <f t="shared" si="49"/>
        <v>0.34988177997197933</v>
      </c>
      <c r="BH19" s="395">
        <f t="shared" si="52"/>
        <v>0.49684087387906561</v>
      </c>
      <c r="BI19" s="395">
        <f t="shared" ref="BI19:BK26" si="53">BC19/R19</f>
        <v>0.42197730332250871</v>
      </c>
      <c r="BJ19" s="395">
        <f t="shared" si="53"/>
        <v>0.32026200109754183</v>
      </c>
      <c r="BK19" s="395">
        <f t="shared" si="53"/>
        <v>0.45949800665340801</v>
      </c>
      <c r="BM19" s="395">
        <f t="shared" si="45"/>
        <v>0.14578407498832474</v>
      </c>
      <c r="BN19" s="395">
        <f t="shared" si="46"/>
        <v>0.20701703078294401</v>
      </c>
      <c r="BO19" s="395">
        <f t="shared" si="47"/>
        <v>0.17582387638437866</v>
      </c>
      <c r="BP19" s="395">
        <f t="shared" si="48"/>
        <v>0.13344250045730907</v>
      </c>
      <c r="BQ19" s="395">
        <f t="shared" si="51"/>
        <v>0.19145750277225332</v>
      </c>
    </row>
    <row r="20" spans="2:71" s="4" customFormat="1" outlineLevel="1">
      <c r="B20" s="13" t="s">
        <v>12</v>
      </c>
      <c r="C20" s="444" t="s">
        <v>13</v>
      </c>
      <c r="D20" s="33">
        <f>D21+D22</f>
        <v>310983.29078606778</v>
      </c>
      <c r="E20" s="33">
        <v>8956</v>
      </c>
      <c r="F20" s="33">
        <v>13516</v>
      </c>
      <c r="G20" s="33">
        <f t="shared" si="17"/>
        <v>288240.30711875088</v>
      </c>
      <c r="H20" s="33">
        <f t="shared" ref="H20" si="54">H21+H22</f>
        <v>270.98366731689896</v>
      </c>
      <c r="J20" s="33">
        <f t="shared" si="9"/>
        <v>25915.274232172316</v>
      </c>
      <c r="K20" s="33">
        <f t="shared" si="0"/>
        <v>746.33333333333337</v>
      </c>
      <c r="L20" s="33">
        <f t="shared" si="1"/>
        <v>1126.3333333333333</v>
      </c>
      <c r="M20" s="33">
        <f t="shared" si="2"/>
        <v>24020.025593229238</v>
      </c>
      <c r="N20" s="33">
        <f t="shared" si="3"/>
        <v>22.581972276408248</v>
      </c>
      <c r="P20" s="33">
        <f>J20*5</f>
        <v>129576.37116086158</v>
      </c>
      <c r="Q20" s="33">
        <f>K20*5</f>
        <v>3731.666666666667</v>
      </c>
      <c r="R20" s="33">
        <f>L20*5</f>
        <v>5631.6666666666661</v>
      </c>
      <c r="S20" s="33">
        <f>M20*5</f>
        <v>120100.12796614619</v>
      </c>
      <c r="T20" s="33">
        <f>N20*5</f>
        <v>112.90986138204124</v>
      </c>
      <c r="V20" s="33">
        <f>V21+V22</f>
        <v>8399.1329300000034</v>
      </c>
      <c r="W20" s="33">
        <f t="shared" ref="W20:Y20" si="55">W21+W22</f>
        <v>33.980809849078199</v>
      </c>
      <c r="X20" s="33">
        <f t="shared" si="55"/>
        <v>47.520162653208097</v>
      </c>
      <c r="Y20" s="33">
        <f t="shared" si="55"/>
        <v>8296.8125537136293</v>
      </c>
      <c r="Z20" s="33">
        <f t="shared" ref="Z20" si="56">Z21+Z22</f>
        <v>20.819403784088099</v>
      </c>
      <c r="AB20" s="33">
        <f>AB21+AB22</f>
        <v>5418.8560800000032</v>
      </c>
      <c r="AC20" s="33">
        <f t="shared" ref="AC20" si="57">AC21+AC22</f>
        <v>65.239812350072498</v>
      </c>
      <c r="AD20" s="33">
        <f t="shared" ref="AD20" si="58">AD21+AD22</f>
        <v>94.500242369623905</v>
      </c>
      <c r="AE20" s="33">
        <f t="shared" ref="AE20:AF20" si="59">AE21+AE22</f>
        <v>5235.6773705017404</v>
      </c>
      <c r="AF20" s="33">
        <f t="shared" si="59"/>
        <v>23.438654778565802</v>
      </c>
      <c r="AH20" s="33">
        <f>AH21+AH22</f>
        <v>11393.805520000045</v>
      </c>
      <c r="AI20" s="33">
        <f t="shared" ref="AI20" si="60">AI21+AI22</f>
        <v>53.324590657545606</v>
      </c>
      <c r="AJ20" s="33">
        <f t="shared" ref="AJ20" si="61">AJ21+AJ22</f>
        <v>77.028354810272404</v>
      </c>
      <c r="AK20" s="33">
        <f t="shared" ref="AK20:AL20" si="62">AK21+AK22</f>
        <v>11243.218469802401</v>
      </c>
      <c r="AL20" s="33">
        <f t="shared" si="62"/>
        <v>20.234104729825997</v>
      </c>
      <c r="AN20" s="33">
        <f>AN21+AN22</f>
        <v>11992.960589999984</v>
      </c>
      <c r="AO20" s="33">
        <f t="shared" ref="AO20:AR20" si="63">AO21+AO22</f>
        <v>80.225113073311704</v>
      </c>
      <c r="AP20" s="33">
        <f t="shared" si="63"/>
        <v>116.382784264953</v>
      </c>
      <c r="AQ20" s="33">
        <f t="shared" si="63"/>
        <v>11768.422395015001</v>
      </c>
      <c r="AR20" s="33">
        <f t="shared" si="63"/>
        <v>27.930297646718898</v>
      </c>
      <c r="AS20" s="451"/>
      <c r="AT20" s="33">
        <f>AT21+AT22</f>
        <v>12716.672009999962</v>
      </c>
      <c r="AU20" s="33">
        <f t="shared" ref="AU20:AX20" si="64">AU21+AU22</f>
        <v>103.84905082276065</v>
      </c>
      <c r="AV20" s="33">
        <f t="shared" si="64"/>
        <v>148.5131140908959</v>
      </c>
      <c r="AW20" s="33">
        <f t="shared" si="64"/>
        <v>12417.317897156336</v>
      </c>
      <c r="AX20" s="33">
        <f t="shared" si="64"/>
        <v>46.991947929971822</v>
      </c>
      <c r="AY20" s="33">
        <f t="shared" ref="AY20" si="65">AY21+AY22</f>
        <v>0</v>
      </c>
      <c r="BA20" s="33">
        <f>BA21+BA22</f>
        <v>49921.427130000004</v>
      </c>
      <c r="BB20" s="33">
        <f>BB21+BB22</f>
        <v>336.61937675276869</v>
      </c>
      <c r="BC20" s="33">
        <f t="shared" ref="BC20:BE20" si="66">BC21+BC22</f>
        <v>483.94465818895327</v>
      </c>
      <c r="BD20" s="33">
        <f t="shared" si="66"/>
        <v>48961.448686189113</v>
      </c>
      <c r="BE20" s="33">
        <f t="shared" si="66"/>
        <v>139.41440886917061</v>
      </c>
      <c r="BG20" s="396">
        <f t="shared" si="49"/>
        <v>0.38526643926480575</v>
      </c>
      <c r="BH20" s="396">
        <f t="shared" si="52"/>
        <v>9.020617510123323E-2</v>
      </c>
      <c r="BI20" s="396">
        <f t="shared" si="53"/>
        <v>8.5932759666579456E-2</v>
      </c>
      <c r="BJ20" s="396">
        <f t="shared" si="53"/>
        <v>0.40767191105733341</v>
      </c>
      <c r="BK20" s="396">
        <f t="shared" si="53"/>
        <v>1.2347407672165032</v>
      </c>
      <c r="BM20" s="396">
        <f>BA20/D20</f>
        <v>0.1605276830270024</v>
      </c>
      <c r="BN20" s="396">
        <f>BB20/E20</f>
        <v>3.7585906292180511E-2</v>
      </c>
      <c r="BO20" s="396">
        <f t="shared" si="47"/>
        <v>3.5805316527741438E-2</v>
      </c>
      <c r="BP20" s="396">
        <f t="shared" si="48"/>
        <v>0.16986329627388891</v>
      </c>
      <c r="BQ20" s="396">
        <f t="shared" si="51"/>
        <v>0.51447531967354299</v>
      </c>
    </row>
    <row r="21" spans="2:71" s="4" customFormat="1" hidden="1" outlineLevel="1">
      <c r="B21" s="13"/>
      <c r="C21" s="445" t="s">
        <v>175</v>
      </c>
      <c r="D21" s="29">
        <v>288011.72081999999</v>
      </c>
      <c r="E21" s="50">
        <v>4836.5382165168403</v>
      </c>
      <c r="F21" s="50">
        <v>7243.2554108919412</v>
      </c>
      <c r="G21" s="29">
        <f t="shared" si="17"/>
        <v>275760.55571408285</v>
      </c>
      <c r="H21" s="50">
        <v>171.37147850835498</v>
      </c>
      <c r="J21" s="29">
        <f t="shared" si="9"/>
        <v>24000.976735</v>
      </c>
      <c r="K21" s="50">
        <f t="shared" si="0"/>
        <v>403.04485137640336</v>
      </c>
      <c r="L21" s="50">
        <f t="shared" si="1"/>
        <v>603.60461757432847</v>
      </c>
      <c r="M21" s="29">
        <f t="shared" si="2"/>
        <v>22980.046309506903</v>
      </c>
      <c r="N21" s="50">
        <f t="shared" si="3"/>
        <v>14.280956542362915</v>
      </c>
      <c r="P21" s="29">
        <f t="shared" ref="P21:P22" si="67">J21*5</f>
        <v>120004.883675</v>
      </c>
      <c r="Q21" s="29">
        <f t="shared" ref="Q21:Q23" si="68">K21*5</f>
        <v>2015.2242568820168</v>
      </c>
      <c r="R21" s="29">
        <f t="shared" ref="R21:R23" si="69">L21*5</f>
        <v>3018.0230878716425</v>
      </c>
      <c r="S21" s="29">
        <f t="shared" ref="S21:S23" si="70">M21*5</f>
        <v>114900.23154753451</v>
      </c>
      <c r="T21" s="29">
        <f t="shared" ref="T21:T23" si="71">N21*5</f>
        <v>71.404782711814576</v>
      </c>
      <c r="V21" s="29">
        <f t="shared" si="34"/>
        <v>8399.1329300000034</v>
      </c>
      <c r="W21" s="50">
        <v>33.980809849078199</v>
      </c>
      <c r="X21" s="50">
        <v>47.520162653208097</v>
      </c>
      <c r="Y21" s="29">
        <v>8296.8125537136293</v>
      </c>
      <c r="Z21" s="50">
        <v>20.819403784088099</v>
      </c>
      <c r="AB21" s="29">
        <f t="shared" si="35"/>
        <v>5333.4416400000036</v>
      </c>
      <c r="AC21" s="50">
        <v>65.239812350072498</v>
      </c>
      <c r="AD21" s="50">
        <v>94.500242369623905</v>
      </c>
      <c r="AE21" s="29">
        <v>5150.2629305017408</v>
      </c>
      <c r="AF21" s="50">
        <v>23.438654778565802</v>
      </c>
      <c r="AH21" s="29">
        <f t="shared" si="36"/>
        <v>11276.644120000044</v>
      </c>
      <c r="AI21" s="50">
        <v>53.324590657545606</v>
      </c>
      <c r="AJ21" s="50">
        <v>77.028354810272404</v>
      </c>
      <c r="AK21" s="29">
        <v>11126.0570698024</v>
      </c>
      <c r="AL21" s="50">
        <v>20.234104729825997</v>
      </c>
      <c r="AN21" s="29">
        <f t="shared" si="37"/>
        <v>11876.543569999983</v>
      </c>
      <c r="AO21" s="50">
        <v>80.225113073311704</v>
      </c>
      <c r="AP21" s="50">
        <v>116.382784264953</v>
      </c>
      <c r="AQ21" s="29">
        <v>11652.005375015</v>
      </c>
      <c r="AR21" s="50">
        <v>27.930297646718898</v>
      </c>
      <c r="AS21" s="453"/>
      <c r="AT21" s="29">
        <f t="shared" si="38"/>
        <v>12549.524109999962</v>
      </c>
      <c r="AU21" s="50">
        <v>99.420876297709611</v>
      </c>
      <c r="AV21" s="50">
        <v>142.406785367693</v>
      </c>
      <c r="AW21" s="29">
        <v>12263.853942875399</v>
      </c>
      <c r="AX21" s="50">
        <v>43.842505459161494</v>
      </c>
      <c r="AY21" s="50"/>
      <c r="BA21" s="29">
        <f>BB21+BC21+BD21+BE21</f>
        <v>49435.286370000002</v>
      </c>
      <c r="BB21" s="29">
        <f t="shared" ref="BB21:BB22" si="72">W21+AC21+AI21+AO21+AU21</f>
        <v>332.19120222771767</v>
      </c>
      <c r="BC21" s="29">
        <f>X21+AD21+AJ21+AP21+AV21</f>
        <v>477.83832946575035</v>
      </c>
      <c r="BD21" s="29">
        <f t="shared" ref="BD21:BD22" si="73">Y21+AE21+AK21+AQ21+AW21+AY21</f>
        <v>48488.991871908176</v>
      </c>
      <c r="BE21" s="29">
        <f t="shared" ref="BE21:BE22" si="74">Z21+AF21+AL21+AR21+AX21</f>
        <v>136.26496639836029</v>
      </c>
      <c r="BG21" s="395">
        <f t="shared" si="49"/>
        <v>0.41194395474672335</v>
      </c>
      <c r="BH21" s="395">
        <f t="shared" si="52"/>
        <v>0.16484081168300771</v>
      </c>
      <c r="BI21" s="395">
        <f t="shared" si="53"/>
        <v>0.15832825513695109</v>
      </c>
      <c r="BJ21" s="395">
        <f t="shared" si="53"/>
        <v>0.42200952268619374</v>
      </c>
      <c r="BK21" s="395">
        <f t="shared" si="53"/>
        <v>1.9083450887080986</v>
      </c>
      <c r="BM21" s="395">
        <f>BA21/D21</f>
        <v>0.1716433144778014</v>
      </c>
      <c r="BN21" s="395">
        <f t="shared" ref="BN21:BN22" si="75">BB21/E21</f>
        <v>6.8683671534586543E-2</v>
      </c>
      <c r="BO21" s="395">
        <f t="shared" si="47"/>
        <v>6.5970106307062959E-2</v>
      </c>
      <c r="BP21" s="395">
        <f t="shared" si="48"/>
        <v>0.17583730111924736</v>
      </c>
      <c r="BQ21" s="395">
        <f t="shared" si="51"/>
        <v>0.79514378696170773</v>
      </c>
    </row>
    <row r="22" spans="2:71" s="4" customFormat="1" hidden="1" outlineLevel="1">
      <c r="B22" s="13"/>
      <c r="C22" s="445" t="s">
        <v>14</v>
      </c>
      <c r="D22" s="29">
        <v>22971.569966067818</v>
      </c>
      <c r="E22" s="50">
        <v>4119.7405662883866</v>
      </c>
      <c r="F22" s="50">
        <v>6198.3896876889303</v>
      </c>
      <c r="G22" s="29">
        <f t="shared" si="17"/>
        <v>12553.827523281958</v>
      </c>
      <c r="H22" s="50">
        <v>99.612188808543962</v>
      </c>
      <c r="J22" s="29">
        <f t="shared" si="9"/>
        <v>1914.2974971723181</v>
      </c>
      <c r="K22" s="50">
        <f t="shared" si="0"/>
        <v>343.31171385736553</v>
      </c>
      <c r="L22" s="50">
        <f t="shared" si="1"/>
        <v>516.53247397407756</v>
      </c>
      <c r="M22" s="29">
        <f t="shared" si="2"/>
        <v>1046.1522936068297</v>
      </c>
      <c r="N22" s="50">
        <f t="shared" si="3"/>
        <v>8.3010157340453308</v>
      </c>
      <c r="P22" s="29">
        <f t="shared" si="67"/>
        <v>9571.4874858615913</v>
      </c>
      <c r="Q22" s="29">
        <f t="shared" si="68"/>
        <v>1716.5585692868276</v>
      </c>
      <c r="R22" s="29">
        <f t="shared" si="69"/>
        <v>2582.6623698703879</v>
      </c>
      <c r="S22" s="29">
        <f t="shared" si="70"/>
        <v>5230.7614680341485</v>
      </c>
      <c r="T22" s="29">
        <f t="shared" si="71"/>
        <v>41.505078670226652</v>
      </c>
      <c r="V22" s="29">
        <f t="shared" si="34"/>
        <v>0</v>
      </c>
      <c r="W22" s="50"/>
      <c r="X22" s="50"/>
      <c r="Y22" s="29"/>
      <c r="Z22" s="50"/>
      <c r="AB22" s="29">
        <f t="shared" si="35"/>
        <v>85.414439999999999</v>
      </c>
      <c r="AC22" s="50"/>
      <c r="AD22" s="50"/>
      <c r="AE22" s="29">
        <v>85.414439999999999</v>
      </c>
      <c r="AF22" s="50"/>
      <c r="AH22" s="29">
        <f t="shared" si="36"/>
        <v>117.1614</v>
      </c>
      <c r="AI22" s="50"/>
      <c r="AJ22" s="50"/>
      <c r="AK22" s="29">
        <v>117.1614</v>
      </c>
      <c r="AL22" s="50"/>
      <c r="AN22" s="29">
        <f t="shared" si="37"/>
        <v>116.41702000000001</v>
      </c>
      <c r="AO22" s="50"/>
      <c r="AP22" s="50"/>
      <c r="AQ22" s="29">
        <v>116.41702000000001</v>
      </c>
      <c r="AR22" s="50"/>
      <c r="AS22" s="453"/>
      <c r="AT22" s="29">
        <f t="shared" si="38"/>
        <v>167.14790000000028</v>
      </c>
      <c r="AU22" s="50">
        <v>4.4281745250510403</v>
      </c>
      <c r="AV22" s="50">
        <v>6.1063287232028998</v>
      </c>
      <c r="AW22" s="29">
        <v>153.46395428093601</v>
      </c>
      <c r="AX22" s="50">
        <v>3.1494424708103304</v>
      </c>
      <c r="AY22" s="50"/>
      <c r="BA22" s="29">
        <f>BB22+BC22+BD22+BE22</f>
        <v>486.14076000000028</v>
      </c>
      <c r="BB22" s="29">
        <f t="shared" si="72"/>
        <v>4.4281745250510403</v>
      </c>
      <c r="BC22" s="29">
        <f t="shared" ref="BC22" si="76">X22+AD22+AJ22+AP22+AV22</f>
        <v>6.1063287232028998</v>
      </c>
      <c r="BD22" s="29">
        <f t="shared" si="73"/>
        <v>472.45681428093599</v>
      </c>
      <c r="BE22" s="29">
        <f t="shared" si="74"/>
        <v>3.1494424708103304</v>
      </c>
      <c r="BG22" s="395">
        <f t="shared" si="49"/>
        <v>5.0790513043881352E-2</v>
      </c>
      <c r="BH22" s="395">
        <f t="shared" si="52"/>
        <v>2.579681581672333E-3</v>
      </c>
      <c r="BI22" s="395">
        <f t="shared" si="53"/>
        <v>2.364354239423618E-3</v>
      </c>
      <c r="BJ22" s="395">
        <f t="shared" si="53"/>
        <v>9.0322760303290436E-2</v>
      </c>
      <c r="BK22" s="395">
        <f t="shared" si="53"/>
        <v>7.5880893898161883E-2</v>
      </c>
      <c r="BM22" s="395">
        <f>BA22/D22</f>
        <v>2.1162713768283898E-2</v>
      </c>
      <c r="BN22" s="395">
        <f t="shared" si="75"/>
        <v>1.0748673256968052E-3</v>
      </c>
      <c r="BO22" s="395">
        <f t="shared" si="47"/>
        <v>9.8514759975984099E-4</v>
      </c>
      <c r="BP22" s="395">
        <f t="shared" si="48"/>
        <v>3.763448345970434E-2</v>
      </c>
      <c r="BQ22" s="395">
        <f t="shared" si="51"/>
        <v>3.1617039124234116E-2</v>
      </c>
    </row>
    <row r="23" spans="2:71" s="4" customFormat="1" outlineLevel="1">
      <c r="B23" s="13" t="s">
        <v>15</v>
      </c>
      <c r="C23" s="148" t="s">
        <v>371</v>
      </c>
      <c r="D23" s="33">
        <v>61848.571080000009</v>
      </c>
      <c r="E23" s="370">
        <v>1329.408609269457</v>
      </c>
      <c r="F23" s="370">
        <v>2020.014689048257</v>
      </c>
      <c r="G23" s="33">
        <f t="shared" si="17"/>
        <v>58303.043415682296</v>
      </c>
      <c r="H23" s="370">
        <v>196.10436599999997</v>
      </c>
      <c r="J23" s="33">
        <f t="shared" si="9"/>
        <v>5154.047590000001</v>
      </c>
      <c r="K23" s="370">
        <f t="shared" si="0"/>
        <v>110.78405077245475</v>
      </c>
      <c r="L23" s="370">
        <f t="shared" si="1"/>
        <v>168.33455742068807</v>
      </c>
      <c r="M23" s="33">
        <f t="shared" si="2"/>
        <v>4858.5869513068583</v>
      </c>
      <c r="N23" s="370">
        <f t="shared" si="3"/>
        <v>16.342030499999996</v>
      </c>
      <c r="P23" s="33">
        <f t="shared" ref="P23" si="77">J23*4</f>
        <v>20616.190360000004</v>
      </c>
      <c r="Q23" s="33">
        <f t="shared" si="68"/>
        <v>553.92025386227374</v>
      </c>
      <c r="R23" s="33">
        <f t="shared" si="69"/>
        <v>841.67278710344033</v>
      </c>
      <c r="S23" s="33">
        <f t="shared" si="70"/>
        <v>24292.93475653429</v>
      </c>
      <c r="T23" s="33">
        <f t="shared" si="71"/>
        <v>81.710152499999978</v>
      </c>
      <c r="V23" s="33">
        <f t="shared" si="34"/>
        <v>1262.0120000000002</v>
      </c>
      <c r="W23" s="370">
        <v>557.62352994512582</v>
      </c>
      <c r="X23" s="370">
        <v>424.45746652428562</v>
      </c>
      <c r="Y23" s="33">
        <v>253.89255491654214</v>
      </c>
      <c r="Z23" s="370">
        <v>26.03844861404643</v>
      </c>
      <c r="AB23" s="33">
        <f t="shared" si="35"/>
        <v>1248.4528500000001</v>
      </c>
      <c r="AC23" s="370">
        <v>551.63238161527204</v>
      </c>
      <c r="AD23" s="370">
        <v>419.89706420067643</v>
      </c>
      <c r="AE23" s="33">
        <v>251.16471458222156</v>
      </c>
      <c r="AF23" s="370">
        <v>25.75868960183011</v>
      </c>
      <c r="AH23" s="33">
        <f t="shared" si="36"/>
        <v>1706.6939499999999</v>
      </c>
      <c r="AI23" s="370">
        <v>754.10749258722581</v>
      </c>
      <c r="AJ23" s="370">
        <v>574.01909819346076</v>
      </c>
      <c r="AK23" s="33">
        <v>343.35401519645234</v>
      </c>
      <c r="AL23" s="370">
        <v>35.213344022861051</v>
      </c>
      <c r="AN23" s="33">
        <f t="shared" si="37"/>
        <v>1655.4212500000001</v>
      </c>
      <c r="AO23" s="370">
        <v>731.45250676790124</v>
      </c>
      <c r="AP23" s="370">
        <v>556.77434905964935</v>
      </c>
      <c r="AQ23" s="33">
        <v>333.03893356452704</v>
      </c>
      <c r="AR23" s="370">
        <v>34.155460607922514</v>
      </c>
      <c r="AS23" s="454"/>
      <c r="AT23" s="33">
        <f>AU23+AV23+AW23+AX23+AY23</f>
        <v>1648.2885000000003</v>
      </c>
      <c r="AU23" s="370">
        <v>728.30088124198232</v>
      </c>
      <c r="AV23" s="370">
        <v>554.37536315907857</v>
      </c>
      <c r="AW23" s="33">
        <v>331.60396137640129</v>
      </c>
      <c r="AX23" s="370">
        <v>34.008294222538034</v>
      </c>
      <c r="AY23" s="370"/>
      <c r="BA23" s="33">
        <f t="shared" ref="BA23" si="78">BB23+BC23+BD23+BE23</f>
        <v>7520.8685499999992</v>
      </c>
      <c r="BB23" s="33">
        <f>W23+AC23+AI23+AO23+AU23</f>
        <v>3323.116792157507</v>
      </c>
      <c r="BC23" s="33">
        <f>X23+AD23+AJ23+AP23+AV23</f>
        <v>2529.5233411371505</v>
      </c>
      <c r="BD23" s="33">
        <f>Y23+AE23+AK23+AQ23+AW23+AY23</f>
        <v>1513.0541796361442</v>
      </c>
      <c r="BE23" s="33">
        <f>Z23+AF23+AL23+AR23+AX23</f>
        <v>155.17423706919814</v>
      </c>
      <c r="BG23" s="396">
        <f t="shared" si="49"/>
        <v>0.36480399233178201</v>
      </c>
      <c r="BH23" s="396">
        <f t="shared" si="52"/>
        <v>5.9992693334224318</v>
      </c>
      <c r="BI23" s="396">
        <f t="shared" si="53"/>
        <v>3.0053524123576967</v>
      </c>
      <c r="BJ23" s="396">
        <f t="shared" si="53"/>
        <v>6.2283713137177232E-2</v>
      </c>
      <c r="BK23" s="396">
        <f t="shared" si="53"/>
        <v>1.8990814766769428</v>
      </c>
      <c r="BM23" s="396">
        <f>BA23/D23</f>
        <v>0.12160133077726067</v>
      </c>
      <c r="BN23" s="396">
        <f>BB23/E23</f>
        <v>2.4996955555926799</v>
      </c>
      <c r="BO23" s="396">
        <f t="shared" ref="BO23:BO24" si="79">BC23/F23</f>
        <v>1.2522301718157069</v>
      </c>
      <c r="BP23" s="396">
        <f t="shared" ref="BP23:BP24" si="80">BD23/G23</f>
        <v>2.5951547140490513E-2</v>
      </c>
      <c r="BQ23" s="396">
        <f t="shared" ref="BQ23:BQ24" si="81">BE23/H23</f>
        <v>0.79128394861539275</v>
      </c>
    </row>
    <row r="24" spans="2:71" s="6" customFormat="1">
      <c r="B24" s="375" t="s">
        <v>16</v>
      </c>
      <c r="C24" s="379" t="s">
        <v>273</v>
      </c>
      <c r="D24" s="376">
        <f>SUM(D25:D28)</f>
        <v>1196407.4733271997</v>
      </c>
      <c r="E24" s="376">
        <f t="shared" ref="E24:H24" si="82">SUM(E25:E28)</f>
        <v>24795.492060459339</v>
      </c>
      <c r="F24" s="376">
        <f t="shared" si="82"/>
        <v>37288.399999999994</v>
      </c>
      <c r="G24" s="376">
        <f t="shared" si="17"/>
        <v>1061988.9649979121</v>
      </c>
      <c r="H24" s="376">
        <f t="shared" si="82"/>
        <v>72334.61626882838</v>
      </c>
      <c r="J24" s="376">
        <f t="shared" si="9"/>
        <v>99700.622777266646</v>
      </c>
      <c r="K24" s="376">
        <f t="shared" si="0"/>
        <v>2066.2910050382784</v>
      </c>
      <c r="L24" s="376">
        <f t="shared" si="1"/>
        <v>3107.3666666666663</v>
      </c>
      <c r="M24" s="376">
        <f t="shared" si="2"/>
        <v>88499.080416492667</v>
      </c>
      <c r="N24" s="376">
        <f t="shared" si="3"/>
        <v>6027.884689069032</v>
      </c>
      <c r="P24" s="376">
        <f>J24*5</f>
        <v>498503.11388633325</v>
      </c>
      <c r="Q24" s="376">
        <f>K24*5</f>
        <v>10331.455025191392</v>
      </c>
      <c r="R24" s="376">
        <f>L24*5</f>
        <v>15536.833333333332</v>
      </c>
      <c r="S24" s="376">
        <f>M24*5</f>
        <v>442495.40208246332</v>
      </c>
      <c r="T24" s="376">
        <f>N24*5</f>
        <v>30139.423445345161</v>
      </c>
      <c r="V24" s="376">
        <f>SUM(V25:V28)</f>
        <v>93717.215339999995</v>
      </c>
      <c r="W24" s="376">
        <f t="shared" ref="W24:Z24" si="83">SUM(W25:W28)</f>
        <v>8782.988053488054</v>
      </c>
      <c r="X24" s="376">
        <f t="shared" si="83"/>
        <v>12111.494685486425</v>
      </c>
      <c r="Y24" s="376">
        <f t="shared" si="83"/>
        <v>66576.024066890634</v>
      </c>
      <c r="Z24" s="376">
        <f t="shared" si="83"/>
        <v>6246.7085341348939</v>
      </c>
      <c r="AB24" s="376">
        <f>SUM(AB25:AB28)</f>
        <v>53474.125690000001</v>
      </c>
      <c r="AC24" s="376">
        <f t="shared" ref="AC24:AE24" si="84">SUM(AC25:AC28)</f>
        <v>5011.4870080388437</v>
      </c>
      <c r="AD24" s="376">
        <f t="shared" si="84"/>
        <v>6910.7003100319398</v>
      </c>
      <c r="AE24" s="376">
        <f t="shared" si="84"/>
        <v>37987.627630394061</v>
      </c>
      <c r="AF24" s="376">
        <f t="shared" ref="AF24" si="85">SUM(AF25:AF28)</f>
        <v>3564.3107415351524</v>
      </c>
      <c r="AH24" s="376">
        <f>SUM(AH25:AH28)</f>
        <v>54235.768309999992</v>
      </c>
      <c r="AI24" s="376">
        <f t="shared" ref="AI24:AK24" si="86">SUM(AI25:AI28)</f>
        <v>5082.8666153843915</v>
      </c>
      <c r="AJ24" s="376">
        <f t="shared" si="86"/>
        <v>7009.1307906101729</v>
      </c>
      <c r="AK24" s="376">
        <f t="shared" si="86"/>
        <v>38528.692974851081</v>
      </c>
      <c r="AL24" s="376">
        <f t="shared" ref="AL24" si="87">SUM(AL25:AL28)</f>
        <v>3615.077929154354</v>
      </c>
      <c r="AN24" s="376">
        <f>SUM(AN25:AN28)</f>
        <v>64261.676920000005</v>
      </c>
      <c r="AO24" s="376">
        <f t="shared" ref="AO24:AQ24" si="88">SUM(AO25:AO28)</f>
        <v>6022.4745116233744</v>
      </c>
      <c r="AP24" s="376">
        <f t="shared" si="88"/>
        <v>8304.8237794239358</v>
      </c>
      <c r="AQ24" s="376">
        <f t="shared" si="88"/>
        <v>45651.025093770892</v>
      </c>
      <c r="AR24" s="376">
        <f t="shared" ref="AR24" si="89">SUM(AR25:AR28)</f>
        <v>4283.3535351818036</v>
      </c>
      <c r="AS24" s="461"/>
      <c r="AT24" s="376">
        <f>SUM(AT25:AT28)</f>
        <v>111936.40700000001</v>
      </c>
      <c r="AU24" s="376">
        <f t="shared" ref="AU24:AX24" si="90">SUM(AU25:AU28)</f>
        <v>10490.453881548039</v>
      </c>
      <c r="AV24" s="376">
        <f t="shared" si="90"/>
        <v>14466.042269549847</v>
      </c>
      <c r="AW24" s="376">
        <f t="shared" si="90"/>
        <v>79518.80451587119</v>
      </c>
      <c r="AX24" s="376">
        <f t="shared" si="90"/>
        <v>7461.1063330309244</v>
      </c>
      <c r="AY24" s="376">
        <f t="shared" ref="AY24" si="91">SUM(AY25:AY28)</f>
        <v>0</v>
      </c>
      <c r="BA24" s="376">
        <f>SUM(BA25:BA28)</f>
        <v>377625.19326000003</v>
      </c>
      <c r="BB24" s="376">
        <f>SUM(BB25:BB28)</f>
        <v>35390.270070082704</v>
      </c>
      <c r="BC24" s="376">
        <f t="shared" ref="BC24:BE24" si="92">SUM(BC25:BC28)</f>
        <v>48802.19183510232</v>
      </c>
      <c r="BD24" s="376">
        <f t="shared" si="92"/>
        <v>268262.17428177787</v>
      </c>
      <c r="BE24" s="376">
        <f t="shared" si="92"/>
        <v>25170.557073037126</v>
      </c>
      <c r="BG24" s="397">
        <f t="shared" si="49"/>
        <v>0.75751822353933107</v>
      </c>
      <c r="BH24" s="397">
        <f t="shared" si="52"/>
        <v>3.425487502369212</v>
      </c>
      <c r="BI24" s="397">
        <f t="shared" si="53"/>
        <v>3.1410642560218616</v>
      </c>
      <c r="BJ24" s="397">
        <f t="shared" si="53"/>
        <v>0.60624850115795015</v>
      </c>
      <c r="BK24" s="397">
        <f t="shared" si="53"/>
        <v>0.83513731172334538</v>
      </c>
      <c r="BM24" s="397">
        <f>BA24/D24</f>
        <v>0.31563259314138797</v>
      </c>
      <c r="BN24" s="397">
        <f t="shared" ref="BN24" si="93">BB24/E24</f>
        <v>1.427286459320505</v>
      </c>
      <c r="BO24" s="397">
        <f t="shared" si="79"/>
        <v>1.3087767733424422</v>
      </c>
      <c r="BP24" s="397">
        <f t="shared" si="80"/>
        <v>0.25260354214914588</v>
      </c>
      <c r="BQ24" s="397">
        <f t="shared" si="81"/>
        <v>0.34797387988472728</v>
      </c>
    </row>
    <row r="25" spans="2:71" s="4" customFormat="1" outlineLevel="1">
      <c r="B25" s="13" t="s">
        <v>17</v>
      </c>
      <c r="C25" s="391" t="s">
        <v>18</v>
      </c>
      <c r="D25" s="33">
        <v>1073915.2327999999</v>
      </c>
      <c r="E25" s="33">
        <v>22038.3</v>
      </c>
      <c r="F25" s="33">
        <v>33079.199999999997</v>
      </c>
      <c r="G25" s="33">
        <f t="shared" si="17"/>
        <v>953554.0905342371</v>
      </c>
      <c r="H25" s="33">
        <v>65243.642265762763</v>
      </c>
      <c r="J25" s="33">
        <f t="shared" si="9"/>
        <v>89492.936066666662</v>
      </c>
      <c r="K25" s="33">
        <f t="shared" si="0"/>
        <v>1836.5249999999999</v>
      </c>
      <c r="L25" s="33">
        <f t="shared" si="1"/>
        <v>2756.6</v>
      </c>
      <c r="M25" s="33">
        <f t="shared" si="2"/>
        <v>79462.840877853087</v>
      </c>
      <c r="N25" s="33">
        <f t="shared" si="3"/>
        <v>5436.9701888135633</v>
      </c>
      <c r="P25" s="33">
        <f t="shared" ref="P25:P28" si="94">J25*5</f>
        <v>447464.68033333332</v>
      </c>
      <c r="Q25" s="33">
        <f t="shared" ref="Q25:Q28" si="95">K25*5</f>
        <v>9182.625</v>
      </c>
      <c r="R25" s="33">
        <f t="shared" ref="R25:R28" si="96">L25*5</f>
        <v>13783</v>
      </c>
      <c r="S25" s="33">
        <f t="shared" ref="S25:S28" si="97">M25*5</f>
        <v>397314.20438926545</v>
      </c>
      <c r="T25" s="33">
        <f t="shared" ref="T25:T28" si="98">N25*5</f>
        <v>27184.850944067817</v>
      </c>
      <c r="V25" s="33">
        <f t="shared" si="34"/>
        <v>84808.943339999998</v>
      </c>
      <c r="W25" s="33">
        <v>7948.1228020039171</v>
      </c>
      <c r="X25" s="33">
        <v>10960.238871990041</v>
      </c>
      <c r="Y25" s="33">
        <v>60247.652818185023</v>
      </c>
      <c r="Z25" s="33">
        <v>5652.928847821021</v>
      </c>
      <c r="AA25" s="4">
        <v>0</v>
      </c>
      <c r="AB25" s="33">
        <f t="shared" si="35"/>
        <v>48305.63</v>
      </c>
      <c r="AC25" s="33">
        <v>4527.1060356093394</v>
      </c>
      <c r="AD25" s="33">
        <v>6242.7525071198252</v>
      </c>
      <c r="AE25" s="33">
        <v>34315.966109096233</v>
      </c>
      <c r="AF25" s="33">
        <v>3219.8053481745987</v>
      </c>
      <c r="AH25" s="33">
        <f t="shared" si="36"/>
        <v>48953.609029999992</v>
      </c>
      <c r="AI25" s="33">
        <v>4587.8333209725834</v>
      </c>
      <c r="AJ25" s="33">
        <v>6326.4937338483369</v>
      </c>
      <c r="AK25" s="33">
        <v>34776.285670871643</v>
      </c>
      <c r="AL25" s="33">
        <v>3262.9963043074345</v>
      </c>
      <c r="AN25" s="33">
        <f t="shared" si="37"/>
        <v>58003.499090000005</v>
      </c>
      <c r="AO25" s="33">
        <v>5435.9707308816769</v>
      </c>
      <c r="AP25" s="33">
        <v>7496.0514823183148</v>
      </c>
      <c r="AQ25" s="33">
        <v>41205.26135320944</v>
      </c>
      <c r="AR25" s="33">
        <v>3866.215523590573</v>
      </c>
      <c r="AS25" s="451"/>
      <c r="AT25" s="33">
        <f>AU25+AV25+AW25+AX25+AY25</f>
        <v>101110.993</v>
      </c>
      <c r="AU25" s="33">
        <v>9475.9179556659055</v>
      </c>
      <c r="AV25" s="33">
        <v>13067.025625131588</v>
      </c>
      <c r="AW25" s="33">
        <v>71828.509617720891</v>
      </c>
      <c r="AX25" s="33">
        <v>6739.5398014816174</v>
      </c>
      <c r="AY25" s="33"/>
      <c r="BA25" s="33">
        <f t="shared" ref="BA25:BA28" si="99">BB25+BC25+BD25+BE25</f>
        <v>341182.67446000001</v>
      </c>
      <c r="BB25" s="33">
        <f t="shared" ref="BB25:BC30" si="100">W25+AC25+AI25+AO25+AU25</f>
        <v>31974.950845133419</v>
      </c>
      <c r="BC25" s="33">
        <f t="shared" si="100"/>
        <v>44092.562220408101</v>
      </c>
      <c r="BD25" s="33">
        <f>Y25+AE25+AK25+AQ25+AW25+AY25</f>
        <v>242373.67556908325</v>
      </c>
      <c r="BE25" s="33">
        <f t="shared" ref="BE25:BE30" si="101">Z25+AF25+AL25+AR25+AX25</f>
        <v>22741.485825375243</v>
      </c>
      <c r="BG25" s="396">
        <f t="shared" si="49"/>
        <v>0.76247956421016327</v>
      </c>
      <c r="BH25" s="396">
        <f t="shared" si="52"/>
        <v>3.4821144111986952</v>
      </c>
      <c r="BI25" s="396">
        <f t="shared" si="53"/>
        <v>3.1990540680844592</v>
      </c>
      <c r="BJ25" s="396">
        <f t="shared" si="53"/>
        <v>0.61003023020948821</v>
      </c>
      <c r="BK25" s="396">
        <f t="shared" si="53"/>
        <v>0.83654995468488347</v>
      </c>
      <c r="BM25" s="396">
        <f t="shared" ref="BM25:BM28" si="102">BA25/D25</f>
        <v>0.31769981842090139</v>
      </c>
      <c r="BN25" s="396">
        <f t="shared" ref="BN25:BN31" si="103">BB25/E25</f>
        <v>1.4508810046661231</v>
      </c>
      <c r="BO25" s="396">
        <f t="shared" ref="BO25:BO31" si="104">BC25/F25</f>
        <v>1.3329391950351914</v>
      </c>
      <c r="BP25" s="396">
        <f t="shared" ref="BP25:BP31" si="105">BD25/G25</f>
        <v>0.25417926258728674</v>
      </c>
      <c r="BQ25" s="396">
        <f t="shared" ref="BQ25:BQ31" si="106">BE25/H25</f>
        <v>0.34856248111870142</v>
      </c>
    </row>
    <row r="26" spans="2:71" s="4" customFormat="1" outlineLevel="1">
      <c r="B26" s="13" t="s">
        <v>19</v>
      </c>
      <c r="C26" s="391" t="s">
        <v>20</v>
      </c>
      <c r="D26" s="33">
        <v>106317.60804719999</v>
      </c>
      <c r="E26" s="33">
        <v>2182.3000000000002</v>
      </c>
      <c r="F26" s="33">
        <v>3275.2</v>
      </c>
      <c r="G26" s="33">
        <f t="shared" si="17"/>
        <v>94400.987462889476</v>
      </c>
      <c r="H26" s="33">
        <v>6459.1205843105136</v>
      </c>
      <c r="J26" s="33">
        <f t="shared" si="9"/>
        <v>8859.8006705999996</v>
      </c>
      <c r="K26" s="33">
        <f t="shared" si="0"/>
        <v>181.85833333333335</v>
      </c>
      <c r="L26" s="33">
        <f t="shared" si="1"/>
        <v>272.93333333333334</v>
      </c>
      <c r="M26" s="33">
        <f t="shared" si="2"/>
        <v>7866.7489552407897</v>
      </c>
      <c r="N26" s="33">
        <f t="shared" si="3"/>
        <v>538.2600486925428</v>
      </c>
      <c r="P26" s="33">
        <f t="shared" si="94"/>
        <v>44299.003353</v>
      </c>
      <c r="Q26" s="33">
        <f t="shared" si="95"/>
        <v>909.29166666666674</v>
      </c>
      <c r="R26" s="33">
        <f t="shared" si="96"/>
        <v>1364.6666666666667</v>
      </c>
      <c r="S26" s="33">
        <f t="shared" si="97"/>
        <v>39333.744776203952</v>
      </c>
      <c r="T26" s="33">
        <f t="shared" si="98"/>
        <v>2691.3002434627142</v>
      </c>
      <c r="V26" s="33">
        <f t="shared" si="34"/>
        <v>8427.5589999999993</v>
      </c>
      <c r="W26" s="33">
        <v>789.81380046909237</v>
      </c>
      <c r="X26" s="33">
        <v>1089.1311235595156</v>
      </c>
      <c r="Y26" s="33">
        <v>5986.8762507891715</v>
      </c>
      <c r="Z26" s="33">
        <v>561.73782518221935</v>
      </c>
      <c r="AA26" s="4">
        <v>0</v>
      </c>
      <c r="AB26" s="33">
        <f t="shared" si="35"/>
        <v>4751.4536900000012</v>
      </c>
      <c r="AC26" s="33">
        <v>445.29663887868281</v>
      </c>
      <c r="AD26" s="33">
        <v>614.05160093577604</v>
      </c>
      <c r="AE26" s="33">
        <v>3375.3979359130658</v>
      </c>
      <c r="AF26" s="33">
        <v>316.70751427247575</v>
      </c>
      <c r="AH26" s="33">
        <f t="shared" si="36"/>
        <v>4858.5808799999995</v>
      </c>
      <c r="AI26" s="33">
        <v>455.33638266065742</v>
      </c>
      <c r="AJ26" s="33">
        <v>627.89612659361751</v>
      </c>
      <c r="AK26" s="33">
        <v>3451.5003078602422</v>
      </c>
      <c r="AL26" s="33">
        <v>323.84806288548248</v>
      </c>
      <c r="AN26" s="33">
        <f t="shared" si="37"/>
        <v>5746.7208300000002</v>
      </c>
      <c r="AO26" s="33">
        <v>538.57106416901945</v>
      </c>
      <c r="AP26" s="33">
        <v>742.67442261285544</v>
      </c>
      <c r="AQ26" s="33">
        <v>4082.4284299928891</v>
      </c>
      <c r="AR26" s="33">
        <v>383.04691322523627</v>
      </c>
      <c r="AS26" s="451"/>
      <c r="AT26" s="33">
        <f t="shared" ref="AT26:AT28" si="107">AU26+AV26+AW26+AX26+AY26</f>
        <v>10024.17</v>
      </c>
      <c r="AU26" s="33">
        <v>939.44495722287593</v>
      </c>
      <c r="AV26" s="33">
        <v>1295.4683004712979</v>
      </c>
      <c r="AW26" s="33">
        <v>7121.0970230968769</v>
      </c>
      <c r="AX26" s="33">
        <v>668.15971920894867</v>
      </c>
      <c r="AY26" s="33"/>
      <c r="BA26" s="33">
        <f t="shared" si="99"/>
        <v>33808.484400000001</v>
      </c>
      <c r="BB26" s="33">
        <f t="shared" si="100"/>
        <v>3168.462843400328</v>
      </c>
      <c r="BC26" s="33">
        <f t="shared" si="100"/>
        <v>4369.2215741730615</v>
      </c>
      <c r="BD26" s="33">
        <f>Y26+AE26+AK26+AQ26+AW26+AY26</f>
        <v>24017.299947652245</v>
      </c>
      <c r="BE26" s="33">
        <f t="shared" si="101"/>
        <v>2253.5000347743626</v>
      </c>
      <c r="BG26" s="396">
        <f t="shared" si="49"/>
        <v>0.76318837538159734</v>
      </c>
      <c r="BH26" s="396">
        <f t="shared" si="52"/>
        <v>3.4845396252397869</v>
      </c>
      <c r="BI26" s="396">
        <f t="shared" si="53"/>
        <v>3.2016767763847542</v>
      </c>
      <c r="BJ26" s="396">
        <f t="shared" si="53"/>
        <v>0.61060293354479134</v>
      </c>
      <c r="BK26" s="396">
        <f t="shared" si="53"/>
        <v>0.83732762267911676</v>
      </c>
      <c r="BM26" s="396">
        <f t="shared" si="102"/>
        <v>0.31799515640899889</v>
      </c>
      <c r="BN26" s="396">
        <f t="shared" si="103"/>
        <v>1.4518915105165777</v>
      </c>
      <c r="BO26" s="396">
        <f t="shared" si="104"/>
        <v>1.3340319901603144</v>
      </c>
      <c r="BP26" s="396">
        <f t="shared" si="105"/>
        <v>0.25441788897699641</v>
      </c>
      <c r="BQ26" s="396">
        <f t="shared" si="106"/>
        <v>0.34888650944963201</v>
      </c>
    </row>
    <row r="27" spans="2:71" s="4" customFormat="1" outlineLevel="1">
      <c r="B27" s="365" t="s">
        <v>144</v>
      </c>
      <c r="C27" s="391" t="s">
        <v>145</v>
      </c>
      <c r="D27" s="33">
        <v>8305.5984000000008</v>
      </c>
      <c r="E27" s="61"/>
      <c r="F27" s="61"/>
      <c r="G27" s="33">
        <f t="shared" si="17"/>
        <v>7976.9592000000011</v>
      </c>
      <c r="H27" s="61">
        <v>328.63920000000002</v>
      </c>
      <c r="J27" s="33">
        <f t="shared" si="9"/>
        <v>692.1332000000001</v>
      </c>
      <c r="K27" s="61">
        <f t="shared" si="0"/>
        <v>0</v>
      </c>
      <c r="L27" s="61">
        <f t="shared" si="1"/>
        <v>0</v>
      </c>
      <c r="M27" s="33">
        <f t="shared" si="2"/>
        <v>664.74660000000006</v>
      </c>
      <c r="N27" s="61">
        <f t="shared" si="3"/>
        <v>27.386600000000001</v>
      </c>
      <c r="P27" s="33">
        <f t="shared" si="94"/>
        <v>3460.6660000000006</v>
      </c>
      <c r="Q27" s="33">
        <f t="shared" si="95"/>
        <v>0</v>
      </c>
      <c r="R27" s="33">
        <f t="shared" si="96"/>
        <v>0</v>
      </c>
      <c r="S27" s="33">
        <f t="shared" si="97"/>
        <v>3323.7330000000002</v>
      </c>
      <c r="T27" s="33">
        <f t="shared" si="98"/>
        <v>136.93299999999999</v>
      </c>
      <c r="V27" s="33">
        <f t="shared" si="34"/>
        <v>0</v>
      </c>
      <c r="W27" s="61"/>
      <c r="X27" s="61"/>
      <c r="Y27" s="33">
        <v>0</v>
      </c>
      <c r="Z27" s="61"/>
      <c r="AB27" s="33">
        <f t="shared" si="35"/>
        <v>0</v>
      </c>
      <c r="AC27" s="61"/>
      <c r="AD27" s="61"/>
      <c r="AE27" s="33">
        <v>0</v>
      </c>
      <c r="AF27" s="61"/>
      <c r="AH27" s="33">
        <f t="shared" si="36"/>
        <v>0</v>
      </c>
      <c r="AI27" s="61"/>
      <c r="AJ27" s="61"/>
      <c r="AK27" s="33">
        <v>0</v>
      </c>
      <c r="AL27" s="61"/>
      <c r="AN27" s="33">
        <f t="shared" si="37"/>
        <v>0</v>
      </c>
      <c r="AO27" s="61"/>
      <c r="AP27" s="61"/>
      <c r="AQ27" s="33">
        <v>0</v>
      </c>
      <c r="AR27" s="61"/>
      <c r="AS27" s="451"/>
      <c r="AT27" s="33">
        <f t="shared" si="107"/>
        <v>0</v>
      </c>
      <c r="AU27" s="61"/>
      <c r="AV27" s="61"/>
      <c r="AW27" s="33">
        <v>0</v>
      </c>
      <c r="AX27" s="61"/>
      <c r="AY27" s="61"/>
      <c r="BA27" s="33">
        <f t="shared" si="99"/>
        <v>0</v>
      </c>
      <c r="BB27" s="33">
        <f t="shared" si="100"/>
        <v>0</v>
      </c>
      <c r="BC27" s="33">
        <f t="shared" si="100"/>
        <v>0</v>
      </c>
      <c r="BD27" s="33">
        <f>Y27+AE27+AK27+AQ27+AW27+AY27</f>
        <v>0</v>
      </c>
      <c r="BE27" s="33">
        <f t="shared" si="101"/>
        <v>0</v>
      </c>
      <c r="BG27" s="396">
        <f t="shared" si="49"/>
        <v>0</v>
      </c>
      <c r="BH27" s="396"/>
      <c r="BI27" s="396"/>
      <c r="BJ27" s="396">
        <f t="shared" ref="BJ27:BK29" si="108">BD27/S27</f>
        <v>0</v>
      </c>
      <c r="BK27" s="396">
        <f t="shared" si="108"/>
        <v>0</v>
      </c>
      <c r="BM27" s="396">
        <f t="shared" si="102"/>
        <v>0</v>
      </c>
      <c r="BN27" s="396"/>
      <c r="BO27" s="396"/>
      <c r="BP27" s="396">
        <f t="shared" si="105"/>
        <v>0</v>
      </c>
      <c r="BQ27" s="396">
        <f t="shared" si="106"/>
        <v>0</v>
      </c>
    </row>
    <row r="28" spans="2:71" s="4" customFormat="1" outlineLevel="1">
      <c r="B28" s="365" t="s">
        <v>146</v>
      </c>
      <c r="C28" s="391" t="s">
        <v>147</v>
      </c>
      <c r="D28" s="33">
        <v>7869.0340800000004</v>
      </c>
      <c r="E28" s="61">
        <v>574.89206045934145</v>
      </c>
      <c r="F28" s="61">
        <v>934</v>
      </c>
      <c r="G28" s="33">
        <f t="shared" si="17"/>
        <v>6056.9278007855619</v>
      </c>
      <c r="H28" s="61">
        <v>303.21421875509708</v>
      </c>
      <c r="J28" s="33">
        <f t="shared" si="9"/>
        <v>655.75283999999999</v>
      </c>
      <c r="K28" s="61">
        <f t="shared" si="0"/>
        <v>47.907671704945123</v>
      </c>
      <c r="L28" s="61">
        <f t="shared" si="1"/>
        <v>77.833333333333329</v>
      </c>
      <c r="M28" s="33">
        <f t="shared" si="2"/>
        <v>504.74398339879684</v>
      </c>
      <c r="N28" s="61">
        <f t="shared" si="3"/>
        <v>25.267851562924758</v>
      </c>
      <c r="P28" s="33">
        <f t="shared" si="94"/>
        <v>3278.7642000000001</v>
      </c>
      <c r="Q28" s="33">
        <f t="shared" si="95"/>
        <v>239.53835852472562</v>
      </c>
      <c r="R28" s="33">
        <f t="shared" si="96"/>
        <v>389.16666666666663</v>
      </c>
      <c r="S28" s="33">
        <f t="shared" si="97"/>
        <v>2523.719916993984</v>
      </c>
      <c r="T28" s="33">
        <f t="shared" si="98"/>
        <v>126.33925781462379</v>
      </c>
      <c r="V28" s="33">
        <f t="shared" si="34"/>
        <v>480.71300000000002</v>
      </c>
      <c r="W28" s="61">
        <v>45.05145101504467</v>
      </c>
      <c r="X28" s="61">
        <v>62.124689936868499</v>
      </c>
      <c r="Y28" s="33">
        <v>341.49499791643291</v>
      </c>
      <c r="Z28" s="61">
        <v>32.041861131653931</v>
      </c>
      <c r="AA28" s="4">
        <v>0</v>
      </c>
      <c r="AB28" s="33">
        <f t="shared" si="35"/>
        <v>417.04199999999997</v>
      </c>
      <c r="AC28" s="61">
        <v>39.084333550821924</v>
      </c>
      <c r="AD28" s="61">
        <v>53.89620197633829</v>
      </c>
      <c r="AE28" s="33">
        <v>296.26358538476183</v>
      </c>
      <c r="AF28" s="61">
        <v>27.797879088077952</v>
      </c>
      <c r="AH28" s="33">
        <f t="shared" si="36"/>
        <v>423.57840000000004</v>
      </c>
      <c r="AI28" s="61">
        <v>39.696911751150893</v>
      </c>
      <c r="AJ28" s="61">
        <v>54.740930168218583</v>
      </c>
      <c r="AK28" s="33">
        <v>300.90699611919376</v>
      </c>
      <c r="AL28" s="61">
        <v>28.233561961436788</v>
      </c>
      <c r="AN28" s="33">
        <f t="shared" si="37"/>
        <v>511.45699999999999</v>
      </c>
      <c r="AO28" s="61">
        <v>47.932716572677883</v>
      </c>
      <c r="AP28" s="61">
        <v>66.097874492765854</v>
      </c>
      <c r="AQ28" s="33">
        <v>363.33531056856174</v>
      </c>
      <c r="AR28" s="61">
        <v>34.091098365994519</v>
      </c>
      <c r="AS28" s="451"/>
      <c r="AT28" s="33">
        <f t="shared" si="107"/>
        <v>801.24400000000003</v>
      </c>
      <c r="AU28" s="61">
        <v>75.090968659259175</v>
      </c>
      <c r="AV28" s="61">
        <v>103.54834394696266</v>
      </c>
      <c r="AW28" s="33">
        <v>569.19787505341935</v>
      </c>
      <c r="AX28" s="61">
        <v>53.406812340358847</v>
      </c>
      <c r="AY28" s="61"/>
      <c r="BA28" s="33">
        <f t="shared" si="99"/>
        <v>2634.0344</v>
      </c>
      <c r="BB28" s="33">
        <f t="shared" si="100"/>
        <v>246.85638154895454</v>
      </c>
      <c r="BC28" s="33">
        <f t="shared" si="100"/>
        <v>340.40804052115391</v>
      </c>
      <c r="BD28" s="33">
        <f>Y28+AE28+AK28+AQ28+AW28+AY28</f>
        <v>1871.1987650423694</v>
      </c>
      <c r="BE28" s="33">
        <f t="shared" si="101"/>
        <v>175.57121288752202</v>
      </c>
      <c r="BG28" s="396">
        <f t="shared" si="49"/>
        <v>0.80336194960284124</v>
      </c>
      <c r="BH28" s="396">
        <f>BB28/Q28</f>
        <v>1.0305505267269064</v>
      </c>
      <c r="BI28" s="396">
        <f>BC28/R28</f>
        <v>0.87471016836270821</v>
      </c>
      <c r="BJ28" s="396">
        <f t="shared" si="108"/>
        <v>0.74144470328988166</v>
      </c>
      <c r="BK28" s="396">
        <f t="shared" si="108"/>
        <v>1.389680578503443</v>
      </c>
      <c r="BM28" s="396">
        <f t="shared" si="102"/>
        <v>0.33473414566785048</v>
      </c>
      <c r="BN28" s="396">
        <f t="shared" si="103"/>
        <v>0.42939605280287768</v>
      </c>
      <c r="BO28" s="396">
        <f t="shared" si="104"/>
        <v>0.36446257015112837</v>
      </c>
      <c r="BP28" s="396">
        <f t="shared" si="105"/>
        <v>0.30893529303745071</v>
      </c>
      <c r="BQ28" s="396">
        <f t="shared" si="106"/>
        <v>0.57903357437643466</v>
      </c>
    </row>
    <row r="29" spans="2:71" s="6" customFormat="1">
      <c r="B29" s="375" t="s">
        <v>21</v>
      </c>
      <c r="C29" s="379" t="s">
        <v>22</v>
      </c>
      <c r="D29" s="376">
        <v>2220718.321853674</v>
      </c>
      <c r="E29" s="376">
        <v>892841</v>
      </c>
      <c r="F29" s="376">
        <v>768165</v>
      </c>
      <c r="G29" s="376">
        <f t="shared" si="17"/>
        <v>550321.19612014398</v>
      </c>
      <c r="H29" s="376">
        <v>9391.1257335300597</v>
      </c>
      <c r="J29" s="376">
        <f t="shared" si="9"/>
        <v>185059.86015447284</v>
      </c>
      <c r="K29" s="376">
        <f t="shared" si="0"/>
        <v>74403.416666666672</v>
      </c>
      <c r="L29" s="376">
        <f t="shared" si="1"/>
        <v>64013.75</v>
      </c>
      <c r="M29" s="376">
        <f t="shared" si="2"/>
        <v>45860.099676678663</v>
      </c>
      <c r="N29" s="376">
        <f t="shared" si="3"/>
        <v>782.59381112750498</v>
      </c>
      <c r="P29" s="376">
        <f t="shared" ref="P29:T31" si="109">J29*5</f>
        <v>925299.30077236425</v>
      </c>
      <c r="Q29" s="376">
        <f t="shared" si="109"/>
        <v>372017.08333333337</v>
      </c>
      <c r="R29" s="376">
        <f t="shared" si="109"/>
        <v>320068.75</v>
      </c>
      <c r="S29" s="376">
        <f t="shared" si="109"/>
        <v>229300.49838339331</v>
      </c>
      <c r="T29" s="376">
        <f t="shared" si="109"/>
        <v>3912.9690556375249</v>
      </c>
      <c r="V29" s="376">
        <f>W29+X29+Y29+Z29</f>
        <v>174098.00700000004</v>
      </c>
      <c r="W29" s="376">
        <v>76925.691055038478</v>
      </c>
      <c r="X29" s="376">
        <v>58555.068397247691</v>
      </c>
      <c r="Y29" s="376">
        <v>35025.172346307358</v>
      </c>
      <c r="Z29" s="376">
        <v>3592.075201406481</v>
      </c>
      <c r="AA29" s="6">
        <v>0</v>
      </c>
      <c r="AB29" s="376">
        <f>AC29+AD29+AE29+AF29</f>
        <v>174135.378</v>
      </c>
      <c r="AC29" s="376">
        <v>76942.20353585291</v>
      </c>
      <c r="AD29" s="376">
        <v>58567.637532867222</v>
      </c>
      <c r="AE29" s="376">
        <v>35032.690673129749</v>
      </c>
      <c r="AF29" s="376">
        <v>3592.8462581501217</v>
      </c>
      <c r="AH29" s="376">
        <f>AI29+AJ29+AK29+AL29</f>
        <v>174135.378</v>
      </c>
      <c r="AI29" s="376">
        <v>76942.20353585291</v>
      </c>
      <c r="AJ29" s="376">
        <v>58567.637532867222</v>
      </c>
      <c r="AK29" s="376">
        <v>35032.690673129749</v>
      </c>
      <c r="AL29" s="376">
        <v>3592.8462581501217</v>
      </c>
      <c r="AN29" s="376">
        <f>AO29+AP29+AQ29+AR29</f>
        <v>174153.83499999999</v>
      </c>
      <c r="AO29" s="376">
        <v>76950.358812896389</v>
      </c>
      <c r="AP29" s="376">
        <v>58573.84524837201</v>
      </c>
      <c r="AQ29" s="376">
        <v>35036.403866733373</v>
      </c>
      <c r="AR29" s="376">
        <v>3593.2270719982221</v>
      </c>
      <c r="AS29" s="461"/>
      <c r="AT29" s="376">
        <f t="shared" ref="AT29:AT35" si="110">AU29+AV29+AW29+AX29+AY29</f>
        <v>174153.83499999999</v>
      </c>
      <c r="AU29" s="376">
        <v>76950.358812896389</v>
      </c>
      <c r="AV29" s="376">
        <v>58573.84524837201</v>
      </c>
      <c r="AW29" s="376">
        <v>35036.403866733373</v>
      </c>
      <c r="AX29" s="376">
        <v>3593.2270719982221</v>
      </c>
      <c r="AY29" s="376">
        <v>0</v>
      </c>
      <c r="BA29" s="376">
        <f>BB29+BC29+BD29+BE29</f>
        <v>870676.43300000008</v>
      </c>
      <c r="BB29" s="388">
        <f t="shared" si="100"/>
        <v>384710.81575253711</v>
      </c>
      <c r="BC29" s="388">
        <f t="shared" si="100"/>
        <v>292838.03395972616</v>
      </c>
      <c r="BD29" s="388">
        <f>Y29+AE29+AK29+AQ29+AW29</f>
        <v>175163.3614260336</v>
      </c>
      <c r="BE29" s="388">
        <f t="shared" si="101"/>
        <v>17964.221861703169</v>
      </c>
      <c r="BG29" s="397">
        <f t="shared" si="49"/>
        <v>0.94096735215646499</v>
      </c>
      <c r="BH29" s="397">
        <f>BB29/Q29</f>
        <v>1.0341213696571829</v>
      </c>
      <c r="BI29" s="397">
        <f>BC29/R29</f>
        <v>0.91492229078823273</v>
      </c>
      <c r="BJ29" s="397">
        <f t="shared" si="108"/>
        <v>0.76390309947411572</v>
      </c>
      <c r="BK29" s="397">
        <f t="shared" si="108"/>
        <v>4.5909440136822974</v>
      </c>
      <c r="BM29" s="397">
        <f>BA29/D29</f>
        <v>0.3920697300651938</v>
      </c>
      <c r="BN29" s="397">
        <f t="shared" si="103"/>
        <v>0.43088390402382631</v>
      </c>
      <c r="BO29" s="397">
        <f t="shared" si="104"/>
        <v>0.38121762116176361</v>
      </c>
      <c r="BP29" s="397">
        <f t="shared" si="105"/>
        <v>0.31829295811421487</v>
      </c>
      <c r="BQ29" s="397">
        <f t="shared" si="106"/>
        <v>1.9128933390342906</v>
      </c>
    </row>
    <row r="30" spans="2:71" s="6" customFormat="1">
      <c r="B30" s="375" t="s">
        <v>23</v>
      </c>
      <c r="C30" s="379" t="s">
        <v>24</v>
      </c>
      <c r="D30" s="376">
        <v>0</v>
      </c>
      <c r="E30" s="376"/>
      <c r="F30" s="376"/>
      <c r="G30" s="376"/>
      <c r="H30" s="376"/>
      <c r="J30" s="376">
        <f t="shared" si="9"/>
        <v>0</v>
      </c>
      <c r="K30" s="376">
        <f t="shared" si="0"/>
        <v>0</v>
      </c>
      <c r="L30" s="376">
        <f t="shared" si="1"/>
        <v>0</v>
      </c>
      <c r="M30" s="376">
        <f t="shared" si="2"/>
        <v>0</v>
      </c>
      <c r="N30" s="376">
        <f t="shared" si="3"/>
        <v>0</v>
      </c>
      <c r="P30" s="376">
        <f t="shared" si="109"/>
        <v>0</v>
      </c>
      <c r="Q30" s="376">
        <f t="shared" si="109"/>
        <v>0</v>
      </c>
      <c r="R30" s="376">
        <f t="shared" si="109"/>
        <v>0</v>
      </c>
      <c r="S30" s="376">
        <f t="shared" si="109"/>
        <v>0</v>
      </c>
      <c r="T30" s="376">
        <f t="shared" si="109"/>
        <v>0</v>
      </c>
      <c r="V30" s="376">
        <f>W30+X30+Y30+Z30</f>
        <v>0</v>
      </c>
      <c r="W30" s="376"/>
      <c r="X30" s="376"/>
      <c r="Y30" s="376"/>
      <c r="Z30" s="376"/>
      <c r="AB30" s="376">
        <f>AC30+AD30+AE30+AF30</f>
        <v>0</v>
      </c>
      <c r="AC30" s="376"/>
      <c r="AD30" s="376"/>
      <c r="AE30" s="376"/>
      <c r="AF30" s="376"/>
      <c r="AH30" s="376">
        <f>AI30+AJ30+AK30+AL30</f>
        <v>0</v>
      </c>
      <c r="AI30" s="376"/>
      <c r="AJ30" s="376"/>
      <c r="AK30" s="376"/>
      <c r="AL30" s="376"/>
      <c r="AN30" s="376">
        <f>AO30+AP30+AQ30+AR30</f>
        <v>0</v>
      </c>
      <c r="AO30" s="376"/>
      <c r="AP30" s="376"/>
      <c r="AQ30" s="376"/>
      <c r="AR30" s="376"/>
      <c r="AS30" s="461"/>
      <c r="AT30" s="376">
        <f t="shared" si="110"/>
        <v>0</v>
      </c>
      <c r="AU30" s="376"/>
      <c r="AV30" s="376"/>
      <c r="AW30" s="376"/>
      <c r="AX30" s="376"/>
      <c r="AY30" s="376"/>
      <c r="BA30" s="376">
        <f>BB30+BC30+BD30+BE30</f>
        <v>0</v>
      </c>
      <c r="BB30" s="388">
        <f t="shared" si="100"/>
        <v>0</v>
      </c>
      <c r="BC30" s="388">
        <f t="shared" si="100"/>
        <v>0</v>
      </c>
      <c r="BD30" s="388">
        <f>Y30+AE30+AK30+AQ30+AW30</f>
        <v>0</v>
      </c>
      <c r="BE30" s="388">
        <f t="shared" si="101"/>
        <v>0</v>
      </c>
      <c r="BG30" s="397"/>
      <c r="BH30" s="397"/>
      <c r="BI30" s="397"/>
      <c r="BJ30" s="397"/>
      <c r="BK30" s="397"/>
      <c r="BM30" s="397"/>
      <c r="BN30" s="397"/>
      <c r="BO30" s="397"/>
      <c r="BP30" s="397"/>
      <c r="BQ30" s="397"/>
    </row>
    <row r="31" spans="2:71" s="6" customFormat="1">
      <c r="B31" s="375" t="s">
        <v>25</v>
      </c>
      <c r="C31" s="379" t="s">
        <v>26</v>
      </c>
      <c r="D31" s="376">
        <v>858965.64125132258</v>
      </c>
      <c r="E31" s="376">
        <f>E32+E33+E34+E35+E41+E63+E65+E70</f>
        <v>167720.61678014151</v>
      </c>
      <c r="F31" s="376">
        <f>F32+F33+F34+F35+F41+F63+F65+F70</f>
        <v>148868.36217082068</v>
      </c>
      <c r="G31" s="376">
        <f>D31-E31-F31-H31</f>
        <v>529195.72773342929</v>
      </c>
      <c r="H31" s="376">
        <f>H32+H33+H34+H35+H41+H63+H65+H70</f>
        <v>13180.934566931046</v>
      </c>
      <c r="J31" s="376">
        <f t="shared" si="9"/>
        <v>71580.470104276887</v>
      </c>
      <c r="K31" s="376">
        <f t="shared" si="0"/>
        <v>13976.718065011793</v>
      </c>
      <c r="L31" s="376">
        <f t="shared" si="1"/>
        <v>12405.69684756839</v>
      </c>
      <c r="M31" s="376">
        <f t="shared" si="2"/>
        <v>44099.643977785774</v>
      </c>
      <c r="N31" s="376">
        <f t="shared" si="3"/>
        <v>1098.4112139109204</v>
      </c>
      <c r="P31" s="376">
        <f t="shared" si="109"/>
        <v>357902.35052138445</v>
      </c>
      <c r="Q31" s="376">
        <f t="shared" si="109"/>
        <v>69883.590325058962</v>
      </c>
      <c r="R31" s="376">
        <f t="shared" si="109"/>
        <v>62028.484237841949</v>
      </c>
      <c r="S31" s="376">
        <f t="shared" si="109"/>
        <v>220498.21988892887</v>
      </c>
      <c r="T31" s="376">
        <f t="shared" si="109"/>
        <v>5492.0560695546019</v>
      </c>
      <c r="V31" s="376">
        <f>W31+X31+Y31+Z31</f>
        <v>91014.373500000002</v>
      </c>
      <c r="W31" s="376">
        <f>W32+W33+W34+W35+W41+W63+W65+W70</f>
        <v>29566.154567167167</v>
      </c>
      <c r="X31" s="376">
        <f>X32+X33+X34+X35+X41+X63+X65+X70</f>
        <v>22870.286562908641</v>
      </c>
      <c r="Y31" s="376">
        <f>Y32+Y33+Y34+Y35+Y41+Y63+Y65+Y70</f>
        <v>36804.896290302269</v>
      </c>
      <c r="Z31" s="376">
        <f>Z32+Z33+Z34+Z35+Z41+Z63+Z65+Z70</f>
        <v>1773.0360796219175</v>
      </c>
      <c r="AB31" s="376">
        <f>AC31+AD31+AE31+AF31</f>
        <v>89251.091669999994</v>
      </c>
      <c r="AC31" s="376">
        <f>AC32+AC33+AC34+AC35+AC41+AC63+AC65+AC70</f>
        <v>28898.409485196065</v>
      </c>
      <c r="AD31" s="376">
        <f>AD32+AD33+AD34+AD35+AD41+AD63+AD65+AD70</f>
        <v>22382.315418387388</v>
      </c>
      <c r="AE31" s="376">
        <f>AE32+AE33+AE34+AE35+AE41+AE63+AE65+AE70</f>
        <v>36206.664610959393</v>
      </c>
      <c r="AF31" s="376">
        <f>AF32+AF33+AF34+AF35+AF41+AF63+AF65+AF70</f>
        <v>1763.702155457147</v>
      </c>
      <c r="AH31" s="376">
        <f>AI31+AJ31+AK31+AL31</f>
        <v>90624.278000000006</v>
      </c>
      <c r="AI31" s="376">
        <f>AI32+AI33+AI34+AI35+AI41+AI63+AI65+AI70</f>
        <v>29008.489761065885</v>
      </c>
      <c r="AJ31" s="376">
        <f>AJ32+AJ33+AJ34+AJ35+AJ41+AJ63+AJ65+AJ70</f>
        <v>22576.595429122401</v>
      </c>
      <c r="AK31" s="376">
        <f>AK32+AK33+AK34+AK35+AK41+AK63+AK65+AK70</f>
        <v>37151.501204872962</v>
      </c>
      <c r="AL31" s="376">
        <f>AL32+AL33+AL34+AL35+AL41+AL63+AL65+AL70</f>
        <v>1887.6916049387571</v>
      </c>
      <c r="AN31" s="376">
        <f>AO31+AP31+AQ31+AR31</f>
        <v>96515.355850000007</v>
      </c>
      <c r="AO31" s="376">
        <f>AO32+AO33+AO34+AO35+AO41+AO63+AO65+AO70</f>
        <v>29867.702709915644</v>
      </c>
      <c r="AP31" s="376">
        <f>AP32+AP33+AP34+AP35+AP41+AP63+AP65+AP70</f>
        <v>23243.485400413239</v>
      </c>
      <c r="AQ31" s="376">
        <f>AQ32+AQ33+AQ34+AQ35+AQ41+AQ63+AQ65+AQ70</f>
        <v>41444.810040848621</v>
      </c>
      <c r="AR31" s="376">
        <f>AR32+AR33+AR34+AR35+AR41+AR63+AR65+AR70</f>
        <v>1959.3576988224934</v>
      </c>
      <c r="AS31" s="461"/>
      <c r="AT31" s="376">
        <f t="shared" si="110"/>
        <v>-32187.716724285718</v>
      </c>
      <c r="AU31" s="376">
        <f>AU32+AU33+AU34+AU35+AU41+AU63+AU65+AU70</f>
        <v>-53610.000482880016</v>
      </c>
      <c r="AV31" s="376">
        <f>AV32+AV33+AV34+AV35+AV41+AV63+AV65+AV70</f>
        <v>-35858.521720940458</v>
      </c>
      <c r="AW31" s="376">
        <f>AW32+AW33+AW34+AW35+AW41+AW63+AW65+AW70</f>
        <v>54388.21535725252</v>
      </c>
      <c r="AX31" s="376">
        <f>AX32+AX33+AX34+AX35+AX41+AX63+AX65+AX70</f>
        <v>2892.5901222822267</v>
      </c>
      <c r="AY31" s="376">
        <f>AY32+AY33+AY34+AY35+AY41+AY63+AY65+AY70</f>
        <v>0</v>
      </c>
      <c r="BA31" s="376">
        <f>BB31+BC31+BD31+BE31</f>
        <v>335217.38229571428</v>
      </c>
      <c r="BB31" s="376">
        <f>BB32+BB33+BB34+BB35+BB41+BB63+BB65+BB70</f>
        <v>63730.756040464752</v>
      </c>
      <c r="BC31" s="376">
        <f>BC32+BC33+BC34+BC35+BC41+BC63+BC65+BC70</f>
        <v>55214.161089891219</v>
      </c>
      <c r="BD31" s="376">
        <f>BD32+BD33+BD34+BD35+BD41+BD63+BD65+BD70</f>
        <v>205996.08750423579</v>
      </c>
      <c r="BE31" s="376">
        <f>BE32+BE33+BE34+BE35+BE41+BE63+BE65+BE70</f>
        <v>10276.377661122542</v>
      </c>
      <c r="BG31" s="397">
        <f t="shared" ref="BG31:BG42" si="111">BA31/P31</f>
        <v>0.93661687833951579</v>
      </c>
      <c r="BH31" s="397">
        <f t="shared" ref="BH31:BH42" si="112">BB31/Q31</f>
        <v>0.91195595051750056</v>
      </c>
      <c r="BI31" s="397">
        <f t="shared" ref="BI31:BI42" si="113">BC31/R31</f>
        <v>0.8901420334273864</v>
      </c>
      <c r="BJ31" s="397">
        <f t="shared" ref="BJ31:BJ42" si="114">BD31/S31</f>
        <v>0.93423016116865609</v>
      </c>
      <c r="BK31" s="397">
        <f t="shared" ref="BK31:BK42" si="115">BE31/T31</f>
        <v>1.8711348775352072</v>
      </c>
      <c r="BM31" s="397">
        <f>BA31/D31</f>
        <v>0.39025703264146494</v>
      </c>
      <c r="BN31" s="397">
        <f t="shared" si="103"/>
        <v>0.37998164604895857</v>
      </c>
      <c r="BO31" s="397">
        <f t="shared" si="104"/>
        <v>0.37089251392807765</v>
      </c>
      <c r="BP31" s="397">
        <f t="shared" si="105"/>
        <v>0.38926256715360674</v>
      </c>
      <c r="BQ31" s="397">
        <f t="shared" si="106"/>
        <v>0.77963953230633631</v>
      </c>
      <c r="BS31" s="522"/>
    </row>
    <row r="32" spans="2:71" s="4" customFormat="1" outlineLevel="1">
      <c r="B32" s="13" t="s">
        <v>27</v>
      </c>
      <c r="C32" s="444" t="s">
        <v>28</v>
      </c>
      <c r="D32" s="33">
        <v>6258.5412933942862</v>
      </c>
      <c r="E32" s="33">
        <v>586.53784379658339</v>
      </c>
      <c r="F32" s="33">
        <v>808.81926910486698</v>
      </c>
      <c r="G32" s="33">
        <f>D32-E32-F32-H32</f>
        <v>4622.0264107423882</v>
      </c>
      <c r="H32" s="33">
        <v>241.15776975044733</v>
      </c>
      <c r="J32" s="33">
        <f t="shared" si="9"/>
        <v>521.54510778285714</v>
      </c>
      <c r="K32" s="33">
        <f t="shared" si="0"/>
        <v>48.87815364971528</v>
      </c>
      <c r="L32" s="33">
        <f t="shared" si="1"/>
        <v>67.40160575873891</v>
      </c>
      <c r="M32" s="33">
        <f t="shared" si="2"/>
        <v>385.16886756186568</v>
      </c>
      <c r="N32" s="33">
        <f t="shared" si="3"/>
        <v>20.096480812537276</v>
      </c>
      <c r="P32" s="33">
        <f t="shared" ref="P32:P40" si="116">J32*5</f>
        <v>2607.7255389142856</v>
      </c>
      <c r="Q32" s="33">
        <f t="shared" ref="Q32:Q40" si="117">K32*5</f>
        <v>244.39076824857639</v>
      </c>
      <c r="R32" s="33">
        <f t="shared" ref="R32:R40" si="118">L32*5</f>
        <v>337.00802879369456</v>
      </c>
      <c r="S32" s="33">
        <f t="shared" ref="S32:S40" si="119">M32*5</f>
        <v>1925.8443378093284</v>
      </c>
      <c r="T32" s="33">
        <f t="shared" ref="T32:T40" si="120">N32*5</f>
        <v>100.48240406268638</v>
      </c>
      <c r="V32" s="33">
        <f t="shared" ref="V32:V34" si="121">W32+X32+Y32+Z32</f>
        <v>64.23566000000001</v>
      </c>
      <c r="W32" s="33">
        <v>6.0200362584516434</v>
      </c>
      <c r="X32" s="33">
        <v>8.3014614965480575</v>
      </c>
      <c r="Y32" s="33">
        <v>45.632542864163639</v>
      </c>
      <c r="Z32" s="33">
        <v>4.281619380836668</v>
      </c>
      <c r="AB32" s="33">
        <f t="shared" ref="AB32:AB34" si="122">AC32+AD32+AE32+AF32</f>
        <v>80.948660000000018</v>
      </c>
      <c r="AC32" s="33">
        <v>7.5863448475982693</v>
      </c>
      <c r="AD32" s="33">
        <v>10.461357199212399</v>
      </c>
      <c r="AE32" s="33">
        <v>57.505335778391768</v>
      </c>
      <c r="AF32" s="33">
        <v>5.3956221747975812</v>
      </c>
      <c r="AH32" s="33">
        <f t="shared" ref="AH32:AH34" si="123">AI32+AJ32+AK32+AL32</f>
        <v>87.271000000000001</v>
      </c>
      <c r="AI32" s="33">
        <v>8.1788617772641121</v>
      </c>
      <c r="AJ32" s="33">
        <v>11.278421460373343</v>
      </c>
      <c r="AK32" s="33">
        <v>61.996679855059078</v>
      </c>
      <c r="AL32" s="33">
        <v>5.8170369073034642</v>
      </c>
      <c r="AN32" s="33">
        <f t="shared" ref="AN32:AN34" si="124">AO32+AP32+AQ32+AR32</f>
        <v>83.061460000000011</v>
      </c>
      <c r="AO32" s="33">
        <v>7.7843521944030893</v>
      </c>
      <c r="AP32" s="33">
        <v>10.734403788130557</v>
      </c>
      <c r="AQ32" s="33">
        <v>59.006253439444897</v>
      </c>
      <c r="AR32" s="33">
        <v>5.5364505780214541</v>
      </c>
      <c r="AS32" s="451"/>
      <c r="AT32" s="33">
        <f t="shared" si="110"/>
        <v>88.722560000000001</v>
      </c>
      <c r="AU32" s="33">
        <v>8.3148990473928563</v>
      </c>
      <c r="AV32" s="33">
        <v>11.466013048128948</v>
      </c>
      <c r="AW32" s="33">
        <v>63.027857458276756</v>
      </c>
      <c r="AX32" s="33">
        <v>5.9137904462014417</v>
      </c>
      <c r="AY32" s="33">
        <v>0</v>
      </c>
      <c r="BA32" s="33">
        <f t="shared" ref="BA32:BA34" si="125">BB32+BC32+BD32+BE32</f>
        <v>404.23934000000003</v>
      </c>
      <c r="BB32" s="33">
        <f t="shared" ref="BB32:BC34" si="126">W32+AC32+AI32+AO32+AU32</f>
        <v>37.884494125109974</v>
      </c>
      <c r="BC32" s="33">
        <f t="shared" si="126"/>
        <v>52.24165699239331</v>
      </c>
      <c r="BD32" s="33">
        <f>Y32+AE32+AK32+AQ32+AW32+AY32</f>
        <v>287.16866939533611</v>
      </c>
      <c r="BE32" s="33">
        <f>Z32+AF32+AL32+AR32+AX32</f>
        <v>26.944519487160612</v>
      </c>
      <c r="BG32" s="396">
        <f t="shared" si="111"/>
        <v>0.15501606053538255</v>
      </c>
      <c r="BH32" s="396">
        <f t="shared" si="112"/>
        <v>0.15501606053538258</v>
      </c>
      <c r="BI32" s="396">
        <f t="shared" si="113"/>
        <v>0.15501606053538258</v>
      </c>
      <c r="BJ32" s="396">
        <f t="shared" si="114"/>
        <v>0.14911312599750093</v>
      </c>
      <c r="BK32" s="396">
        <f t="shared" si="115"/>
        <v>0.26815162055986597</v>
      </c>
      <c r="BM32" s="396">
        <f t="shared" ref="BM32:BM40" si="127">BA32/D32</f>
        <v>6.4590025223076067E-2</v>
      </c>
      <c r="BN32" s="396">
        <f t="shared" ref="BN32:BN40" si="128">BB32/E32</f>
        <v>6.4590025223076067E-2</v>
      </c>
      <c r="BO32" s="396">
        <f t="shared" ref="BO32:BO40" si="129">BC32/F32</f>
        <v>6.4590025223076067E-2</v>
      </c>
      <c r="BP32" s="396">
        <f t="shared" ref="BP32:BP40" si="130">BD32/G32</f>
        <v>6.2130469165625382E-2</v>
      </c>
      <c r="BQ32" s="396">
        <f t="shared" ref="BQ32:BQ40" si="131">BE32/H32</f>
        <v>0.11172984189994414</v>
      </c>
    </row>
    <row r="33" spans="2:69" s="4" customFormat="1" outlineLevel="1">
      <c r="B33" s="13" t="s">
        <v>29</v>
      </c>
      <c r="C33" s="444" t="s">
        <v>30</v>
      </c>
      <c r="D33" s="33">
        <v>1398.3066999999996</v>
      </c>
      <c r="E33" s="33">
        <v>102</v>
      </c>
      <c r="F33" s="33">
        <v>165.86356616311124</v>
      </c>
      <c r="G33" s="33">
        <f>D33-E33-F33-H33</f>
        <v>1076.5627630937847</v>
      </c>
      <c r="H33" s="33">
        <v>53.880370743103676</v>
      </c>
      <c r="J33" s="33">
        <f t="shared" si="9"/>
        <v>116.52555833333331</v>
      </c>
      <c r="K33" s="33">
        <f t="shared" si="0"/>
        <v>8.5</v>
      </c>
      <c r="L33" s="33">
        <f t="shared" si="1"/>
        <v>13.821963846925938</v>
      </c>
      <c r="M33" s="33">
        <f t="shared" si="2"/>
        <v>89.713563591148727</v>
      </c>
      <c r="N33" s="33">
        <f t="shared" si="3"/>
        <v>4.4900308952586396</v>
      </c>
      <c r="P33" s="33">
        <f t="shared" si="116"/>
        <v>582.62779166666655</v>
      </c>
      <c r="Q33" s="33">
        <f t="shared" si="117"/>
        <v>42.5</v>
      </c>
      <c r="R33" s="33">
        <f t="shared" si="118"/>
        <v>69.109819234629683</v>
      </c>
      <c r="S33" s="33">
        <f t="shared" si="119"/>
        <v>448.56781795574364</v>
      </c>
      <c r="T33" s="33">
        <f t="shared" si="120"/>
        <v>22.4501544762932</v>
      </c>
      <c r="V33" s="33">
        <f t="shared" si="121"/>
        <v>0</v>
      </c>
      <c r="W33" s="33">
        <v>0</v>
      </c>
      <c r="X33" s="33">
        <v>0</v>
      </c>
      <c r="Y33" s="33">
        <v>0</v>
      </c>
      <c r="Z33" s="33">
        <v>0</v>
      </c>
      <c r="AB33" s="33">
        <f t="shared" si="122"/>
        <v>0</v>
      </c>
      <c r="AC33" s="33">
        <v>0</v>
      </c>
      <c r="AD33" s="33">
        <v>0</v>
      </c>
      <c r="AE33" s="33">
        <v>0</v>
      </c>
      <c r="AF33" s="33">
        <v>0</v>
      </c>
      <c r="AH33" s="33">
        <f t="shared" si="123"/>
        <v>0</v>
      </c>
      <c r="AI33" s="33">
        <v>0</v>
      </c>
      <c r="AJ33" s="33">
        <v>0</v>
      </c>
      <c r="AK33" s="33">
        <v>0</v>
      </c>
      <c r="AL33" s="33">
        <v>0</v>
      </c>
      <c r="AN33" s="33">
        <f t="shared" si="124"/>
        <v>0</v>
      </c>
      <c r="AO33" s="33">
        <v>0</v>
      </c>
      <c r="AP33" s="33">
        <v>0</v>
      </c>
      <c r="AQ33" s="33">
        <v>0</v>
      </c>
      <c r="AR33" s="33">
        <v>0</v>
      </c>
      <c r="AS33" s="451"/>
      <c r="AT33" s="33">
        <f t="shared" si="110"/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BA33" s="33">
        <f t="shared" si="125"/>
        <v>0</v>
      </c>
      <c r="BB33" s="33">
        <f t="shared" si="126"/>
        <v>0</v>
      </c>
      <c r="BC33" s="33">
        <f t="shared" si="126"/>
        <v>0</v>
      </c>
      <c r="BD33" s="33">
        <f>Y33+AE33+AK33+AQ33+AW33+AY33</f>
        <v>0</v>
      </c>
      <c r="BE33" s="33">
        <f>Z33+AF33+AL33+AR33+AX33</f>
        <v>0</v>
      </c>
      <c r="BG33" s="396">
        <f t="shared" si="111"/>
        <v>0</v>
      </c>
      <c r="BH33" s="396">
        <f t="shared" si="112"/>
        <v>0</v>
      </c>
      <c r="BI33" s="396">
        <f t="shared" si="113"/>
        <v>0</v>
      </c>
      <c r="BJ33" s="396">
        <f t="shared" si="114"/>
        <v>0</v>
      </c>
      <c r="BK33" s="396">
        <f t="shared" si="115"/>
        <v>0</v>
      </c>
      <c r="BM33" s="396">
        <f t="shared" si="127"/>
        <v>0</v>
      </c>
      <c r="BN33" s="396">
        <f t="shared" si="128"/>
        <v>0</v>
      </c>
      <c r="BO33" s="396">
        <f t="shared" si="129"/>
        <v>0</v>
      </c>
      <c r="BP33" s="396">
        <f t="shared" si="130"/>
        <v>0</v>
      </c>
      <c r="BQ33" s="396">
        <f t="shared" si="131"/>
        <v>0</v>
      </c>
    </row>
    <row r="34" spans="2:69" s="4" customFormat="1" outlineLevel="1">
      <c r="B34" s="13" t="s">
        <v>31</v>
      </c>
      <c r="C34" s="444" t="s">
        <v>32</v>
      </c>
      <c r="D34" s="33">
        <v>15026.88236</v>
      </c>
      <c r="E34" s="33">
        <v>1100</v>
      </c>
      <c r="F34" s="33">
        <v>1784</v>
      </c>
      <c r="G34" s="33">
        <f>D34-E34-F34-H34</f>
        <v>11563.857749254872</v>
      </c>
      <c r="H34" s="33">
        <v>579.02461074512826</v>
      </c>
      <c r="J34" s="33">
        <f t="shared" si="9"/>
        <v>1252.2401966666666</v>
      </c>
      <c r="K34" s="33">
        <f t="shared" si="0"/>
        <v>91.666666666666671</v>
      </c>
      <c r="L34" s="33">
        <f t="shared" si="1"/>
        <v>148.66666666666666</v>
      </c>
      <c r="M34" s="33">
        <f t="shared" si="2"/>
        <v>963.654812437906</v>
      </c>
      <c r="N34" s="33">
        <f t="shared" si="3"/>
        <v>48.252050895427352</v>
      </c>
      <c r="P34" s="33">
        <f t="shared" si="116"/>
        <v>6261.2009833333332</v>
      </c>
      <c r="Q34" s="33">
        <f t="shared" si="117"/>
        <v>458.33333333333337</v>
      </c>
      <c r="R34" s="33">
        <f t="shared" si="118"/>
        <v>743.33333333333326</v>
      </c>
      <c r="S34" s="33">
        <f t="shared" si="119"/>
        <v>4818.27406218953</v>
      </c>
      <c r="T34" s="33">
        <f t="shared" si="120"/>
        <v>241.26025447713675</v>
      </c>
      <c r="V34" s="33">
        <f t="shared" si="121"/>
        <v>0</v>
      </c>
      <c r="W34" s="33">
        <v>0</v>
      </c>
      <c r="X34" s="33">
        <v>0</v>
      </c>
      <c r="Y34" s="33">
        <v>0</v>
      </c>
      <c r="Z34" s="33">
        <v>0</v>
      </c>
      <c r="AB34" s="33">
        <f t="shared" si="122"/>
        <v>0</v>
      </c>
      <c r="AC34" s="33">
        <v>0</v>
      </c>
      <c r="AD34" s="33">
        <v>0</v>
      </c>
      <c r="AE34" s="33">
        <v>0</v>
      </c>
      <c r="AF34" s="33">
        <v>0</v>
      </c>
      <c r="AH34" s="33">
        <f t="shared" si="123"/>
        <v>0</v>
      </c>
      <c r="AI34" s="33">
        <v>0</v>
      </c>
      <c r="AJ34" s="33">
        <v>0</v>
      </c>
      <c r="AK34" s="33">
        <v>0</v>
      </c>
      <c r="AL34" s="33">
        <v>0</v>
      </c>
      <c r="AN34" s="33">
        <f t="shared" si="124"/>
        <v>371.51400000000001</v>
      </c>
      <c r="AO34" s="33">
        <v>34.817541386239412</v>
      </c>
      <c r="AP34" s="33">
        <v>48.012415011047679</v>
      </c>
      <c r="AQ34" s="33">
        <v>263.92082730428689</v>
      </c>
      <c r="AR34" s="33">
        <v>24.763216298426041</v>
      </c>
      <c r="AS34" s="451"/>
      <c r="AT34" s="33">
        <f t="shared" si="110"/>
        <v>212.20760999999996</v>
      </c>
      <c r="AU34" s="33">
        <v>19.88766841532204</v>
      </c>
      <c r="AV34" s="33">
        <v>27.424538078841042</v>
      </c>
      <c r="AW34" s="33">
        <v>150.75073346217224</v>
      </c>
      <c r="AX34" s="33">
        <v>14.144670043664672</v>
      </c>
      <c r="AY34" s="33">
        <v>0</v>
      </c>
      <c r="BA34" s="33">
        <f t="shared" si="125"/>
        <v>583.72161000000006</v>
      </c>
      <c r="BB34" s="33">
        <f t="shared" si="126"/>
        <v>54.705209801561452</v>
      </c>
      <c r="BC34" s="33">
        <f t="shared" si="126"/>
        <v>75.436953089888718</v>
      </c>
      <c r="BD34" s="33">
        <f>Y34+AE34+AK34+AQ34+AW34+AY34</f>
        <v>414.67156076645915</v>
      </c>
      <c r="BE34" s="33">
        <f>Z34+AF34+AL34+AR34+AX34</f>
        <v>38.907886342090713</v>
      </c>
      <c r="BG34" s="396">
        <f t="shared" si="111"/>
        <v>9.3228377679267338E-2</v>
      </c>
      <c r="BH34" s="396">
        <f t="shared" si="112"/>
        <v>0.11935682138522498</v>
      </c>
      <c r="BI34" s="396">
        <f t="shared" si="113"/>
        <v>0.10148469025545569</v>
      </c>
      <c r="BJ34" s="396">
        <f t="shared" si="114"/>
        <v>8.6062261177817526E-2</v>
      </c>
      <c r="BK34" s="396">
        <f t="shared" si="115"/>
        <v>0.1612693579653745</v>
      </c>
      <c r="BM34" s="396">
        <f t="shared" si="127"/>
        <v>3.8845157366361391E-2</v>
      </c>
      <c r="BN34" s="396">
        <f t="shared" si="128"/>
        <v>4.9732008910510411E-2</v>
      </c>
      <c r="BO34" s="396">
        <f t="shared" si="129"/>
        <v>4.2285287606439861E-2</v>
      </c>
      <c r="BP34" s="396">
        <f t="shared" si="130"/>
        <v>3.5859275490757306E-2</v>
      </c>
      <c r="BQ34" s="396">
        <f t="shared" si="131"/>
        <v>6.7195565818906039E-2</v>
      </c>
    </row>
    <row r="35" spans="2:69" s="4" customFormat="1" outlineLevel="1">
      <c r="B35" s="13" t="s">
        <v>33</v>
      </c>
      <c r="C35" s="444" t="s">
        <v>34</v>
      </c>
      <c r="D35" s="33">
        <f>E35+F35+G35+H35</f>
        <v>327658.90089290583</v>
      </c>
      <c r="E35" s="33">
        <f>SUM(E36:E40)</f>
        <v>141816.97452340313</v>
      </c>
      <c r="F35" s="33">
        <f t="shared" ref="F35:H35" si="132">SUM(F36:F40)</f>
        <v>112228.27534451782</v>
      </c>
      <c r="G35" s="33">
        <f t="shared" si="132"/>
        <v>72383.666270550326</v>
      </c>
      <c r="H35" s="33">
        <f t="shared" si="132"/>
        <v>1229.984754434571</v>
      </c>
      <c r="J35" s="33">
        <f t="shared" si="9"/>
        <v>27304.908407742154</v>
      </c>
      <c r="K35" s="33">
        <f t="shared" si="0"/>
        <v>11818.081210283593</v>
      </c>
      <c r="L35" s="33">
        <f t="shared" si="1"/>
        <v>9352.3562787098181</v>
      </c>
      <c r="M35" s="33">
        <f t="shared" si="2"/>
        <v>6031.9721892125272</v>
      </c>
      <c r="N35" s="33">
        <f t="shared" si="3"/>
        <v>102.49872953621424</v>
      </c>
      <c r="P35" s="33">
        <f t="shared" si="116"/>
        <v>136524.54203871076</v>
      </c>
      <c r="Q35" s="33">
        <f t="shared" si="117"/>
        <v>59090.406051417966</v>
      </c>
      <c r="R35" s="33">
        <f t="shared" si="118"/>
        <v>46761.781393549092</v>
      </c>
      <c r="S35" s="33">
        <f t="shared" si="119"/>
        <v>30159.860946062636</v>
      </c>
      <c r="T35" s="33">
        <f t="shared" si="120"/>
        <v>512.49364768107125</v>
      </c>
      <c r="V35" s="33">
        <f>W35+X35+Y35+Z35</f>
        <v>65577.53</v>
      </c>
      <c r="W35" s="33">
        <f>SUM(W36:W40)</f>
        <v>28975.614941603082</v>
      </c>
      <c r="X35" s="33">
        <f t="shared" ref="X35:Z35" si="133">SUM(X36:X40)</f>
        <v>22055.94894875828</v>
      </c>
      <c r="Y35" s="33">
        <f t="shared" si="133"/>
        <v>13192.938448141689</v>
      </c>
      <c r="Z35" s="33">
        <f t="shared" si="133"/>
        <v>1353.0276614969493</v>
      </c>
      <c r="AB35" s="33">
        <f>AC35+AD35+AE35+AF35</f>
        <v>63987.869999999995</v>
      </c>
      <c r="AC35" s="33">
        <f>SUM(AC36:AC40)</f>
        <v>28273.219226972338</v>
      </c>
      <c r="AD35" s="33">
        <f t="shared" ref="AD35:AF35" si="134">SUM(AD36:AD40)</f>
        <v>21521.292339918589</v>
      </c>
      <c r="AE35" s="33">
        <f t="shared" si="134"/>
        <v>12873.12941395768</v>
      </c>
      <c r="AF35" s="33">
        <f t="shared" si="134"/>
        <v>1320.2290191513894</v>
      </c>
      <c r="AH35" s="33">
        <f>AI35+AJ35+AK35+AL35</f>
        <v>63775.097999999998</v>
      </c>
      <c r="AI35" s="33">
        <f>SUM(AI36:AI40)</f>
        <v>28179.20532400352</v>
      </c>
      <c r="AJ35" s="33">
        <f t="shared" ref="AJ35:AL35" si="135">SUM(AJ36:AJ40)</f>
        <v>21449.729895134147</v>
      </c>
      <c r="AK35" s="33">
        <f t="shared" si="135"/>
        <v>12830.323777644631</v>
      </c>
      <c r="AL35" s="33">
        <f t="shared" si="135"/>
        <v>1315.8390032176994</v>
      </c>
      <c r="AN35" s="33">
        <f>AO35+AP35+AQ35+AR35</f>
        <v>65733.692999999999</v>
      </c>
      <c r="AO35" s="33">
        <f>SUM(AO36:AO40)</f>
        <v>29044.615999680831</v>
      </c>
      <c r="AP35" s="33">
        <f t="shared" ref="AP35:AR35" si="136">SUM(AP36:AP40)</f>
        <v>22108.471865612348</v>
      </c>
      <c r="AQ35" s="33">
        <f t="shared" si="136"/>
        <v>13224.355441841775</v>
      </c>
      <c r="AR35" s="33">
        <f t="shared" si="136"/>
        <v>1356.2496928650469</v>
      </c>
      <c r="AS35" s="451"/>
      <c r="AT35" s="33">
        <f t="shared" si="110"/>
        <v>-139543.90400000001</v>
      </c>
      <c r="AU35" s="33">
        <f>SUM(AU36:AU40)</f>
        <v>-61657.864054227502</v>
      </c>
      <c r="AV35" s="33">
        <f t="shared" ref="AV35:AX35" si="137">SUM(AV36:AV40)</f>
        <v>-46933.350840362953</v>
      </c>
      <c r="AW35" s="33">
        <f t="shared" si="137"/>
        <v>-28073.551051486582</v>
      </c>
      <c r="AX35" s="33">
        <f t="shared" si="137"/>
        <v>-2879.1380539229644</v>
      </c>
      <c r="AY35" s="33">
        <f t="shared" ref="AY35" si="138">SUM(AY36:AY40)</f>
        <v>0</v>
      </c>
      <c r="BA35" s="33">
        <f>BB35+BC35+BD35+BE35</f>
        <v>119530.28700000001</v>
      </c>
      <c r="BB35" s="33">
        <f>SUM(BB36:BB40)</f>
        <v>52814.791438032269</v>
      </c>
      <c r="BC35" s="33">
        <f t="shared" ref="BC35:BE35" si="139">SUM(BC36:BC40)</f>
        <v>40202.092209060422</v>
      </c>
      <c r="BD35" s="33">
        <f t="shared" si="139"/>
        <v>24047.196030099189</v>
      </c>
      <c r="BE35" s="33">
        <f t="shared" si="139"/>
        <v>2466.2073228081213</v>
      </c>
      <c r="BG35" s="396">
        <f t="shared" si="111"/>
        <v>0.87552234356594927</v>
      </c>
      <c r="BH35" s="396">
        <f t="shared" si="112"/>
        <v>0.89379638704927966</v>
      </c>
      <c r="BI35" s="396">
        <f t="shared" si="113"/>
        <v>0.85972114429768931</v>
      </c>
      <c r="BJ35" s="396">
        <f t="shared" si="114"/>
        <v>0.79732449937699545</v>
      </c>
      <c r="BK35" s="396">
        <f t="shared" si="115"/>
        <v>4.8121714951340451</v>
      </c>
      <c r="BM35" s="396">
        <f t="shared" si="127"/>
        <v>0.36480097648581222</v>
      </c>
      <c r="BN35" s="396">
        <f t="shared" si="128"/>
        <v>0.37241516127053315</v>
      </c>
      <c r="BO35" s="396">
        <f t="shared" si="129"/>
        <v>0.35821714345737055</v>
      </c>
      <c r="BP35" s="396">
        <f t="shared" si="130"/>
        <v>0.33221854140708146</v>
      </c>
      <c r="BQ35" s="396">
        <f t="shared" si="131"/>
        <v>2.0050714563058523</v>
      </c>
    </row>
    <row r="36" spans="2:69" s="4" customFormat="1" outlineLevel="1">
      <c r="B36" s="13"/>
      <c r="C36" s="445" t="s">
        <v>148</v>
      </c>
      <c r="D36" s="29">
        <v>7049.5699299999997</v>
      </c>
      <c r="E36" s="50">
        <v>3114.8721794794146</v>
      </c>
      <c r="F36" s="50">
        <v>2371.0096200189391</v>
      </c>
      <c r="G36" s="29">
        <f t="shared" ref="G36:G42" si="140">D36-E36-F36-H36</f>
        <v>1537.2320887276157</v>
      </c>
      <c r="H36" s="50">
        <v>26.456041774030052</v>
      </c>
      <c r="J36" s="29">
        <f t="shared" si="9"/>
        <v>587.46416083333327</v>
      </c>
      <c r="K36" s="50">
        <f t="shared" si="0"/>
        <v>259.57268162328455</v>
      </c>
      <c r="L36" s="50">
        <f t="shared" si="1"/>
        <v>197.58413500157826</v>
      </c>
      <c r="M36" s="29">
        <f t="shared" si="2"/>
        <v>128.10267406063466</v>
      </c>
      <c r="N36" s="50">
        <f t="shared" si="3"/>
        <v>2.2046701478358375</v>
      </c>
      <c r="P36" s="29">
        <f t="shared" si="116"/>
        <v>2937.3208041666662</v>
      </c>
      <c r="Q36" s="29">
        <f t="shared" si="117"/>
        <v>1297.8634081164228</v>
      </c>
      <c r="R36" s="29">
        <f t="shared" si="118"/>
        <v>987.9206750078913</v>
      </c>
      <c r="S36" s="29">
        <f t="shared" si="119"/>
        <v>640.51337030317325</v>
      </c>
      <c r="T36" s="29">
        <f t="shared" si="120"/>
        <v>11.023350739179188</v>
      </c>
      <c r="V36" s="29">
        <f t="shared" ref="V36:V40" si="141">W36+X36+Y36+Z36</f>
        <v>1760.7000000000003</v>
      </c>
      <c r="W36" s="50">
        <v>777.9702167446768</v>
      </c>
      <c r="X36" s="50">
        <v>592.18316569835292</v>
      </c>
      <c r="Y36" s="29">
        <v>354.21899430556584</v>
      </c>
      <c r="Z36" s="50">
        <v>36.327623251404546</v>
      </c>
      <c r="AB36" s="29">
        <f t="shared" ref="AB36:AB40" si="142">AC36+AD36+AE36+AF36</f>
        <v>0</v>
      </c>
      <c r="AC36" s="50">
        <v>0</v>
      </c>
      <c r="AD36" s="50">
        <v>0</v>
      </c>
      <c r="AE36" s="29">
        <v>0</v>
      </c>
      <c r="AF36" s="50">
        <v>0</v>
      </c>
      <c r="AH36" s="29">
        <f t="shared" ref="AH36:AH40" si="143">AI36+AJ36+AK36+AL36</f>
        <v>0</v>
      </c>
      <c r="AI36" s="50">
        <v>0</v>
      </c>
      <c r="AJ36" s="50">
        <v>0</v>
      </c>
      <c r="AK36" s="29">
        <v>0</v>
      </c>
      <c r="AL36" s="50">
        <v>0</v>
      </c>
      <c r="AN36" s="29">
        <f t="shared" ref="AN36:AN40" si="144">AO36+AP36+AQ36+AR36</f>
        <v>1958.5940000000001</v>
      </c>
      <c r="AO36" s="50">
        <v>865.41023382451499</v>
      </c>
      <c r="AP36" s="50">
        <v>658.74163414426073</v>
      </c>
      <c r="AQ36" s="29">
        <v>394.03146301636588</v>
      </c>
      <c r="AR36" s="50">
        <v>40.410669014858541</v>
      </c>
      <c r="AS36" s="453"/>
      <c r="AT36" s="29">
        <f t="shared" ref="AT36:AT40" si="145">AU36+AV36+AW36+AX36+AY36</f>
        <v>0</v>
      </c>
      <c r="AU36" s="50">
        <v>0</v>
      </c>
      <c r="AV36" s="50">
        <v>0</v>
      </c>
      <c r="AW36" s="29">
        <v>0</v>
      </c>
      <c r="AX36" s="50">
        <v>0</v>
      </c>
      <c r="AY36" s="50">
        <v>0</v>
      </c>
      <c r="BA36" s="29">
        <f t="shared" ref="BA36:BA40" si="146">BB36+BC36+BD36+BE36</f>
        <v>3719.2940000000003</v>
      </c>
      <c r="BB36" s="29">
        <f t="shared" ref="BB36:BB40" si="147">W36+AC36+AI36+AO36+AU36</f>
        <v>1643.3804505691919</v>
      </c>
      <c r="BC36" s="29">
        <f t="shared" ref="BC36:BC40" si="148">X36+AD36+AJ36+AP36+AV36</f>
        <v>1250.9247998426135</v>
      </c>
      <c r="BD36" s="29">
        <f t="shared" ref="BD36:BD40" si="149">Y36+AE36+AK36+AQ36+AW36+AY36</f>
        <v>748.25045732193166</v>
      </c>
      <c r="BE36" s="29">
        <f t="shared" ref="BE36:BE40" si="150">Z36+AF36+AL36+AR36+AX36</f>
        <v>76.738292266263088</v>
      </c>
      <c r="BG36" s="395">
        <f t="shared" si="111"/>
        <v>1.2662198813027452</v>
      </c>
      <c r="BH36" s="395">
        <f t="shared" si="112"/>
        <v>1.2662198813003094</v>
      </c>
      <c r="BI36" s="395">
        <f t="shared" si="113"/>
        <v>1.2662198813003094</v>
      </c>
      <c r="BJ36" s="395">
        <f t="shared" si="114"/>
        <v>1.1682042749049304</v>
      </c>
      <c r="BK36" s="395">
        <f t="shared" si="115"/>
        <v>6.9614307012404026</v>
      </c>
      <c r="BM36" s="395">
        <f t="shared" si="127"/>
        <v>0.52759161720947712</v>
      </c>
      <c r="BN36" s="395">
        <f t="shared" si="128"/>
        <v>0.52759161720846226</v>
      </c>
      <c r="BO36" s="395">
        <f t="shared" si="129"/>
        <v>0.52759161720846215</v>
      </c>
      <c r="BP36" s="395">
        <f t="shared" si="130"/>
        <v>0.48675178121038765</v>
      </c>
      <c r="BQ36" s="395">
        <f t="shared" si="131"/>
        <v>2.9005961255168344</v>
      </c>
    </row>
    <row r="37" spans="2:69" s="4" customFormat="1" outlineLevel="1">
      <c r="B37" s="13"/>
      <c r="C37" s="445" t="s">
        <v>97</v>
      </c>
      <c r="D37" s="29">
        <v>315666.35143873806</v>
      </c>
      <c r="E37" s="50">
        <v>138228</v>
      </c>
      <c r="F37" s="50">
        <v>109141</v>
      </c>
      <c r="G37" s="29">
        <f t="shared" si="140"/>
        <v>67112.700138978704</v>
      </c>
      <c r="H37" s="50">
        <v>1184.6512997593466</v>
      </c>
      <c r="J37" s="29">
        <f t="shared" si="9"/>
        <v>26305.529286561505</v>
      </c>
      <c r="K37" s="50">
        <f t="shared" si="0"/>
        <v>11519</v>
      </c>
      <c r="L37" s="50">
        <f t="shared" si="1"/>
        <v>9095.0833333333339</v>
      </c>
      <c r="M37" s="29">
        <f t="shared" si="2"/>
        <v>5592.7250115815586</v>
      </c>
      <c r="N37" s="50">
        <f t="shared" si="3"/>
        <v>98.720941646612218</v>
      </c>
      <c r="P37" s="29">
        <f t="shared" si="116"/>
        <v>131527.64643280752</v>
      </c>
      <c r="Q37" s="29">
        <f t="shared" si="117"/>
        <v>57595</v>
      </c>
      <c r="R37" s="29">
        <f t="shared" si="118"/>
        <v>45475.416666666672</v>
      </c>
      <c r="S37" s="29">
        <f t="shared" si="119"/>
        <v>27963.625057907793</v>
      </c>
      <c r="T37" s="29">
        <f t="shared" si="120"/>
        <v>493.6047082330611</v>
      </c>
      <c r="V37" s="29">
        <f t="shared" si="141"/>
        <v>63775.098999999995</v>
      </c>
      <c r="W37" s="50">
        <v>28179.205765856317</v>
      </c>
      <c r="X37" s="50">
        <v>21449.730231468086</v>
      </c>
      <c r="Y37" s="29">
        <v>12830.323978825409</v>
      </c>
      <c r="Z37" s="50">
        <v>1315.8390238501884</v>
      </c>
      <c r="AB37" s="29">
        <f t="shared" si="142"/>
        <v>63775.097999999998</v>
      </c>
      <c r="AC37" s="50">
        <v>28179.20532400352</v>
      </c>
      <c r="AD37" s="50">
        <v>21449.729895134147</v>
      </c>
      <c r="AE37" s="29">
        <v>12830.323777644631</v>
      </c>
      <c r="AF37" s="50">
        <v>1315.8390032176994</v>
      </c>
      <c r="AH37" s="29">
        <f t="shared" si="143"/>
        <v>63775.097999999998</v>
      </c>
      <c r="AI37" s="50">
        <v>28179.20532400352</v>
      </c>
      <c r="AJ37" s="50">
        <v>21449.729895134147</v>
      </c>
      <c r="AK37" s="29">
        <v>12830.323777644631</v>
      </c>
      <c r="AL37" s="50">
        <v>1315.8390032176994</v>
      </c>
      <c r="AN37" s="29">
        <f t="shared" si="144"/>
        <v>63775.098999999995</v>
      </c>
      <c r="AO37" s="50">
        <v>28179.205765856317</v>
      </c>
      <c r="AP37" s="50">
        <v>21449.730231468086</v>
      </c>
      <c r="AQ37" s="29">
        <v>12830.323978825409</v>
      </c>
      <c r="AR37" s="50">
        <v>1315.8390238501884</v>
      </c>
      <c r="AS37" s="453"/>
      <c r="AT37" s="29">
        <f t="shared" si="145"/>
        <v>-140051.834</v>
      </c>
      <c r="AU37" s="50">
        <v>-61882.294344561531</v>
      </c>
      <c r="AV37" s="50">
        <v>-47104.184937797589</v>
      </c>
      <c r="AW37" s="29">
        <v>-28175.73680361791</v>
      </c>
      <c r="AX37" s="50">
        <v>-2889.6179140229733</v>
      </c>
      <c r="AY37" s="50">
        <v>0</v>
      </c>
      <c r="BA37" s="29">
        <f t="shared" si="146"/>
        <v>115048.56000000001</v>
      </c>
      <c r="BB37" s="29">
        <f t="shared" si="147"/>
        <v>50834.527835158144</v>
      </c>
      <c r="BC37" s="29">
        <f t="shared" si="148"/>
        <v>38694.735315406884</v>
      </c>
      <c r="BD37" s="29">
        <f t="shared" si="149"/>
        <v>23145.558709322169</v>
      </c>
      <c r="BE37" s="29">
        <f t="shared" si="150"/>
        <v>2373.7381401128023</v>
      </c>
      <c r="BG37" s="395">
        <f t="shared" si="111"/>
        <v>0.87471009419129198</v>
      </c>
      <c r="BH37" s="395">
        <f t="shared" si="112"/>
        <v>0.88262050239010581</v>
      </c>
      <c r="BI37" s="395">
        <f t="shared" si="113"/>
        <v>0.85089347501833879</v>
      </c>
      <c r="BJ37" s="395">
        <f t="shared" si="114"/>
        <v>0.8277023691095754</v>
      </c>
      <c r="BK37" s="395">
        <f t="shared" si="115"/>
        <v>4.8089860175969283</v>
      </c>
      <c r="BM37" s="395">
        <f t="shared" si="127"/>
        <v>0.36446253924637162</v>
      </c>
      <c r="BN37" s="395">
        <f t="shared" si="128"/>
        <v>0.3677585426625441</v>
      </c>
      <c r="BO37" s="395">
        <f t="shared" si="129"/>
        <v>0.35453894792430785</v>
      </c>
      <c r="BP37" s="395">
        <f t="shared" si="130"/>
        <v>0.34487598712898976</v>
      </c>
      <c r="BQ37" s="395">
        <f t="shared" si="131"/>
        <v>2.0037441739987205</v>
      </c>
    </row>
    <row r="38" spans="2:69" s="4" customFormat="1" outlineLevel="1">
      <c r="B38" s="13"/>
      <c r="C38" s="445" t="s">
        <v>35</v>
      </c>
      <c r="D38" s="29">
        <v>128.84780000000001</v>
      </c>
      <c r="E38" s="50">
        <v>16.364254279270934</v>
      </c>
      <c r="F38" s="50">
        <v>23.503136651235732</v>
      </c>
      <c r="G38" s="29">
        <f t="shared" si="140"/>
        <v>78.187791216262042</v>
      </c>
      <c r="H38" s="50">
        <v>10.792617853231292</v>
      </c>
      <c r="J38" s="29">
        <f t="shared" si="9"/>
        <v>10.737316666666667</v>
      </c>
      <c r="K38" s="50">
        <f t="shared" si="0"/>
        <v>1.3636878566059112</v>
      </c>
      <c r="L38" s="50">
        <f t="shared" si="1"/>
        <v>1.958594720936311</v>
      </c>
      <c r="M38" s="29">
        <f t="shared" si="2"/>
        <v>6.5156492680218365</v>
      </c>
      <c r="N38" s="50">
        <f t="shared" si="3"/>
        <v>0.89938482110260765</v>
      </c>
      <c r="P38" s="29">
        <f t="shared" si="116"/>
        <v>53.686583333333331</v>
      </c>
      <c r="Q38" s="29">
        <f t="shared" si="117"/>
        <v>6.8184392830295559</v>
      </c>
      <c r="R38" s="29">
        <f t="shared" si="118"/>
        <v>9.7929736046815545</v>
      </c>
      <c r="S38" s="29">
        <f t="shared" si="119"/>
        <v>32.578246340109182</v>
      </c>
      <c r="T38" s="29">
        <f t="shared" si="120"/>
        <v>4.4969241055130382</v>
      </c>
      <c r="V38" s="29">
        <f t="shared" si="141"/>
        <v>0</v>
      </c>
      <c r="W38" s="50">
        <v>0</v>
      </c>
      <c r="X38" s="50">
        <v>0</v>
      </c>
      <c r="Y38" s="29">
        <v>0</v>
      </c>
      <c r="Z38" s="50">
        <v>0</v>
      </c>
      <c r="AB38" s="29">
        <f t="shared" si="142"/>
        <v>0</v>
      </c>
      <c r="AC38" s="50">
        <v>0</v>
      </c>
      <c r="AD38" s="50">
        <v>0</v>
      </c>
      <c r="AE38" s="29">
        <v>0</v>
      </c>
      <c r="AF38" s="50">
        <v>0</v>
      </c>
      <c r="AH38" s="29">
        <f t="shared" si="143"/>
        <v>0</v>
      </c>
      <c r="AI38" s="50">
        <v>0</v>
      </c>
      <c r="AJ38" s="50">
        <v>0</v>
      </c>
      <c r="AK38" s="29">
        <v>0</v>
      </c>
      <c r="AL38" s="50">
        <v>0</v>
      </c>
      <c r="AN38" s="29">
        <f t="shared" si="144"/>
        <v>0</v>
      </c>
      <c r="AO38" s="50">
        <v>0</v>
      </c>
      <c r="AP38" s="50">
        <v>0</v>
      </c>
      <c r="AQ38" s="29">
        <v>0</v>
      </c>
      <c r="AR38" s="50">
        <v>0</v>
      </c>
      <c r="AS38" s="453"/>
      <c r="AT38" s="533">
        <f t="shared" si="145"/>
        <v>72.571000000000012</v>
      </c>
      <c r="AU38" s="532">
        <v>32.065699210187965</v>
      </c>
      <c r="AV38" s="532">
        <v>24.40809025836041</v>
      </c>
      <c r="AW38" s="533">
        <v>14.599890177627774</v>
      </c>
      <c r="AX38" s="532">
        <v>1.4973203538238653</v>
      </c>
      <c r="AY38" s="50">
        <v>0</v>
      </c>
      <c r="BA38" s="29">
        <f t="shared" si="146"/>
        <v>72.571000000000012</v>
      </c>
      <c r="BB38" s="29">
        <f t="shared" si="147"/>
        <v>32.065699210187965</v>
      </c>
      <c r="BC38" s="29">
        <f t="shared" si="148"/>
        <v>24.40809025836041</v>
      </c>
      <c r="BD38" s="29">
        <f t="shared" si="149"/>
        <v>14.599890177627774</v>
      </c>
      <c r="BE38" s="29">
        <f t="shared" si="150"/>
        <v>1.4973203538238653</v>
      </c>
      <c r="BG38" s="395">
        <f t="shared" si="111"/>
        <v>1.3517529984990044</v>
      </c>
      <c r="BH38" s="395">
        <f t="shared" si="112"/>
        <v>4.7027916329762487</v>
      </c>
      <c r="BI38" s="395">
        <f t="shared" si="113"/>
        <v>2.492408459744246</v>
      </c>
      <c r="BJ38" s="395">
        <f t="shared" si="114"/>
        <v>0.44814843700328055</v>
      </c>
      <c r="BK38" s="395">
        <f t="shared" si="115"/>
        <v>0.33296544898060743</v>
      </c>
      <c r="BM38" s="395">
        <f t="shared" si="127"/>
        <v>0.56323041604125179</v>
      </c>
      <c r="BN38" s="395">
        <f t="shared" si="128"/>
        <v>1.9594965137401035</v>
      </c>
      <c r="BO38" s="395">
        <f t="shared" si="129"/>
        <v>1.0385035248934358</v>
      </c>
      <c r="BP38" s="395">
        <f t="shared" si="130"/>
        <v>0.18672851541803354</v>
      </c>
      <c r="BQ38" s="395">
        <f t="shared" si="131"/>
        <v>0.13873560374191976</v>
      </c>
    </row>
    <row r="39" spans="2:69" s="4" customFormat="1" outlineLevel="1">
      <c r="B39" s="463"/>
      <c r="C39" s="445" t="s">
        <v>36</v>
      </c>
      <c r="D39" s="29">
        <v>4655.3017241677635</v>
      </c>
      <c r="E39" s="50">
        <v>442.85286298169564</v>
      </c>
      <c r="F39" s="50">
        <v>672.23627692475134</v>
      </c>
      <c r="G39" s="29">
        <f t="shared" si="140"/>
        <v>3538.2479195718274</v>
      </c>
      <c r="H39" s="50">
        <v>1.9646646894892064</v>
      </c>
      <c r="J39" s="29">
        <f t="shared" si="9"/>
        <v>387.94181034731361</v>
      </c>
      <c r="K39" s="50">
        <f t="shared" si="0"/>
        <v>36.904405248474639</v>
      </c>
      <c r="L39" s="50">
        <f t="shared" si="1"/>
        <v>56.01968974372928</v>
      </c>
      <c r="M39" s="29">
        <f t="shared" si="2"/>
        <v>294.85399329765227</v>
      </c>
      <c r="N39" s="50">
        <f t="shared" si="3"/>
        <v>0.16372205745743387</v>
      </c>
      <c r="P39" s="29">
        <f t="shared" si="116"/>
        <v>1939.709051736568</v>
      </c>
      <c r="Q39" s="29">
        <f t="shared" si="117"/>
        <v>184.52202624237319</v>
      </c>
      <c r="R39" s="29">
        <f t="shared" si="118"/>
        <v>280.09844871864641</v>
      </c>
      <c r="S39" s="29">
        <f t="shared" si="119"/>
        <v>1474.2699664882614</v>
      </c>
      <c r="T39" s="29">
        <f t="shared" si="120"/>
        <v>0.81861028728716934</v>
      </c>
      <c r="V39" s="29">
        <f t="shared" si="141"/>
        <v>41.731000000000002</v>
      </c>
      <c r="W39" s="50">
        <v>18.438959002085596</v>
      </c>
      <c r="X39" s="50">
        <v>14.035551591842998</v>
      </c>
      <c r="Y39" s="29">
        <v>8.3954750107148115</v>
      </c>
      <c r="Z39" s="50">
        <v>0.86101439535659852</v>
      </c>
      <c r="AB39" s="29">
        <f t="shared" si="142"/>
        <v>212.77199999999996</v>
      </c>
      <c r="AC39" s="50">
        <v>94.013902968818286</v>
      </c>
      <c r="AD39" s="50">
        <v>71.562444784443656</v>
      </c>
      <c r="AE39" s="29">
        <v>42.805636313048133</v>
      </c>
      <c r="AF39" s="50">
        <v>4.3900159336899227</v>
      </c>
      <c r="AH39" s="29">
        <f t="shared" si="143"/>
        <v>0</v>
      </c>
      <c r="AI39" s="50">
        <v>0</v>
      </c>
      <c r="AJ39" s="50">
        <v>0</v>
      </c>
      <c r="AK39" s="29">
        <v>0</v>
      </c>
      <c r="AL39" s="50">
        <v>0</v>
      </c>
      <c r="AN39" s="29">
        <f t="shared" si="144"/>
        <v>0</v>
      </c>
      <c r="AO39" s="50">
        <v>0</v>
      </c>
      <c r="AP39" s="50">
        <v>0</v>
      </c>
      <c r="AQ39" s="29">
        <v>0</v>
      </c>
      <c r="AR39" s="50">
        <v>0</v>
      </c>
      <c r="AS39" s="453"/>
      <c r="AT39" s="29">
        <f t="shared" si="145"/>
        <v>435.35899999999998</v>
      </c>
      <c r="AU39" s="50">
        <v>192.36459112384034</v>
      </c>
      <c r="AV39" s="50">
        <v>146.42600717627602</v>
      </c>
      <c r="AW39" s="29">
        <v>87.585861953698426</v>
      </c>
      <c r="AX39" s="50">
        <v>8.9825397461851697</v>
      </c>
      <c r="AY39" s="50">
        <v>0</v>
      </c>
      <c r="BA39" s="29">
        <f t="shared" si="146"/>
        <v>689.86199999999997</v>
      </c>
      <c r="BB39" s="29">
        <f t="shared" si="147"/>
        <v>304.81745309474422</v>
      </c>
      <c r="BC39" s="29">
        <f t="shared" si="148"/>
        <v>232.02400355256268</v>
      </c>
      <c r="BD39" s="29">
        <f t="shared" si="149"/>
        <v>138.78697327746136</v>
      </c>
      <c r="BE39" s="29">
        <f t="shared" si="150"/>
        <v>14.233570075231691</v>
      </c>
      <c r="BG39" s="395">
        <f t="shared" si="111"/>
        <v>0.35565230743362547</v>
      </c>
      <c r="BH39" s="395">
        <f t="shared" si="112"/>
        <v>1.6519299039907611</v>
      </c>
      <c r="BI39" s="395">
        <f t="shared" si="113"/>
        <v>0.82836589996835863</v>
      </c>
      <c r="BJ39" s="395">
        <f t="shared" si="114"/>
        <v>9.4139456430801835E-2</v>
      </c>
      <c r="BK39" s="395">
        <f t="shared" si="115"/>
        <v>17.387480094344991</v>
      </c>
      <c r="BM39" s="395">
        <f t="shared" si="127"/>
        <v>0.14818846143067727</v>
      </c>
      <c r="BN39" s="395">
        <f t="shared" si="128"/>
        <v>0.68830412666281715</v>
      </c>
      <c r="BO39" s="395">
        <f t="shared" si="129"/>
        <v>0.34515245832014946</v>
      </c>
      <c r="BP39" s="395">
        <f t="shared" si="130"/>
        <v>3.9224773512834092E-2</v>
      </c>
      <c r="BQ39" s="395">
        <f t="shared" si="131"/>
        <v>7.2447833726437461</v>
      </c>
    </row>
    <row r="40" spans="2:69" s="4" customFormat="1" outlineLevel="1">
      <c r="B40" s="463"/>
      <c r="C40" s="445" t="s">
        <v>37</v>
      </c>
      <c r="D40" s="29">
        <v>158.83000000000001</v>
      </c>
      <c r="E40" s="50">
        <v>14.885226662727124</v>
      </c>
      <c r="F40" s="50">
        <v>20.526310922885013</v>
      </c>
      <c r="G40" s="29">
        <f t="shared" si="140"/>
        <v>117.29833205591419</v>
      </c>
      <c r="H40" s="50">
        <v>6.1201303584736877</v>
      </c>
      <c r="J40" s="29">
        <f t="shared" si="9"/>
        <v>13.235833333333334</v>
      </c>
      <c r="K40" s="50">
        <f t="shared" si="0"/>
        <v>1.2404355552272603</v>
      </c>
      <c r="L40" s="50">
        <f t="shared" si="1"/>
        <v>1.7105259102404178</v>
      </c>
      <c r="M40" s="29">
        <f t="shared" si="2"/>
        <v>9.774861004659515</v>
      </c>
      <c r="N40" s="50">
        <f t="shared" si="3"/>
        <v>0.51001086320614064</v>
      </c>
      <c r="P40" s="29">
        <f t="shared" si="116"/>
        <v>66.179166666666674</v>
      </c>
      <c r="Q40" s="29">
        <f t="shared" si="117"/>
        <v>6.2021777761363017</v>
      </c>
      <c r="R40" s="29">
        <f t="shared" si="118"/>
        <v>8.552629551202088</v>
      </c>
      <c r="S40" s="29">
        <f t="shared" si="119"/>
        <v>48.874305023297573</v>
      </c>
      <c r="T40" s="29">
        <f t="shared" si="120"/>
        <v>2.5500543160307032</v>
      </c>
      <c r="V40" s="29">
        <f t="shared" si="141"/>
        <v>0</v>
      </c>
      <c r="W40" s="50">
        <v>0</v>
      </c>
      <c r="X40" s="50">
        <v>0</v>
      </c>
      <c r="Y40" s="29">
        <v>0</v>
      </c>
      <c r="Z40" s="50">
        <v>0</v>
      </c>
      <c r="AB40" s="29">
        <f t="shared" si="142"/>
        <v>0</v>
      </c>
      <c r="AC40" s="50">
        <v>0</v>
      </c>
      <c r="AD40" s="50">
        <v>0</v>
      </c>
      <c r="AE40" s="29">
        <v>0</v>
      </c>
      <c r="AF40" s="50">
        <v>0</v>
      </c>
      <c r="AH40" s="29">
        <f t="shared" si="143"/>
        <v>0</v>
      </c>
      <c r="AI40" s="50">
        <v>0</v>
      </c>
      <c r="AJ40" s="50">
        <v>0</v>
      </c>
      <c r="AK40" s="29">
        <v>0</v>
      </c>
      <c r="AL40" s="50">
        <v>0</v>
      </c>
      <c r="AN40" s="29">
        <f t="shared" si="144"/>
        <v>0</v>
      </c>
      <c r="AO40" s="50">
        <v>0</v>
      </c>
      <c r="AP40" s="50">
        <v>0</v>
      </c>
      <c r="AQ40" s="29">
        <v>0</v>
      </c>
      <c r="AR40" s="50">
        <v>0</v>
      </c>
      <c r="AS40" s="453"/>
      <c r="AT40" s="29">
        <f t="shared" si="145"/>
        <v>0</v>
      </c>
      <c r="AU40" s="50">
        <v>0</v>
      </c>
      <c r="AV40" s="50">
        <v>0</v>
      </c>
      <c r="AW40" s="29">
        <v>0</v>
      </c>
      <c r="AX40" s="50">
        <v>0</v>
      </c>
      <c r="AY40" s="50">
        <v>0</v>
      </c>
      <c r="BA40" s="29">
        <f t="shared" si="146"/>
        <v>0</v>
      </c>
      <c r="BB40" s="29">
        <f t="shared" si="147"/>
        <v>0</v>
      </c>
      <c r="BC40" s="29">
        <f t="shared" si="148"/>
        <v>0</v>
      </c>
      <c r="BD40" s="29">
        <f t="shared" si="149"/>
        <v>0</v>
      </c>
      <c r="BE40" s="29">
        <f t="shared" si="150"/>
        <v>0</v>
      </c>
      <c r="BG40" s="395">
        <f t="shared" si="111"/>
        <v>0</v>
      </c>
      <c r="BH40" s="395">
        <f t="shared" si="112"/>
        <v>0</v>
      </c>
      <c r="BI40" s="395">
        <f t="shared" si="113"/>
        <v>0</v>
      </c>
      <c r="BJ40" s="395">
        <f t="shared" si="114"/>
        <v>0</v>
      </c>
      <c r="BK40" s="395">
        <f t="shared" si="115"/>
        <v>0</v>
      </c>
      <c r="BM40" s="395">
        <f t="shared" si="127"/>
        <v>0</v>
      </c>
      <c r="BN40" s="395">
        <f t="shared" si="128"/>
        <v>0</v>
      </c>
      <c r="BO40" s="395">
        <f t="shared" si="129"/>
        <v>0</v>
      </c>
      <c r="BP40" s="395">
        <f t="shared" si="130"/>
        <v>0</v>
      </c>
      <c r="BQ40" s="395">
        <f t="shared" si="131"/>
        <v>0</v>
      </c>
    </row>
    <row r="41" spans="2:69" s="4" customFormat="1" outlineLevel="1">
      <c r="B41" s="13" t="s">
        <v>38</v>
      </c>
      <c r="C41" s="444" t="s">
        <v>39</v>
      </c>
      <c r="D41" s="33">
        <v>432737.40652417857</v>
      </c>
      <c r="E41" s="33">
        <f>SUM(E42:E62)</f>
        <v>17234.586146861951</v>
      </c>
      <c r="F41" s="33">
        <f>SUM(F42:F62)</f>
        <v>24155.567072327249</v>
      </c>
      <c r="G41" s="33">
        <f t="shared" si="140"/>
        <v>383258.20269459306</v>
      </c>
      <c r="H41" s="33">
        <f>SUM(H42:H62)</f>
        <v>8089.0506103963353</v>
      </c>
      <c r="J41" s="33">
        <f t="shared" si="9"/>
        <v>36061.450543681545</v>
      </c>
      <c r="K41" s="33">
        <f t="shared" si="0"/>
        <v>1436.2155122384959</v>
      </c>
      <c r="L41" s="33">
        <f t="shared" si="1"/>
        <v>2012.9639226939373</v>
      </c>
      <c r="M41" s="33">
        <f t="shared" si="2"/>
        <v>31938.183557882756</v>
      </c>
      <c r="N41" s="33">
        <f t="shared" si="3"/>
        <v>674.08755086636131</v>
      </c>
      <c r="P41" s="33">
        <f>J41*5</f>
        <v>180307.25271840772</v>
      </c>
      <c r="Q41" s="33">
        <f>K41*5</f>
        <v>7181.0775611924792</v>
      </c>
      <c r="R41" s="33">
        <f>L41*5</f>
        <v>10064.819613469686</v>
      </c>
      <c r="S41" s="33">
        <f>M41*5</f>
        <v>159690.91778941377</v>
      </c>
      <c r="T41" s="33">
        <f>N41*5</f>
        <v>3370.4377543318064</v>
      </c>
      <c r="V41" s="33">
        <f>W41+X41+Y41+Z41</f>
        <v>25278.001059999999</v>
      </c>
      <c r="W41" s="33">
        <f>SUM(W42:W62)</f>
        <v>575.65323304969706</v>
      </c>
      <c r="X41" s="33">
        <f>SUM(X42:X62)</f>
        <v>793.80969555066542</v>
      </c>
      <c r="Y41" s="33">
        <f>SUM(Y42:Y62)</f>
        <v>23499.117335003837</v>
      </c>
      <c r="Z41" s="33">
        <f>SUM(Z42:Z62)</f>
        <v>409.42079639580101</v>
      </c>
      <c r="AB41" s="33">
        <f>AC41+AD41+AE41+AF41</f>
        <v>24972.05816</v>
      </c>
      <c r="AC41" s="33">
        <f>SUM(AC42:AC62)</f>
        <v>598.59614057676197</v>
      </c>
      <c r="AD41" s="33">
        <f>SUM(AD42:AD62)</f>
        <v>824.35053461642212</v>
      </c>
      <c r="AE41" s="33">
        <f>SUM(AE42:AE62)</f>
        <v>23124.552834169423</v>
      </c>
      <c r="AF41" s="33">
        <f>SUM(AF42:AF62)</f>
        <v>424.55865063739577</v>
      </c>
      <c r="AH41" s="33">
        <f>AI41+AJ41+AK41+AL41</f>
        <v>25149.072889999999</v>
      </c>
      <c r="AI41" s="33">
        <f>SUM(AI42:AI62)</f>
        <v>670.97704690583748</v>
      </c>
      <c r="AJ41" s="33">
        <f>SUM(AJ42:AJ62)</f>
        <v>908.56407406625101</v>
      </c>
      <c r="AK41" s="33">
        <f>SUM(AK42:AK62)</f>
        <v>23110.271842952658</v>
      </c>
      <c r="AL41" s="33">
        <f>SUM(AL42:AL62)</f>
        <v>459.25992607525228</v>
      </c>
      <c r="AN41" s="33">
        <f>AO41+AP41+AQ41+AR41</f>
        <v>27936.870549999996</v>
      </c>
      <c r="AO41" s="33">
        <f>SUM(AO42:AO62)</f>
        <v>556.478524162403</v>
      </c>
      <c r="AP41" s="33">
        <f>SUM(AP42:AP62)</f>
        <v>767.36830870487745</v>
      </c>
      <c r="AQ41" s="33">
        <f>SUM(AQ42:AQ62)</f>
        <v>26199.534963879065</v>
      </c>
      <c r="AR41" s="33">
        <f>SUM(AR42:AR62)</f>
        <v>413.48875325365356</v>
      </c>
      <c r="AS41" s="451"/>
      <c r="AT41" s="33">
        <f>AU41+AV41+AW41+AX41+AY41</f>
        <v>103056.09941</v>
      </c>
      <c r="AU41" s="33">
        <f>SUM(AU42:AU62)</f>
        <v>7615.8349104008739</v>
      </c>
      <c r="AV41" s="33">
        <f>SUM(AV42:AV62)</f>
        <v>10503.416876156512</v>
      </c>
      <c r="AW41" s="33">
        <f>SUM(AW42:AW62)</f>
        <v>79446.205038098909</v>
      </c>
      <c r="AX41" s="33">
        <f>SUM(AX42:AX62)</f>
        <v>5490.6425853436958</v>
      </c>
      <c r="AY41" s="33">
        <f>SUM(AY42:AY62)</f>
        <v>0</v>
      </c>
      <c r="BA41" s="33">
        <f>BB41+BC41+BD41+BE41</f>
        <v>206392.10206999999</v>
      </c>
      <c r="BB41" s="33">
        <f>SUM(BB42:BB62)</f>
        <v>10017.539855095574</v>
      </c>
      <c r="BC41" s="33">
        <f>SUM(BC42:BC62)</f>
        <v>13797.509489094729</v>
      </c>
      <c r="BD41" s="33">
        <f>SUM(BD42:BD62)</f>
        <v>175379.68201410389</v>
      </c>
      <c r="BE41" s="33">
        <f>SUM(BE42:BE62)</f>
        <v>7197.3707117057975</v>
      </c>
      <c r="BG41" s="396">
        <f t="shared" si="111"/>
        <v>1.144668885795348</v>
      </c>
      <c r="BH41" s="396">
        <f t="shared" si="112"/>
        <v>1.3949911792112821</v>
      </c>
      <c r="BI41" s="396">
        <f t="shared" si="113"/>
        <v>1.3708650546135579</v>
      </c>
      <c r="BJ41" s="396">
        <f t="shared" si="114"/>
        <v>1.0982445616937282</v>
      </c>
      <c r="BK41" s="396">
        <f t="shared" si="115"/>
        <v>2.1354409237955756</v>
      </c>
      <c r="BM41" s="396">
        <f t="shared" ref="BM41" si="151">BA41/D41</f>
        <v>0.47694536908139495</v>
      </c>
      <c r="BN41" s="396">
        <f t="shared" ref="BN41" si="152">BB41/E41</f>
        <v>0.5812463246713675</v>
      </c>
      <c r="BO41" s="396">
        <f t="shared" ref="BO41" si="153">BC41/F41</f>
        <v>0.57119377275564909</v>
      </c>
      <c r="BP41" s="396">
        <f t="shared" ref="BP41" si="154">BD41/G41</f>
        <v>0.45760190070572004</v>
      </c>
      <c r="BQ41" s="396">
        <f t="shared" ref="BQ41" si="155">BE41/H41</f>
        <v>0.88976705158148983</v>
      </c>
    </row>
    <row r="42" spans="2:69" s="4" customFormat="1" outlineLevel="1">
      <c r="B42" s="9"/>
      <c r="C42" s="445" t="s">
        <v>149</v>
      </c>
      <c r="D42" s="29">
        <v>5683.5645714285711</v>
      </c>
      <c r="E42" s="29">
        <v>532.65218723137843</v>
      </c>
      <c r="F42" s="29">
        <v>734.51245698820458</v>
      </c>
      <c r="G42" s="29">
        <f t="shared" si="140"/>
        <v>4197.3974964468807</v>
      </c>
      <c r="H42" s="29">
        <v>219.00243076210722</v>
      </c>
      <c r="J42" s="29">
        <f t="shared" si="9"/>
        <v>473.6303809523809</v>
      </c>
      <c r="K42" s="29">
        <f t="shared" si="0"/>
        <v>44.387682269281534</v>
      </c>
      <c r="L42" s="29">
        <f t="shared" si="1"/>
        <v>61.209371415683712</v>
      </c>
      <c r="M42" s="29">
        <f t="shared" si="2"/>
        <v>349.78312470390671</v>
      </c>
      <c r="N42" s="29">
        <f t="shared" si="3"/>
        <v>18.250202563508935</v>
      </c>
      <c r="P42" s="29">
        <f t="shared" ref="P42:P62" si="156">J42*5</f>
        <v>2368.1519047619045</v>
      </c>
      <c r="Q42" s="29">
        <f t="shared" ref="Q42:Q62" si="157">K42*5</f>
        <v>221.93841134640766</v>
      </c>
      <c r="R42" s="29">
        <f t="shared" ref="R42:R62" si="158">L42*5</f>
        <v>306.04685707841855</v>
      </c>
      <c r="S42" s="29">
        <f t="shared" ref="S42:S62" si="159">M42*5</f>
        <v>1748.9156235195335</v>
      </c>
      <c r="T42" s="29">
        <f t="shared" ref="T42:T62" si="160">N42*5</f>
        <v>91.251012817544677</v>
      </c>
      <c r="V42" s="29">
        <f t="shared" ref="V42:V62" si="161">W42+X42+Y42+Z42</f>
        <v>0</v>
      </c>
      <c r="W42" s="29">
        <v>0</v>
      </c>
      <c r="X42" s="29">
        <v>0</v>
      </c>
      <c r="Y42" s="29">
        <v>0</v>
      </c>
      <c r="Z42" s="29">
        <v>0</v>
      </c>
      <c r="AB42" s="29">
        <f t="shared" ref="AB42:AB62" si="162">AC42+AD42+AE42+AF42</f>
        <v>379.46427</v>
      </c>
      <c r="AC42" s="29">
        <v>35.562624626054806</v>
      </c>
      <c r="AD42" s="29">
        <v>49.039863943496741</v>
      </c>
      <c r="AE42" s="29">
        <v>269.56864094170686</v>
      </c>
      <c r="AF42" s="29">
        <v>25.293140488741582</v>
      </c>
      <c r="AH42" s="29">
        <f t="shared" ref="AH42:AH62" si="163">AI42+AJ42+AK42+AL42</f>
        <v>782.78800000000001</v>
      </c>
      <c r="AI42" s="29">
        <v>73.361309632077322</v>
      </c>
      <c r="AJ42" s="29">
        <v>101.16319256250905</v>
      </c>
      <c r="AK42" s="29">
        <v>556.08686769238341</v>
      </c>
      <c r="AL42" s="29">
        <v>52.176630113030264</v>
      </c>
      <c r="AN42" s="29">
        <f t="shared" ref="AN42:AN62" si="164">AO42+AP42+AQ42+AR42</f>
        <v>0</v>
      </c>
      <c r="AO42" s="29">
        <v>0</v>
      </c>
      <c r="AP42" s="29">
        <v>0</v>
      </c>
      <c r="AQ42" s="29">
        <v>0</v>
      </c>
      <c r="AR42" s="29">
        <v>0</v>
      </c>
      <c r="AS42" s="452"/>
      <c r="AT42" s="29">
        <f t="shared" ref="AT42:AT62" si="165">AU42+AV42+AW42+AX42+AY42</f>
        <v>74782.092569999993</v>
      </c>
      <c r="AU42" s="29">
        <v>7008.4266084334949</v>
      </c>
      <c r="AV42" s="29">
        <v>9664.4241236277085</v>
      </c>
      <c r="AW42" s="29">
        <v>53124.651395694811</v>
      </c>
      <c r="AX42" s="29">
        <v>4984.5904422439771</v>
      </c>
      <c r="AY42" s="29">
        <v>0</v>
      </c>
      <c r="BA42" s="29">
        <f t="shared" ref="BA42:BA62" si="166">BB42+BC42+BD42+BE42</f>
        <v>75944.344839999991</v>
      </c>
      <c r="BB42" s="29">
        <f t="shared" ref="BB42:BB62" si="167">W42+AC42+AI42+AO42+AU42</f>
        <v>7117.3505426916272</v>
      </c>
      <c r="BC42" s="29">
        <f t="shared" ref="BC42:BC62" si="168">X42+AD42+AJ42+AP42+AV42</f>
        <v>9814.6271801337134</v>
      </c>
      <c r="BD42" s="29">
        <f t="shared" ref="BD42:BD62" si="169">Y42+AE42+AK42+AQ42+AW42+AY42</f>
        <v>53950.3069043289</v>
      </c>
      <c r="BE42" s="29">
        <f t="shared" ref="BE42:BE62" si="170">Z42+AF42+AL42+AR42+AX42</f>
        <v>5062.0602128457485</v>
      </c>
      <c r="BG42" s="395">
        <f t="shared" si="111"/>
        <v>32.069034375409075</v>
      </c>
      <c r="BH42" s="395">
        <f t="shared" si="112"/>
        <v>32.069034375409075</v>
      </c>
      <c r="BI42" s="395">
        <f t="shared" si="113"/>
        <v>32.069034375409075</v>
      </c>
      <c r="BJ42" s="395">
        <f t="shared" si="114"/>
        <v>30.847861485598042</v>
      </c>
      <c r="BK42" s="395">
        <f t="shared" si="115"/>
        <v>55.474016742885674</v>
      </c>
      <c r="BM42" s="395"/>
      <c r="BN42" s="395"/>
      <c r="BO42" s="395"/>
      <c r="BP42" s="395"/>
      <c r="BQ42" s="395"/>
    </row>
    <row r="43" spans="2:69" s="4" customFormat="1" outlineLevel="1">
      <c r="B43" s="9"/>
      <c r="C43" s="445" t="s">
        <v>84</v>
      </c>
      <c r="D43" s="29">
        <v>0</v>
      </c>
      <c r="E43" s="29">
        <v>0</v>
      </c>
      <c r="F43" s="29">
        <v>0</v>
      </c>
      <c r="G43" s="29"/>
      <c r="H43" s="29">
        <v>0</v>
      </c>
      <c r="J43" s="29">
        <f t="shared" si="9"/>
        <v>0</v>
      </c>
      <c r="K43" s="29">
        <f t="shared" si="0"/>
        <v>0</v>
      </c>
      <c r="L43" s="29">
        <f t="shared" si="1"/>
        <v>0</v>
      </c>
      <c r="M43" s="29">
        <f t="shared" si="2"/>
        <v>0</v>
      </c>
      <c r="N43" s="29">
        <f t="shared" si="3"/>
        <v>0</v>
      </c>
      <c r="P43" s="29">
        <f t="shared" si="156"/>
        <v>0</v>
      </c>
      <c r="Q43" s="29">
        <f t="shared" si="157"/>
        <v>0</v>
      </c>
      <c r="R43" s="29">
        <f t="shared" si="158"/>
        <v>0</v>
      </c>
      <c r="S43" s="29">
        <f t="shared" si="159"/>
        <v>0</v>
      </c>
      <c r="T43" s="29">
        <f t="shared" si="160"/>
        <v>0</v>
      </c>
      <c r="V43" s="29">
        <f t="shared" si="161"/>
        <v>0</v>
      </c>
      <c r="W43" s="29"/>
      <c r="X43" s="29"/>
      <c r="Y43" s="29"/>
      <c r="Z43" s="29"/>
      <c r="AB43" s="29">
        <f t="shared" si="162"/>
        <v>0</v>
      </c>
      <c r="AC43" s="29"/>
      <c r="AD43" s="29"/>
      <c r="AE43" s="29"/>
      <c r="AF43" s="29"/>
      <c r="AH43" s="29">
        <f t="shared" si="163"/>
        <v>0</v>
      </c>
      <c r="AI43" s="29"/>
      <c r="AJ43" s="29"/>
      <c r="AK43" s="29"/>
      <c r="AL43" s="29"/>
      <c r="AN43" s="29">
        <f t="shared" si="164"/>
        <v>0</v>
      </c>
      <c r="AO43" s="29"/>
      <c r="AP43" s="29"/>
      <c r="AQ43" s="29"/>
      <c r="AR43" s="29"/>
      <c r="AS43" s="452"/>
      <c r="AT43" s="29">
        <f t="shared" si="165"/>
        <v>0</v>
      </c>
      <c r="AU43" s="29"/>
      <c r="AV43" s="29"/>
      <c r="AW43" s="29"/>
      <c r="AX43" s="29"/>
      <c r="AY43" s="29"/>
      <c r="BA43" s="29">
        <f t="shared" si="166"/>
        <v>0</v>
      </c>
      <c r="BB43" s="29">
        <f t="shared" si="167"/>
        <v>0</v>
      </c>
      <c r="BC43" s="29">
        <f t="shared" si="168"/>
        <v>0</v>
      </c>
      <c r="BD43" s="29">
        <f t="shared" si="169"/>
        <v>0</v>
      </c>
      <c r="BE43" s="29">
        <f t="shared" si="170"/>
        <v>0</v>
      </c>
      <c r="BG43" s="395"/>
      <c r="BH43" s="395"/>
      <c r="BI43" s="395"/>
      <c r="BJ43" s="395"/>
      <c r="BK43" s="395"/>
      <c r="BM43" s="395"/>
      <c r="BN43" s="395"/>
      <c r="BO43" s="395"/>
      <c r="BP43" s="395"/>
      <c r="BQ43" s="395"/>
    </row>
    <row r="44" spans="2:69" s="4" customFormat="1" outlineLevel="1">
      <c r="B44" s="9"/>
      <c r="C44" s="445" t="s">
        <v>85</v>
      </c>
      <c r="D44" s="29">
        <v>11224.196428571428</v>
      </c>
      <c r="E44" s="29">
        <v>2688.4027686458444</v>
      </c>
      <c r="F44" s="29">
        <v>4056.7659885831386</v>
      </c>
      <c r="G44" s="29">
        <f t="shared" ref="G44:G58" si="171">D44-E44-F44-H44</f>
        <v>2253.6007050648386</v>
      </c>
      <c r="H44" s="29">
        <v>2225.426966277606</v>
      </c>
      <c r="J44" s="29">
        <f t="shared" si="9"/>
        <v>935.34970238095229</v>
      </c>
      <c r="K44" s="29">
        <f t="shared" si="0"/>
        <v>224.03356405382036</v>
      </c>
      <c r="L44" s="29">
        <f t="shared" si="1"/>
        <v>338.06383238192819</v>
      </c>
      <c r="M44" s="29">
        <f t="shared" si="2"/>
        <v>187.80005875540323</v>
      </c>
      <c r="N44" s="29">
        <f t="shared" si="3"/>
        <v>185.45224718980049</v>
      </c>
      <c r="P44" s="29">
        <f t="shared" si="156"/>
        <v>4676.7485119047615</v>
      </c>
      <c r="Q44" s="29">
        <f t="shared" si="157"/>
        <v>1120.1678202691019</v>
      </c>
      <c r="R44" s="29">
        <f t="shared" si="158"/>
        <v>1690.319161909641</v>
      </c>
      <c r="S44" s="29">
        <f t="shared" si="159"/>
        <v>939.00029377701617</v>
      </c>
      <c r="T44" s="29">
        <f t="shared" si="160"/>
        <v>927.26123594900241</v>
      </c>
      <c r="V44" s="29">
        <f t="shared" si="161"/>
        <v>0</v>
      </c>
      <c r="W44" s="29">
        <v>0</v>
      </c>
      <c r="X44" s="29">
        <v>0</v>
      </c>
      <c r="Y44" s="29">
        <v>0</v>
      </c>
      <c r="Z44" s="29">
        <v>0</v>
      </c>
      <c r="AB44" s="29">
        <f t="shared" si="162"/>
        <v>4.0179999999999998</v>
      </c>
      <c r="AC44" s="29">
        <v>1.7753645316522468</v>
      </c>
      <c r="AD44" s="29">
        <v>1.3513897653069697</v>
      </c>
      <c r="AE44" s="29">
        <v>0.80834436253749276</v>
      </c>
      <c r="AF44" s="29">
        <v>8.2901340503290427E-2</v>
      </c>
      <c r="AH44" s="29">
        <f t="shared" si="163"/>
        <v>61.158999999999999</v>
      </c>
      <c r="AI44" s="29">
        <v>27.02327510983568</v>
      </c>
      <c r="AJ44" s="29">
        <v>20.569847351022641</v>
      </c>
      <c r="AK44" s="29">
        <v>12.304015148937411</v>
      </c>
      <c r="AL44" s="29">
        <v>1.2618623902042656</v>
      </c>
      <c r="AN44" s="29">
        <f t="shared" si="164"/>
        <v>0</v>
      </c>
      <c r="AO44" s="29">
        <v>0</v>
      </c>
      <c r="AP44" s="29">
        <v>0</v>
      </c>
      <c r="AQ44" s="29">
        <v>0</v>
      </c>
      <c r="AR44" s="29">
        <v>0</v>
      </c>
      <c r="AS44" s="452"/>
      <c r="AT44" s="29">
        <f t="shared" si="165"/>
        <v>0</v>
      </c>
      <c r="AU44" s="29">
        <v>0</v>
      </c>
      <c r="AV44" s="29">
        <v>0</v>
      </c>
      <c r="AW44" s="29">
        <v>0</v>
      </c>
      <c r="AX44" s="29">
        <v>0</v>
      </c>
      <c r="AY44" s="29">
        <v>0</v>
      </c>
      <c r="BA44" s="29">
        <f t="shared" si="166"/>
        <v>65.177000000000007</v>
      </c>
      <c r="BB44" s="29">
        <f t="shared" si="167"/>
        <v>28.798639641487927</v>
      </c>
      <c r="BC44" s="29">
        <f t="shared" si="168"/>
        <v>21.92123711632961</v>
      </c>
      <c r="BD44" s="29">
        <f t="shared" si="169"/>
        <v>13.112359511474905</v>
      </c>
      <c r="BE44" s="29">
        <f t="shared" si="170"/>
        <v>1.3447637307075559</v>
      </c>
      <c r="BG44" s="395">
        <f>BA44/P44</f>
        <v>1.3936391882969671E-2</v>
      </c>
      <c r="BH44" s="395">
        <f>BB44/Q44</f>
        <v>2.5709218851305272E-2</v>
      </c>
      <c r="BI44" s="395">
        <f>BC44/R44</f>
        <v>1.2968697042731299E-2</v>
      </c>
      <c r="BJ44" s="395">
        <f>BD44/S44</f>
        <v>1.3964169764773991E-2</v>
      </c>
      <c r="BK44" s="395">
        <f>BE44/T44</f>
        <v>1.4502533682768071E-3</v>
      </c>
      <c r="BM44" s="395"/>
      <c r="BN44" s="395"/>
      <c r="BO44" s="395"/>
      <c r="BP44" s="395"/>
      <c r="BQ44" s="395"/>
    </row>
    <row r="45" spans="2:69" s="4" customFormat="1" outlineLevel="1">
      <c r="B45" s="9"/>
      <c r="C45" s="445" t="s">
        <v>86</v>
      </c>
      <c r="D45" s="29">
        <v>39095.405430428575</v>
      </c>
      <c r="E45" s="29"/>
      <c r="F45" s="29"/>
      <c r="G45" s="29">
        <f t="shared" si="171"/>
        <v>39095.405430428575</v>
      </c>
      <c r="H45" s="29"/>
      <c r="J45" s="29">
        <f t="shared" si="9"/>
        <v>3257.9504525357147</v>
      </c>
      <c r="K45" s="29">
        <f t="shared" si="0"/>
        <v>0</v>
      </c>
      <c r="L45" s="29">
        <f t="shared" si="1"/>
        <v>0</v>
      </c>
      <c r="M45" s="29">
        <f t="shared" si="2"/>
        <v>3257.9504525357147</v>
      </c>
      <c r="N45" s="29">
        <f t="shared" si="3"/>
        <v>0</v>
      </c>
      <c r="P45" s="29">
        <f t="shared" si="156"/>
        <v>16289.752262678574</v>
      </c>
      <c r="Q45" s="29">
        <f t="shared" si="157"/>
        <v>0</v>
      </c>
      <c r="R45" s="29">
        <f t="shared" si="158"/>
        <v>0</v>
      </c>
      <c r="S45" s="29">
        <f t="shared" si="159"/>
        <v>16289.752262678574</v>
      </c>
      <c r="T45" s="29">
        <f t="shared" si="160"/>
        <v>0</v>
      </c>
      <c r="V45" s="29">
        <f t="shared" si="161"/>
        <v>0</v>
      </c>
      <c r="W45" s="29"/>
      <c r="X45" s="29"/>
      <c r="Y45" s="29">
        <v>0</v>
      </c>
      <c r="Z45" s="29"/>
      <c r="AB45" s="29">
        <f t="shared" si="162"/>
        <v>0</v>
      </c>
      <c r="AC45" s="29"/>
      <c r="AD45" s="29"/>
      <c r="AE45" s="29">
        <v>0</v>
      </c>
      <c r="AF45" s="29"/>
      <c r="AH45" s="29">
        <f t="shared" si="163"/>
        <v>0</v>
      </c>
      <c r="AI45" s="29"/>
      <c r="AJ45" s="29"/>
      <c r="AK45" s="29">
        <v>0</v>
      </c>
      <c r="AL45" s="29"/>
      <c r="AN45" s="29">
        <f t="shared" si="164"/>
        <v>0</v>
      </c>
      <c r="AO45" s="29"/>
      <c r="AP45" s="29"/>
      <c r="AQ45" s="29">
        <v>0</v>
      </c>
      <c r="AR45" s="29"/>
      <c r="AS45" s="452"/>
      <c r="AT45" s="29">
        <f t="shared" si="165"/>
        <v>0</v>
      </c>
      <c r="AU45" s="29"/>
      <c r="AV45" s="29"/>
      <c r="AW45" s="29">
        <v>0</v>
      </c>
      <c r="AX45" s="29"/>
      <c r="AY45" s="29"/>
      <c r="BA45" s="29">
        <f t="shared" si="166"/>
        <v>0</v>
      </c>
      <c r="BB45" s="29">
        <f t="shared" si="167"/>
        <v>0</v>
      </c>
      <c r="BC45" s="29">
        <f t="shared" si="168"/>
        <v>0</v>
      </c>
      <c r="BD45" s="29">
        <f t="shared" si="169"/>
        <v>0</v>
      </c>
      <c r="BE45" s="29">
        <f t="shared" si="170"/>
        <v>0</v>
      </c>
      <c r="BG45" s="395">
        <f t="shared" ref="BG45:BG58" si="172">BA45/P45</f>
        <v>0</v>
      </c>
      <c r="BH45" s="395"/>
      <c r="BI45" s="395"/>
      <c r="BJ45" s="395">
        <f t="shared" ref="BJ45:BJ58" si="173">BD45/S45</f>
        <v>0</v>
      </c>
      <c r="BK45" s="395"/>
      <c r="BM45" s="395"/>
      <c r="BN45" s="395"/>
      <c r="BO45" s="395"/>
      <c r="BP45" s="395"/>
      <c r="BQ45" s="395"/>
    </row>
    <row r="46" spans="2:69" s="4" customFormat="1" outlineLevel="1">
      <c r="B46" s="9"/>
      <c r="C46" s="445" t="s">
        <v>87</v>
      </c>
      <c r="D46" s="29">
        <v>1442.808</v>
      </c>
      <c r="E46" s="29"/>
      <c r="F46" s="29"/>
      <c r="G46" s="29">
        <f t="shared" si="171"/>
        <v>1442.808</v>
      </c>
      <c r="H46" s="29"/>
      <c r="J46" s="29">
        <f t="shared" si="9"/>
        <v>120.23399999999999</v>
      </c>
      <c r="K46" s="29">
        <f t="shared" si="0"/>
        <v>0</v>
      </c>
      <c r="L46" s="29">
        <f t="shared" si="1"/>
        <v>0</v>
      </c>
      <c r="M46" s="29">
        <f t="shared" si="2"/>
        <v>120.23399999999999</v>
      </c>
      <c r="N46" s="29">
        <f t="shared" si="3"/>
        <v>0</v>
      </c>
      <c r="P46" s="29">
        <f t="shared" si="156"/>
        <v>601.16999999999996</v>
      </c>
      <c r="Q46" s="29">
        <f t="shared" si="157"/>
        <v>0</v>
      </c>
      <c r="R46" s="29">
        <f t="shared" si="158"/>
        <v>0</v>
      </c>
      <c r="S46" s="29">
        <f t="shared" si="159"/>
        <v>601.16999999999996</v>
      </c>
      <c r="T46" s="29">
        <f t="shared" si="160"/>
        <v>0</v>
      </c>
      <c r="V46" s="29">
        <f t="shared" si="161"/>
        <v>0</v>
      </c>
      <c r="W46" s="29"/>
      <c r="X46" s="29"/>
      <c r="Y46" s="29">
        <v>0</v>
      </c>
      <c r="Z46" s="29"/>
      <c r="AB46" s="29">
        <f t="shared" si="162"/>
        <v>0</v>
      </c>
      <c r="AC46" s="29"/>
      <c r="AD46" s="29"/>
      <c r="AE46" s="29">
        <v>0</v>
      </c>
      <c r="AF46" s="29"/>
      <c r="AH46" s="29">
        <f t="shared" si="163"/>
        <v>0</v>
      </c>
      <c r="AI46" s="29"/>
      <c r="AJ46" s="29"/>
      <c r="AK46" s="29">
        <v>0</v>
      </c>
      <c r="AL46" s="29"/>
      <c r="AN46" s="29">
        <f t="shared" si="164"/>
        <v>0</v>
      </c>
      <c r="AO46" s="29"/>
      <c r="AP46" s="29"/>
      <c r="AQ46" s="29">
        <v>0</v>
      </c>
      <c r="AR46" s="29"/>
      <c r="AS46" s="452"/>
      <c r="AT46" s="29">
        <f t="shared" si="165"/>
        <v>0</v>
      </c>
      <c r="AU46" s="29"/>
      <c r="AV46" s="29"/>
      <c r="AW46" s="29">
        <v>0</v>
      </c>
      <c r="AX46" s="29"/>
      <c r="AY46" s="29"/>
      <c r="BA46" s="29">
        <f t="shared" si="166"/>
        <v>0</v>
      </c>
      <c r="BB46" s="29">
        <f t="shared" si="167"/>
        <v>0</v>
      </c>
      <c r="BC46" s="29">
        <f t="shared" si="168"/>
        <v>0</v>
      </c>
      <c r="BD46" s="29">
        <f t="shared" si="169"/>
        <v>0</v>
      </c>
      <c r="BE46" s="29">
        <f t="shared" si="170"/>
        <v>0</v>
      </c>
      <c r="BG46" s="395">
        <f t="shared" si="172"/>
        <v>0</v>
      </c>
      <c r="BH46" s="395"/>
      <c r="BI46" s="395"/>
      <c r="BJ46" s="395">
        <f t="shared" si="173"/>
        <v>0</v>
      </c>
      <c r="BK46" s="395"/>
      <c r="BM46" s="395"/>
      <c r="BN46" s="395"/>
      <c r="BO46" s="395"/>
      <c r="BP46" s="395"/>
      <c r="BQ46" s="395"/>
    </row>
    <row r="47" spans="2:69" s="4" customFormat="1" outlineLevel="1">
      <c r="B47" s="9"/>
      <c r="C47" s="445" t="s">
        <v>124</v>
      </c>
      <c r="D47" s="29">
        <v>2223.2142857142853</v>
      </c>
      <c r="E47" s="29"/>
      <c r="F47" s="29"/>
      <c r="G47" s="29">
        <f t="shared" si="171"/>
        <v>2223.2142857142853</v>
      </c>
      <c r="H47" s="29"/>
      <c r="J47" s="29">
        <f t="shared" si="9"/>
        <v>185.26785714285711</v>
      </c>
      <c r="K47" s="29">
        <f t="shared" si="0"/>
        <v>0</v>
      </c>
      <c r="L47" s="29">
        <f t="shared" si="1"/>
        <v>0</v>
      </c>
      <c r="M47" s="29">
        <f t="shared" si="2"/>
        <v>185.26785714285711</v>
      </c>
      <c r="N47" s="29">
        <f t="shared" si="3"/>
        <v>0</v>
      </c>
      <c r="P47" s="29">
        <f t="shared" si="156"/>
        <v>926.33928571428555</v>
      </c>
      <c r="Q47" s="29">
        <f t="shared" si="157"/>
        <v>0</v>
      </c>
      <c r="R47" s="29">
        <f t="shared" si="158"/>
        <v>0</v>
      </c>
      <c r="S47" s="29">
        <f t="shared" si="159"/>
        <v>926.33928571428555</v>
      </c>
      <c r="T47" s="29">
        <f t="shared" si="160"/>
        <v>0</v>
      </c>
      <c r="V47" s="29">
        <f t="shared" si="161"/>
        <v>0</v>
      </c>
      <c r="W47" s="29"/>
      <c r="X47" s="29"/>
      <c r="Y47" s="29">
        <v>0</v>
      </c>
      <c r="Z47" s="29"/>
      <c r="AB47" s="29">
        <f t="shared" si="162"/>
        <v>0</v>
      </c>
      <c r="AC47" s="29"/>
      <c r="AD47" s="29"/>
      <c r="AE47" s="29">
        <v>0</v>
      </c>
      <c r="AF47" s="29"/>
      <c r="AH47" s="29">
        <f t="shared" si="163"/>
        <v>0</v>
      </c>
      <c r="AI47" s="29"/>
      <c r="AJ47" s="29"/>
      <c r="AK47" s="29">
        <v>0</v>
      </c>
      <c r="AL47" s="29"/>
      <c r="AN47" s="29">
        <f t="shared" si="164"/>
        <v>0</v>
      </c>
      <c r="AO47" s="29"/>
      <c r="AP47" s="29"/>
      <c r="AQ47" s="29">
        <v>0</v>
      </c>
      <c r="AR47" s="29"/>
      <c r="AS47" s="452"/>
      <c r="AT47" s="29">
        <f t="shared" si="165"/>
        <v>0</v>
      </c>
      <c r="AU47" s="29"/>
      <c r="AV47" s="29"/>
      <c r="AW47" s="29">
        <v>0</v>
      </c>
      <c r="AX47" s="29"/>
      <c r="AY47" s="29"/>
      <c r="BA47" s="29">
        <f t="shared" si="166"/>
        <v>0</v>
      </c>
      <c r="BB47" s="29">
        <f t="shared" si="167"/>
        <v>0</v>
      </c>
      <c r="BC47" s="29">
        <f t="shared" si="168"/>
        <v>0</v>
      </c>
      <c r="BD47" s="29">
        <f t="shared" si="169"/>
        <v>0</v>
      </c>
      <c r="BE47" s="29">
        <f t="shared" si="170"/>
        <v>0</v>
      </c>
      <c r="BG47" s="395">
        <f t="shared" si="172"/>
        <v>0</v>
      </c>
      <c r="BH47" s="395"/>
      <c r="BI47" s="395"/>
      <c r="BJ47" s="395">
        <f t="shared" si="173"/>
        <v>0</v>
      </c>
      <c r="BK47" s="395"/>
      <c r="BM47" s="395"/>
      <c r="BN47" s="395"/>
      <c r="BO47" s="395"/>
      <c r="BP47" s="395"/>
      <c r="BQ47" s="395"/>
    </row>
    <row r="48" spans="2:69" s="4" customFormat="1" outlineLevel="1">
      <c r="B48" s="9"/>
      <c r="C48" s="445" t="s">
        <v>150</v>
      </c>
      <c r="D48" s="29">
        <v>4560</v>
      </c>
      <c r="E48" s="29"/>
      <c r="F48" s="29"/>
      <c r="G48" s="29">
        <f t="shared" si="171"/>
        <v>4560</v>
      </c>
      <c r="H48" s="29"/>
      <c r="J48" s="29">
        <f t="shared" si="9"/>
        <v>380</v>
      </c>
      <c r="K48" s="29">
        <f t="shared" si="0"/>
        <v>0</v>
      </c>
      <c r="L48" s="29">
        <f t="shared" si="1"/>
        <v>0</v>
      </c>
      <c r="M48" s="29">
        <f t="shared" si="2"/>
        <v>380</v>
      </c>
      <c r="N48" s="29">
        <f t="shared" si="3"/>
        <v>0</v>
      </c>
      <c r="P48" s="29">
        <f t="shared" si="156"/>
        <v>1900</v>
      </c>
      <c r="Q48" s="29">
        <f t="shared" si="157"/>
        <v>0</v>
      </c>
      <c r="R48" s="29">
        <f t="shared" si="158"/>
        <v>0</v>
      </c>
      <c r="S48" s="29">
        <f t="shared" si="159"/>
        <v>1900</v>
      </c>
      <c r="T48" s="29">
        <f t="shared" si="160"/>
        <v>0</v>
      </c>
      <c r="V48" s="29">
        <f t="shared" si="161"/>
        <v>0</v>
      </c>
      <c r="W48" s="29"/>
      <c r="X48" s="29"/>
      <c r="Y48" s="29">
        <v>0</v>
      </c>
      <c r="Z48" s="29"/>
      <c r="AB48" s="29">
        <f t="shared" si="162"/>
        <v>0</v>
      </c>
      <c r="AC48" s="29"/>
      <c r="AD48" s="29"/>
      <c r="AE48" s="29">
        <v>0</v>
      </c>
      <c r="AF48" s="29"/>
      <c r="AH48" s="29">
        <f t="shared" si="163"/>
        <v>0</v>
      </c>
      <c r="AI48" s="29"/>
      <c r="AJ48" s="29"/>
      <c r="AK48" s="29">
        <v>0</v>
      </c>
      <c r="AL48" s="29"/>
      <c r="AN48" s="29">
        <f t="shared" si="164"/>
        <v>17.705549999999999</v>
      </c>
      <c r="AO48" s="29"/>
      <c r="AP48" s="29"/>
      <c r="AQ48" s="29"/>
      <c r="AR48" s="29">
        <v>17.705549999999999</v>
      </c>
      <c r="AS48" s="452"/>
      <c r="AT48" s="29">
        <f t="shared" si="165"/>
        <v>81.100770000000011</v>
      </c>
      <c r="AU48" s="29"/>
      <c r="AV48" s="29"/>
      <c r="AW48" s="29"/>
      <c r="AX48" s="29">
        <v>81.100770000000011</v>
      </c>
      <c r="AY48" s="29"/>
      <c r="BA48" s="29">
        <f t="shared" si="166"/>
        <v>98.806320000000014</v>
      </c>
      <c r="BB48" s="29">
        <f t="shared" si="167"/>
        <v>0</v>
      </c>
      <c r="BC48" s="29">
        <f t="shared" si="168"/>
        <v>0</v>
      </c>
      <c r="BD48" s="29">
        <f t="shared" si="169"/>
        <v>0</v>
      </c>
      <c r="BE48" s="29">
        <f t="shared" si="170"/>
        <v>98.806320000000014</v>
      </c>
      <c r="BG48" s="395">
        <f t="shared" si="172"/>
        <v>5.200332631578948E-2</v>
      </c>
      <c r="BH48" s="395"/>
      <c r="BI48" s="395"/>
      <c r="BJ48" s="395">
        <f t="shared" si="173"/>
        <v>0</v>
      </c>
      <c r="BK48" s="395"/>
      <c r="BM48" s="395"/>
      <c r="BN48" s="395"/>
      <c r="BO48" s="395"/>
      <c r="BP48" s="395"/>
      <c r="BQ48" s="395"/>
    </row>
    <row r="49" spans="2:69" s="4" customFormat="1" outlineLevel="1">
      <c r="B49" s="9"/>
      <c r="C49" s="445" t="s">
        <v>123</v>
      </c>
      <c r="D49" s="29">
        <v>22552.372607142854</v>
      </c>
      <c r="E49" s="29">
        <v>2113.5627906541563</v>
      </c>
      <c r="F49" s="29">
        <v>2914.5439286216024</v>
      </c>
      <c r="G49" s="29">
        <f t="shared" si="171"/>
        <v>16655.264690054431</v>
      </c>
      <c r="H49" s="29">
        <v>869.00119781266358</v>
      </c>
      <c r="J49" s="29">
        <f t="shared" si="9"/>
        <v>1879.3643839285712</v>
      </c>
      <c r="K49" s="29">
        <f t="shared" si="0"/>
        <v>176.13023255451301</v>
      </c>
      <c r="L49" s="29">
        <f t="shared" si="1"/>
        <v>242.87866071846688</v>
      </c>
      <c r="M49" s="29">
        <f t="shared" si="2"/>
        <v>1387.9387241712027</v>
      </c>
      <c r="N49" s="29">
        <f t="shared" si="3"/>
        <v>72.416766484388631</v>
      </c>
      <c r="P49" s="29">
        <f t="shared" si="156"/>
        <v>9396.8219196428563</v>
      </c>
      <c r="Q49" s="29">
        <f t="shared" si="157"/>
        <v>880.65116277256504</v>
      </c>
      <c r="R49" s="29">
        <f t="shared" si="158"/>
        <v>1214.3933035923344</v>
      </c>
      <c r="S49" s="29">
        <f t="shared" si="159"/>
        <v>6939.6936208560137</v>
      </c>
      <c r="T49" s="29">
        <f t="shared" si="160"/>
        <v>362.08383242194316</v>
      </c>
      <c r="V49" s="29">
        <f t="shared" si="161"/>
        <v>1124.9999999999998</v>
      </c>
      <c r="W49" s="29">
        <v>105.43272678692954</v>
      </c>
      <c r="X49" s="29">
        <v>145.38877912387861</v>
      </c>
      <c r="Y49" s="29">
        <v>799.19176859370771</v>
      </c>
      <c r="Z49" s="29">
        <v>74.986725495484151</v>
      </c>
      <c r="AB49" s="29">
        <f t="shared" si="162"/>
        <v>1124.9999999999998</v>
      </c>
      <c r="AC49" s="29">
        <v>105.43272678692954</v>
      </c>
      <c r="AD49" s="29">
        <v>145.38877912387861</v>
      </c>
      <c r="AE49" s="29">
        <v>799.19176859370771</v>
      </c>
      <c r="AF49" s="29">
        <v>74.986725495484151</v>
      </c>
      <c r="AH49" s="29">
        <f t="shared" si="163"/>
        <v>1124.9999999999998</v>
      </c>
      <c r="AI49" s="29">
        <v>105.43272678692954</v>
      </c>
      <c r="AJ49" s="29">
        <v>145.38877912387861</v>
      </c>
      <c r="AK49" s="29">
        <v>799.19176859370771</v>
      </c>
      <c r="AL49" s="29">
        <v>74.986725495484151</v>
      </c>
      <c r="AN49" s="29">
        <f t="shared" si="164"/>
        <v>1124.9999999999998</v>
      </c>
      <c r="AO49" s="29">
        <v>105.43272678692954</v>
      </c>
      <c r="AP49" s="29">
        <v>145.38877912387861</v>
      </c>
      <c r="AQ49" s="29">
        <v>799.19176859370771</v>
      </c>
      <c r="AR49" s="29">
        <v>74.986725495484151</v>
      </c>
      <c r="AS49" s="452"/>
      <c r="AT49" s="29">
        <f t="shared" si="165"/>
        <v>1124.9999999999998</v>
      </c>
      <c r="AU49" s="29">
        <v>105.43272678692954</v>
      </c>
      <c r="AV49" s="29">
        <v>145.38877912387861</v>
      </c>
      <c r="AW49" s="29">
        <v>799.19176859370771</v>
      </c>
      <c r="AX49" s="29">
        <v>74.986725495484151</v>
      </c>
      <c r="AY49" s="29">
        <v>0</v>
      </c>
      <c r="BA49" s="29">
        <f t="shared" si="166"/>
        <v>5625</v>
      </c>
      <c r="BB49" s="29">
        <f t="shared" si="167"/>
        <v>527.16363393464769</v>
      </c>
      <c r="BC49" s="29">
        <f t="shared" si="168"/>
        <v>726.94389561939306</v>
      </c>
      <c r="BD49" s="29">
        <f t="shared" si="169"/>
        <v>3995.9588429685386</v>
      </c>
      <c r="BE49" s="29">
        <f t="shared" si="170"/>
        <v>374.93362747742077</v>
      </c>
      <c r="BG49" s="395">
        <f t="shared" si="172"/>
        <v>0.59860664042612699</v>
      </c>
      <c r="BH49" s="395">
        <f t="shared" ref="BH49:BH58" si="174">BB49/Q49</f>
        <v>0.59860664042612721</v>
      </c>
      <c r="BI49" s="395">
        <f t="shared" ref="BI49:BI58" si="175">BC49/R49</f>
        <v>0.5986066404261271</v>
      </c>
      <c r="BJ49" s="395">
        <f t="shared" si="173"/>
        <v>0.57581199708289654</v>
      </c>
      <c r="BK49" s="395">
        <f>BE49/T49</f>
        <v>1.0354884529627479</v>
      </c>
      <c r="BM49" s="395"/>
      <c r="BN49" s="395"/>
      <c r="BO49" s="395"/>
      <c r="BP49" s="395"/>
      <c r="BQ49" s="395"/>
    </row>
    <row r="50" spans="2:69" s="4" customFormat="1" outlineLevel="1">
      <c r="B50" s="9"/>
      <c r="C50" s="445" t="s">
        <v>125</v>
      </c>
      <c r="D50" s="29">
        <v>720</v>
      </c>
      <c r="E50" s="29">
        <v>67.476945143634893</v>
      </c>
      <c r="F50" s="29">
        <v>93.048818639282317</v>
      </c>
      <c r="G50" s="29">
        <f t="shared" si="171"/>
        <v>531.73077554780707</v>
      </c>
      <c r="H50" s="29">
        <v>27.74346066927567</v>
      </c>
      <c r="J50" s="29">
        <f t="shared" si="9"/>
        <v>60</v>
      </c>
      <c r="K50" s="29">
        <f t="shared" si="0"/>
        <v>5.6230787619695741</v>
      </c>
      <c r="L50" s="29">
        <f t="shared" si="1"/>
        <v>7.7540682199401934</v>
      </c>
      <c r="M50" s="29">
        <f t="shared" si="2"/>
        <v>44.310897962317256</v>
      </c>
      <c r="N50" s="29">
        <f t="shared" si="3"/>
        <v>2.3119550557729727</v>
      </c>
      <c r="P50" s="29">
        <f t="shared" si="156"/>
        <v>300</v>
      </c>
      <c r="Q50" s="29">
        <f t="shared" si="157"/>
        <v>28.11539380984787</v>
      </c>
      <c r="R50" s="29">
        <f t="shared" si="158"/>
        <v>38.770341099700964</v>
      </c>
      <c r="S50" s="29">
        <f t="shared" si="159"/>
        <v>221.55448981158628</v>
      </c>
      <c r="T50" s="29">
        <f t="shared" si="160"/>
        <v>11.559775278864864</v>
      </c>
      <c r="V50" s="29">
        <f t="shared" si="161"/>
        <v>60</v>
      </c>
      <c r="W50" s="29">
        <v>5.623078761969575</v>
      </c>
      <c r="X50" s="29">
        <v>7.7540682199401925</v>
      </c>
      <c r="Y50" s="29">
        <v>42.623560991664412</v>
      </c>
      <c r="Z50" s="29">
        <v>3.9992920264258212</v>
      </c>
      <c r="AB50" s="29">
        <f t="shared" si="162"/>
        <v>60</v>
      </c>
      <c r="AC50" s="29">
        <v>5.623078761969575</v>
      </c>
      <c r="AD50" s="29">
        <v>7.7540682199401925</v>
      </c>
      <c r="AE50" s="29">
        <v>42.623560991664412</v>
      </c>
      <c r="AF50" s="29">
        <v>3.9992920264258212</v>
      </c>
      <c r="AH50" s="29">
        <f t="shared" si="163"/>
        <v>0</v>
      </c>
      <c r="AI50" s="29">
        <v>0</v>
      </c>
      <c r="AJ50" s="29">
        <v>0</v>
      </c>
      <c r="AK50" s="29">
        <v>0</v>
      </c>
      <c r="AL50" s="29">
        <v>0</v>
      </c>
      <c r="AN50" s="29">
        <f t="shared" si="164"/>
        <v>0</v>
      </c>
      <c r="AO50" s="29">
        <v>0</v>
      </c>
      <c r="AP50" s="29">
        <v>0</v>
      </c>
      <c r="AQ50" s="29">
        <v>0</v>
      </c>
      <c r="AR50" s="29">
        <v>0</v>
      </c>
      <c r="AS50" s="452"/>
      <c r="AT50" s="29">
        <f t="shared" si="165"/>
        <v>0</v>
      </c>
      <c r="AU50" s="29">
        <v>0</v>
      </c>
      <c r="AV50" s="29">
        <v>0</v>
      </c>
      <c r="AW50" s="29">
        <v>0</v>
      </c>
      <c r="AX50" s="29">
        <v>0</v>
      </c>
      <c r="AY50" s="29">
        <v>0</v>
      </c>
      <c r="BA50" s="29">
        <f t="shared" si="166"/>
        <v>120</v>
      </c>
      <c r="BB50" s="29">
        <f t="shared" si="167"/>
        <v>11.24615752393915</v>
      </c>
      <c r="BC50" s="29">
        <f t="shared" si="168"/>
        <v>15.508136439880385</v>
      </c>
      <c r="BD50" s="29">
        <f t="shared" si="169"/>
        <v>85.247121983328825</v>
      </c>
      <c r="BE50" s="29">
        <f t="shared" si="170"/>
        <v>7.9985840528516423</v>
      </c>
      <c r="BG50" s="395">
        <f t="shared" si="172"/>
        <v>0.4</v>
      </c>
      <c r="BH50" s="395">
        <f t="shared" si="174"/>
        <v>0.40000000000000008</v>
      </c>
      <c r="BI50" s="395">
        <f t="shared" si="175"/>
        <v>0.39999999999999997</v>
      </c>
      <c r="BJ50" s="395">
        <f t="shared" si="173"/>
        <v>0.3847681988111567</v>
      </c>
      <c r="BK50" s="395">
        <f>BE50/T50</f>
        <v>0.69193248656621631</v>
      </c>
      <c r="BM50" s="395"/>
      <c r="BN50" s="395"/>
      <c r="BO50" s="395"/>
      <c r="BP50" s="395"/>
      <c r="BQ50" s="395"/>
    </row>
    <row r="51" spans="2:69" s="4" customFormat="1" outlineLevel="1">
      <c r="B51" s="9"/>
      <c r="C51" s="445" t="s">
        <v>151</v>
      </c>
      <c r="D51" s="29">
        <v>1347.9985937499996</v>
      </c>
      <c r="E51" s="29">
        <v>143.68574828732955</v>
      </c>
      <c r="F51" s="29">
        <v>207.96529359386497</v>
      </c>
      <c r="G51" s="29">
        <f t="shared" si="171"/>
        <v>966.02454299991314</v>
      </c>
      <c r="H51" s="29">
        <v>30.323008868892011</v>
      </c>
      <c r="J51" s="29">
        <f t="shared" si="9"/>
        <v>112.3332161458333</v>
      </c>
      <c r="K51" s="29">
        <f t="shared" si="0"/>
        <v>11.973812357277462</v>
      </c>
      <c r="L51" s="29">
        <f t="shared" si="1"/>
        <v>17.330441132822081</v>
      </c>
      <c r="M51" s="29">
        <f t="shared" si="2"/>
        <v>80.502045249992761</v>
      </c>
      <c r="N51" s="29">
        <f t="shared" si="3"/>
        <v>2.5269174057410009</v>
      </c>
      <c r="P51" s="29">
        <f t="shared" si="156"/>
        <v>561.66608072916654</v>
      </c>
      <c r="Q51" s="29">
        <f t="shared" si="157"/>
        <v>59.869061786387306</v>
      </c>
      <c r="R51" s="29">
        <f t="shared" si="158"/>
        <v>86.652205664110397</v>
      </c>
      <c r="S51" s="29">
        <f t="shared" si="159"/>
        <v>402.51022624996381</v>
      </c>
      <c r="T51" s="29">
        <f t="shared" si="160"/>
        <v>12.634587028705004</v>
      </c>
      <c r="V51" s="29">
        <f t="shared" si="161"/>
        <v>0</v>
      </c>
      <c r="W51" s="29">
        <v>0</v>
      </c>
      <c r="X51" s="29">
        <v>0</v>
      </c>
      <c r="Y51" s="29">
        <v>0</v>
      </c>
      <c r="Z51" s="29">
        <v>0</v>
      </c>
      <c r="AB51" s="29">
        <f t="shared" si="162"/>
        <v>0</v>
      </c>
      <c r="AC51" s="29">
        <v>0</v>
      </c>
      <c r="AD51" s="29">
        <v>0</v>
      </c>
      <c r="AE51" s="29">
        <v>0</v>
      </c>
      <c r="AF51" s="29">
        <v>0</v>
      </c>
      <c r="AH51" s="29">
        <f t="shared" si="163"/>
        <v>0</v>
      </c>
      <c r="AI51" s="29">
        <v>0</v>
      </c>
      <c r="AJ51" s="29">
        <v>0</v>
      </c>
      <c r="AK51" s="29">
        <v>0</v>
      </c>
      <c r="AL51" s="29">
        <v>0</v>
      </c>
      <c r="AN51" s="29">
        <f t="shared" si="164"/>
        <v>0</v>
      </c>
      <c r="AO51" s="29">
        <v>0</v>
      </c>
      <c r="AP51" s="29">
        <v>0</v>
      </c>
      <c r="AQ51" s="29">
        <v>0</v>
      </c>
      <c r="AR51" s="29">
        <v>0</v>
      </c>
      <c r="AS51" s="452"/>
      <c r="AT51" s="29">
        <f t="shared" si="165"/>
        <v>0</v>
      </c>
      <c r="AU51" s="29">
        <v>0</v>
      </c>
      <c r="AV51" s="29">
        <v>0</v>
      </c>
      <c r="AW51" s="29">
        <v>0</v>
      </c>
      <c r="AX51" s="29">
        <v>0</v>
      </c>
      <c r="AY51" s="29">
        <v>0</v>
      </c>
      <c r="BA51" s="29">
        <f t="shared" si="166"/>
        <v>0</v>
      </c>
      <c r="BB51" s="29">
        <f t="shared" si="167"/>
        <v>0</v>
      </c>
      <c r="BC51" s="29">
        <f t="shared" si="168"/>
        <v>0</v>
      </c>
      <c r="BD51" s="29">
        <f t="shared" si="169"/>
        <v>0</v>
      </c>
      <c r="BE51" s="29">
        <f t="shared" si="170"/>
        <v>0</v>
      </c>
      <c r="BG51" s="395">
        <f t="shared" si="172"/>
        <v>0</v>
      </c>
      <c r="BH51" s="395">
        <f t="shared" si="174"/>
        <v>0</v>
      </c>
      <c r="BI51" s="395">
        <f t="shared" si="175"/>
        <v>0</v>
      </c>
      <c r="BJ51" s="395">
        <f t="shared" si="173"/>
        <v>0</v>
      </c>
      <c r="BK51" s="395">
        <f>BE51/T51</f>
        <v>0</v>
      </c>
      <c r="BM51" s="395"/>
      <c r="BN51" s="395"/>
      <c r="BO51" s="395"/>
      <c r="BP51" s="395"/>
      <c r="BQ51" s="395"/>
    </row>
    <row r="52" spans="2:69" s="4" customFormat="1" outlineLevel="1">
      <c r="B52" s="9"/>
      <c r="C52" s="445" t="s">
        <v>88</v>
      </c>
      <c r="D52" s="29">
        <v>56064</v>
      </c>
      <c r="E52" s="29">
        <v>5254.2047951843697</v>
      </c>
      <c r="F52" s="29">
        <v>7245.401344712116</v>
      </c>
      <c r="G52" s="29">
        <f t="shared" si="171"/>
        <v>41404.103055989246</v>
      </c>
      <c r="H52" s="29">
        <v>2160.2908041142655</v>
      </c>
      <c r="J52" s="29">
        <f t="shared" si="9"/>
        <v>4672</v>
      </c>
      <c r="K52" s="29">
        <f t="shared" si="0"/>
        <v>437.85039959869749</v>
      </c>
      <c r="L52" s="29">
        <f t="shared" si="1"/>
        <v>603.7834453926763</v>
      </c>
      <c r="M52" s="29">
        <f t="shared" si="2"/>
        <v>3450.3419213324373</v>
      </c>
      <c r="N52" s="29">
        <f t="shared" si="3"/>
        <v>180.0242336761888</v>
      </c>
      <c r="P52" s="29">
        <f t="shared" si="156"/>
        <v>23360</v>
      </c>
      <c r="Q52" s="29">
        <f t="shared" si="157"/>
        <v>2189.2519979934873</v>
      </c>
      <c r="R52" s="29">
        <f t="shared" si="158"/>
        <v>3018.9172269633814</v>
      </c>
      <c r="S52" s="29">
        <f t="shared" si="159"/>
        <v>17251.709606662185</v>
      </c>
      <c r="T52" s="29">
        <f t="shared" si="160"/>
        <v>900.12116838094403</v>
      </c>
      <c r="V52" s="29">
        <f t="shared" si="161"/>
        <v>4761.5999999999995</v>
      </c>
      <c r="W52" s="29">
        <v>446.24753054990549</v>
      </c>
      <c r="X52" s="29">
        <v>615.36285393445371</v>
      </c>
      <c r="Y52" s="29">
        <v>3382.6058002984878</v>
      </c>
      <c r="Z52" s="29">
        <v>317.3838152171532</v>
      </c>
      <c r="AB52" s="29">
        <f t="shared" si="162"/>
        <v>4608</v>
      </c>
      <c r="AC52" s="29">
        <v>431.85244891926334</v>
      </c>
      <c r="AD52" s="29">
        <v>595.51243929140674</v>
      </c>
      <c r="AE52" s="29">
        <v>3273.4894841598266</v>
      </c>
      <c r="AF52" s="29">
        <v>307.14562762950305</v>
      </c>
      <c r="AH52" s="29">
        <f t="shared" si="163"/>
        <v>4761.5999999999995</v>
      </c>
      <c r="AI52" s="29">
        <v>446.24753054990549</v>
      </c>
      <c r="AJ52" s="29">
        <v>615.36285393445371</v>
      </c>
      <c r="AK52" s="29">
        <v>3382.6058002984878</v>
      </c>
      <c r="AL52" s="29">
        <v>317.3838152171532</v>
      </c>
      <c r="AN52" s="29">
        <f t="shared" si="164"/>
        <v>4608</v>
      </c>
      <c r="AO52" s="29">
        <v>431.85244891926334</v>
      </c>
      <c r="AP52" s="29">
        <v>595.51243929140674</v>
      </c>
      <c r="AQ52" s="29">
        <v>3273.4894841598266</v>
      </c>
      <c r="AR52" s="29">
        <v>307.14562762950305</v>
      </c>
      <c r="AS52" s="452"/>
      <c r="AT52" s="29">
        <f t="shared" si="165"/>
        <v>4761.5999999999995</v>
      </c>
      <c r="AU52" s="29">
        <v>446.24753054990549</v>
      </c>
      <c r="AV52" s="29">
        <v>615.36285393445371</v>
      </c>
      <c r="AW52" s="29">
        <v>3382.6058002984878</v>
      </c>
      <c r="AX52" s="29">
        <v>317.3838152171532</v>
      </c>
      <c r="AY52" s="29">
        <v>0</v>
      </c>
      <c r="BA52" s="29">
        <f t="shared" si="166"/>
        <v>23500.799999999999</v>
      </c>
      <c r="BB52" s="29">
        <f t="shared" si="167"/>
        <v>2202.4474894882433</v>
      </c>
      <c r="BC52" s="29">
        <f t="shared" si="168"/>
        <v>3037.1134403861743</v>
      </c>
      <c r="BD52" s="29">
        <f t="shared" si="169"/>
        <v>16694.796369215117</v>
      </c>
      <c r="BE52" s="29">
        <f t="shared" si="170"/>
        <v>1566.4427009104656</v>
      </c>
      <c r="BG52" s="395">
        <f t="shared" si="172"/>
        <v>1.006027397260274</v>
      </c>
      <c r="BH52" s="395">
        <f t="shared" si="174"/>
        <v>1.0060273972602742</v>
      </c>
      <c r="BI52" s="395">
        <f t="shared" si="175"/>
        <v>1.006027397260274</v>
      </c>
      <c r="BJ52" s="395">
        <f t="shared" si="173"/>
        <v>0.96771837399627902</v>
      </c>
      <c r="BK52" s="395">
        <f>BE52/T52</f>
        <v>1.7402575963501004</v>
      </c>
      <c r="BM52" s="395"/>
      <c r="BN52" s="395"/>
      <c r="BO52" s="395"/>
      <c r="BP52" s="395"/>
      <c r="BQ52" s="395"/>
    </row>
    <row r="53" spans="2:69" s="4" customFormat="1" outlineLevel="1">
      <c r="B53" s="9"/>
      <c r="C53" s="445" t="s">
        <v>40</v>
      </c>
      <c r="D53" s="29">
        <v>599.3850000000001</v>
      </c>
      <c r="E53" s="29">
        <v>214.89098405029395</v>
      </c>
      <c r="F53" s="29">
        <v>326.52334376273365</v>
      </c>
      <c r="G53" s="29">
        <f t="shared" si="171"/>
        <v>57.970672186972536</v>
      </c>
      <c r="H53" s="29">
        <v>0</v>
      </c>
      <c r="J53" s="29">
        <f t="shared" si="9"/>
        <v>49.948750000000011</v>
      </c>
      <c r="K53" s="29">
        <f t="shared" si="0"/>
        <v>17.907582004191163</v>
      </c>
      <c r="L53" s="29">
        <f t="shared" si="1"/>
        <v>27.210278646894469</v>
      </c>
      <c r="M53" s="29">
        <f t="shared" si="2"/>
        <v>4.8308893489143783</v>
      </c>
      <c r="N53" s="29">
        <f t="shared" si="3"/>
        <v>0</v>
      </c>
      <c r="P53" s="29">
        <f t="shared" si="156"/>
        <v>249.74375000000006</v>
      </c>
      <c r="Q53" s="29">
        <f t="shared" si="157"/>
        <v>89.53791002095582</v>
      </c>
      <c r="R53" s="29">
        <f t="shared" si="158"/>
        <v>136.05139323447236</v>
      </c>
      <c r="S53" s="29">
        <f t="shared" si="159"/>
        <v>24.154446744571892</v>
      </c>
      <c r="T53" s="29">
        <f t="shared" si="160"/>
        <v>0</v>
      </c>
      <c r="V53" s="29">
        <f t="shared" si="161"/>
        <v>0</v>
      </c>
      <c r="W53" s="29">
        <v>0</v>
      </c>
      <c r="X53" s="29">
        <v>0</v>
      </c>
      <c r="Y53" s="29">
        <v>0</v>
      </c>
      <c r="Z53" s="29">
        <v>0</v>
      </c>
      <c r="AB53" s="29">
        <f t="shared" si="162"/>
        <v>0</v>
      </c>
      <c r="AC53" s="29">
        <v>0</v>
      </c>
      <c r="AD53" s="29">
        <v>0</v>
      </c>
      <c r="AE53" s="29">
        <v>0</v>
      </c>
      <c r="AF53" s="29">
        <v>0</v>
      </c>
      <c r="AH53" s="29">
        <f t="shared" si="163"/>
        <v>0</v>
      </c>
      <c r="AI53" s="29">
        <v>0</v>
      </c>
      <c r="AJ53" s="29">
        <v>0</v>
      </c>
      <c r="AK53" s="29">
        <v>0</v>
      </c>
      <c r="AL53" s="29">
        <v>0</v>
      </c>
      <c r="AN53" s="29">
        <f t="shared" si="164"/>
        <v>0</v>
      </c>
      <c r="AO53" s="29">
        <v>0</v>
      </c>
      <c r="AP53" s="29">
        <v>0</v>
      </c>
      <c r="AQ53" s="29">
        <v>0</v>
      </c>
      <c r="AR53" s="29">
        <v>0</v>
      </c>
      <c r="AS53" s="452"/>
      <c r="AT53" s="29">
        <f t="shared" si="165"/>
        <v>27.666</v>
      </c>
      <c r="AU53" s="29">
        <v>9.9187900343442568</v>
      </c>
      <c r="AV53" s="29">
        <v>15.071439606496305</v>
      </c>
      <c r="AW53" s="29">
        <v>2.6757703591594386</v>
      </c>
      <c r="AX53" s="29">
        <v>0</v>
      </c>
      <c r="AY53" s="29">
        <v>0</v>
      </c>
      <c r="BA53" s="29">
        <f t="shared" si="166"/>
        <v>27.666</v>
      </c>
      <c r="BB53" s="29">
        <f t="shared" si="167"/>
        <v>9.9187900343442568</v>
      </c>
      <c r="BC53" s="29">
        <f t="shared" si="168"/>
        <v>15.071439606496305</v>
      </c>
      <c r="BD53" s="29">
        <f t="shared" si="169"/>
        <v>2.6757703591594386</v>
      </c>
      <c r="BE53" s="29">
        <f t="shared" si="170"/>
        <v>0</v>
      </c>
      <c r="BG53" s="395">
        <f t="shared" si="172"/>
        <v>0.11077754698566028</v>
      </c>
      <c r="BH53" s="395">
        <f t="shared" si="174"/>
        <v>0.11077754698566029</v>
      </c>
      <c r="BI53" s="395">
        <f t="shared" si="175"/>
        <v>0.11077754698566028</v>
      </c>
      <c r="BJ53" s="395">
        <f t="shared" si="173"/>
        <v>0.11077754698566016</v>
      </c>
      <c r="BK53" s="395"/>
      <c r="BM53" s="395"/>
      <c r="BN53" s="395"/>
      <c r="BO53" s="395"/>
      <c r="BP53" s="395"/>
      <c r="BQ53" s="395"/>
    </row>
    <row r="54" spans="2:69" s="4" customFormat="1" outlineLevel="1">
      <c r="B54" s="63"/>
      <c r="C54" s="445" t="s">
        <v>166</v>
      </c>
      <c r="D54" s="29">
        <v>1974.2999999999995</v>
      </c>
      <c r="E54" s="58">
        <v>185.0274066626088</v>
      </c>
      <c r="F54" s="58">
        <v>255.14761477713196</v>
      </c>
      <c r="G54" s="29">
        <f t="shared" si="171"/>
        <v>1458.050097450049</v>
      </c>
      <c r="H54" s="58">
        <v>76.074881110209645</v>
      </c>
      <c r="J54" s="29">
        <f t="shared" si="9"/>
        <v>164.52499999999995</v>
      </c>
      <c r="K54" s="58">
        <f t="shared" si="0"/>
        <v>15.4189505552174</v>
      </c>
      <c r="L54" s="58">
        <f t="shared" si="1"/>
        <v>21.262301231427664</v>
      </c>
      <c r="M54" s="29">
        <f t="shared" si="2"/>
        <v>121.50417478750408</v>
      </c>
      <c r="N54" s="58">
        <f t="shared" si="3"/>
        <v>6.3395734258508041</v>
      </c>
      <c r="P54" s="29">
        <f t="shared" si="156"/>
        <v>822.62499999999977</v>
      </c>
      <c r="Q54" s="29">
        <f t="shared" si="157"/>
        <v>77.094752776087006</v>
      </c>
      <c r="R54" s="29">
        <f t="shared" si="158"/>
        <v>106.31150615713833</v>
      </c>
      <c r="S54" s="29">
        <f t="shared" si="159"/>
        <v>607.52087393752038</v>
      </c>
      <c r="T54" s="29">
        <f t="shared" si="160"/>
        <v>31.697867129254021</v>
      </c>
      <c r="V54" s="29">
        <f t="shared" si="161"/>
        <v>164.52500000000001</v>
      </c>
      <c r="W54" s="58">
        <v>15.418950555217405</v>
      </c>
      <c r="X54" s="58">
        <v>21.262301231427671</v>
      </c>
      <c r="Y54" s="29">
        <v>116.8773562025598</v>
      </c>
      <c r="Z54" s="58">
        <v>10.966392010795138</v>
      </c>
      <c r="AB54" s="29">
        <f t="shared" si="162"/>
        <v>164.52500000000001</v>
      </c>
      <c r="AC54" s="58">
        <v>15.418950555217405</v>
      </c>
      <c r="AD54" s="58">
        <v>21.262301231427671</v>
      </c>
      <c r="AE54" s="29">
        <v>116.8773562025598</v>
      </c>
      <c r="AF54" s="58">
        <v>10.966392010795138</v>
      </c>
      <c r="AH54" s="29">
        <f t="shared" si="163"/>
        <v>164.52500000000001</v>
      </c>
      <c r="AI54" s="58">
        <v>15.418950555217405</v>
      </c>
      <c r="AJ54" s="58">
        <v>21.262301231427671</v>
      </c>
      <c r="AK54" s="29">
        <v>116.8773562025598</v>
      </c>
      <c r="AL54" s="58">
        <v>10.966392010795138</v>
      </c>
      <c r="AN54" s="29">
        <f t="shared" si="164"/>
        <v>164.52500000000001</v>
      </c>
      <c r="AO54" s="58">
        <v>15.418950555217405</v>
      </c>
      <c r="AP54" s="58">
        <v>21.262301231427671</v>
      </c>
      <c r="AQ54" s="29">
        <v>116.8773562025598</v>
      </c>
      <c r="AR54" s="58">
        <v>10.966392010795138</v>
      </c>
      <c r="AS54" s="452"/>
      <c r="AT54" s="29">
        <f t="shared" si="165"/>
        <v>164.52500000000001</v>
      </c>
      <c r="AU54" s="58">
        <v>15.418950555217405</v>
      </c>
      <c r="AV54" s="58">
        <v>21.262301231427671</v>
      </c>
      <c r="AW54" s="29">
        <v>116.8773562025598</v>
      </c>
      <c r="AX54" s="58">
        <v>10.966392010795138</v>
      </c>
      <c r="AY54" s="58">
        <v>0</v>
      </c>
      <c r="BA54" s="29">
        <f t="shared" si="166"/>
        <v>822.62500000000011</v>
      </c>
      <c r="BB54" s="29">
        <f t="shared" si="167"/>
        <v>77.09475277608702</v>
      </c>
      <c r="BC54" s="29">
        <f t="shared" si="168"/>
        <v>106.31150615713835</v>
      </c>
      <c r="BD54" s="29">
        <f t="shared" si="169"/>
        <v>584.38678101279902</v>
      </c>
      <c r="BE54" s="29">
        <f t="shared" si="170"/>
        <v>54.831960053975692</v>
      </c>
      <c r="BG54" s="395">
        <f t="shared" si="172"/>
        <v>1.0000000000000004</v>
      </c>
      <c r="BH54" s="395">
        <f t="shared" si="174"/>
        <v>1.0000000000000002</v>
      </c>
      <c r="BI54" s="395">
        <f t="shared" si="175"/>
        <v>1.0000000000000002</v>
      </c>
      <c r="BJ54" s="395">
        <f t="shared" si="173"/>
        <v>0.96192049702789217</v>
      </c>
      <c r="BK54" s="395">
        <f>BE54/T54</f>
        <v>1.7298312164155416</v>
      </c>
      <c r="BM54" s="395"/>
      <c r="BN54" s="395"/>
      <c r="BO54" s="395"/>
      <c r="BP54" s="395"/>
      <c r="BQ54" s="395"/>
    </row>
    <row r="55" spans="2:69" s="4" customFormat="1" outlineLevel="1">
      <c r="B55" s="9"/>
      <c r="C55" s="445" t="s">
        <v>115</v>
      </c>
      <c r="D55" s="29">
        <v>9240</v>
      </c>
      <c r="E55" s="29">
        <v>865.95412934331443</v>
      </c>
      <c r="F55" s="29">
        <v>1194.1265058707895</v>
      </c>
      <c r="G55" s="29">
        <f t="shared" si="171"/>
        <v>6823.8782861968584</v>
      </c>
      <c r="H55" s="29">
        <v>356.0410785890378</v>
      </c>
      <c r="J55" s="29">
        <f t="shared" si="9"/>
        <v>770</v>
      </c>
      <c r="K55" s="29">
        <f t="shared" si="0"/>
        <v>72.162844111942874</v>
      </c>
      <c r="L55" s="29">
        <f t="shared" si="1"/>
        <v>99.510542155899131</v>
      </c>
      <c r="M55" s="29">
        <f t="shared" si="2"/>
        <v>568.65652384973816</v>
      </c>
      <c r="N55" s="29">
        <f t="shared" si="3"/>
        <v>29.670089882419816</v>
      </c>
      <c r="P55" s="29">
        <f t="shared" si="156"/>
        <v>3850</v>
      </c>
      <c r="Q55" s="29">
        <f t="shared" si="157"/>
        <v>360.81422055971439</v>
      </c>
      <c r="R55" s="29">
        <f t="shared" si="158"/>
        <v>497.55271077949567</v>
      </c>
      <c r="S55" s="29">
        <f t="shared" si="159"/>
        <v>2843.2826192486909</v>
      </c>
      <c r="T55" s="29">
        <f t="shared" si="160"/>
        <v>148.35044941209907</v>
      </c>
      <c r="V55" s="29">
        <f t="shared" si="161"/>
        <v>0</v>
      </c>
      <c r="W55" s="29">
        <v>0</v>
      </c>
      <c r="X55" s="29">
        <v>0</v>
      </c>
      <c r="Y55" s="29">
        <v>0</v>
      </c>
      <c r="Z55" s="29">
        <v>0</v>
      </c>
      <c r="AB55" s="29">
        <f t="shared" si="162"/>
        <v>0</v>
      </c>
      <c r="AC55" s="29">
        <v>0</v>
      </c>
      <c r="AD55" s="29">
        <v>0</v>
      </c>
      <c r="AE55" s="29">
        <v>0</v>
      </c>
      <c r="AF55" s="29">
        <v>0</v>
      </c>
      <c r="AH55" s="29">
        <f t="shared" si="163"/>
        <v>0</v>
      </c>
      <c r="AI55" s="29">
        <v>0</v>
      </c>
      <c r="AJ55" s="29">
        <v>0</v>
      </c>
      <c r="AK55" s="29">
        <v>0</v>
      </c>
      <c r="AL55" s="29">
        <v>0</v>
      </c>
      <c r="AN55" s="29">
        <f t="shared" si="164"/>
        <v>0</v>
      </c>
      <c r="AO55" s="29">
        <v>0</v>
      </c>
      <c r="AP55" s="29">
        <v>0</v>
      </c>
      <c r="AQ55" s="29">
        <v>0</v>
      </c>
      <c r="AR55" s="29">
        <v>0</v>
      </c>
      <c r="AS55" s="452"/>
      <c r="AT55" s="29">
        <f t="shared" si="165"/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BA55" s="29">
        <f t="shared" si="166"/>
        <v>0</v>
      </c>
      <c r="BB55" s="29">
        <f t="shared" si="167"/>
        <v>0</v>
      </c>
      <c r="BC55" s="29">
        <f t="shared" si="168"/>
        <v>0</v>
      </c>
      <c r="BD55" s="29">
        <f t="shared" si="169"/>
        <v>0</v>
      </c>
      <c r="BE55" s="29">
        <f t="shared" si="170"/>
        <v>0</v>
      </c>
      <c r="BG55" s="395">
        <f t="shared" si="172"/>
        <v>0</v>
      </c>
      <c r="BH55" s="395">
        <f t="shared" si="174"/>
        <v>0</v>
      </c>
      <c r="BI55" s="395">
        <f t="shared" si="175"/>
        <v>0</v>
      </c>
      <c r="BJ55" s="395">
        <f t="shared" si="173"/>
        <v>0</v>
      </c>
      <c r="BK55" s="395">
        <f>BE55/T55</f>
        <v>0</v>
      </c>
      <c r="BM55" s="395"/>
      <c r="BN55" s="395"/>
      <c r="BO55" s="395"/>
      <c r="BP55" s="395"/>
      <c r="BQ55" s="395"/>
    </row>
    <row r="56" spans="2:69" s="4" customFormat="1" outlineLevel="1">
      <c r="B56" s="9"/>
      <c r="C56" s="445" t="s">
        <v>116</v>
      </c>
      <c r="D56" s="29">
        <v>10183.257142857141</v>
      </c>
      <c r="E56" s="29">
        <v>954.35428279458267</v>
      </c>
      <c r="F56" s="29">
        <v>1316.0278431151253</v>
      </c>
      <c r="G56" s="29">
        <f t="shared" si="171"/>
        <v>7520.4878030196869</v>
      </c>
      <c r="H56" s="29">
        <v>392.3872139277467</v>
      </c>
      <c r="J56" s="29">
        <f t="shared" si="9"/>
        <v>848.60476190476174</v>
      </c>
      <c r="K56" s="29">
        <f t="shared" si="0"/>
        <v>79.529523566215218</v>
      </c>
      <c r="L56" s="29">
        <f t="shared" si="1"/>
        <v>109.66898692626044</v>
      </c>
      <c r="M56" s="29">
        <f t="shared" si="2"/>
        <v>626.70731691830724</v>
      </c>
      <c r="N56" s="29">
        <f t="shared" si="3"/>
        <v>32.698934493978889</v>
      </c>
      <c r="P56" s="29">
        <f t="shared" si="156"/>
        <v>4243.0238095238092</v>
      </c>
      <c r="Q56" s="29">
        <f t="shared" si="157"/>
        <v>397.6476178310761</v>
      </c>
      <c r="R56" s="29">
        <f t="shared" si="158"/>
        <v>548.34493463130218</v>
      </c>
      <c r="S56" s="29">
        <f t="shared" si="159"/>
        <v>3133.5365845915362</v>
      </c>
      <c r="T56" s="29">
        <f t="shared" si="160"/>
        <v>163.49467246989445</v>
      </c>
      <c r="V56" s="29">
        <f t="shared" si="161"/>
        <v>0</v>
      </c>
      <c r="W56" s="29">
        <v>0</v>
      </c>
      <c r="X56" s="29">
        <v>0</v>
      </c>
      <c r="Y56" s="29">
        <v>0</v>
      </c>
      <c r="Z56" s="29">
        <v>0</v>
      </c>
      <c r="AB56" s="29">
        <f t="shared" si="162"/>
        <v>0</v>
      </c>
      <c r="AC56" s="29">
        <v>0</v>
      </c>
      <c r="AD56" s="29">
        <v>0</v>
      </c>
      <c r="AE56" s="29">
        <v>0</v>
      </c>
      <c r="AF56" s="29">
        <v>0</v>
      </c>
      <c r="AH56" s="29">
        <f t="shared" si="163"/>
        <v>0</v>
      </c>
      <c r="AI56" s="29">
        <v>0</v>
      </c>
      <c r="AJ56" s="29">
        <v>0</v>
      </c>
      <c r="AK56" s="29">
        <v>0</v>
      </c>
      <c r="AL56" s="29">
        <v>0</v>
      </c>
      <c r="AN56" s="29">
        <f t="shared" si="164"/>
        <v>0</v>
      </c>
      <c r="AO56" s="29">
        <v>0</v>
      </c>
      <c r="AP56" s="29">
        <v>0</v>
      </c>
      <c r="AQ56" s="29">
        <v>0</v>
      </c>
      <c r="AR56" s="29">
        <v>0</v>
      </c>
      <c r="AS56" s="452"/>
      <c r="AT56" s="29">
        <f t="shared" si="165"/>
        <v>0</v>
      </c>
      <c r="AU56" s="29">
        <v>0</v>
      </c>
      <c r="AV56" s="29">
        <v>0</v>
      </c>
      <c r="AW56" s="29">
        <v>0</v>
      </c>
      <c r="AX56" s="29">
        <v>0</v>
      </c>
      <c r="AY56" s="29">
        <v>0</v>
      </c>
      <c r="BA56" s="29">
        <f t="shared" si="166"/>
        <v>0</v>
      </c>
      <c r="BB56" s="29">
        <f t="shared" si="167"/>
        <v>0</v>
      </c>
      <c r="BC56" s="29">
        <f t="shared" si="168"/>
        <v>0</v>
      </c>
      <c r="BD56" s="29">
        <f t="shared" si="169"/>
        <v>0</v>
      </c>
      <c r="BE56" s="29">
        <f t="shared" si="170"/>
        <v>0</v>
      </c>
      <c r="BG56" s="395">
        <f t="shared" si="172"/>
        <v>0</v>
      </c>
      <c r="BH56" s="395">
        <f t="shared" si="174"/>
        <v>0</v>
      </c>
      <c r="BI56" s="395">
        <f t="shared" si="175"/>
        <v>0</v>
      </c>
      <c r="BJ56" s="395">
        <f t="shared" si="173"/>
        <v>0</v>
      </c>
      <c r="BK56" s="395">
        <f>BE56/T56</f>
        <v>0</v>
      </c>
      <c r="BM56" s="395"/>
      <c r="BN56" s="395"/>
      <c r="BO56" s="395"/>
      <c r="BP56" s="395"/>
      <c r="BQ56" s="395"/>
    </row>
    <row r="57" spans="2:69" s="4" customFormat="1" outlineLevel="1">
      <c r="B57" s="9"/>
      <c r="C57" s="445" t="s">
        <v>152</v>
      </c>
      <c r="D57" s="29">
        <v>375.28928571428565</v>
      </c>
      <c r="E57" s="29">
        <v>35.171353534912186</v>
      </c>
      <c r="F57" s="29">
        <v>48.500312060686625</v>
      </c>
      <c r="G57" s="29">
        <f t="shared" si="171"/>
        <v>277.15675409394407</v>
      </c>
      <c r="H57" s="29">
        <v>14.460866024742838</v>
      </c>
      <c r="J57" s="29">
        <f t="shared" si="9"/>
        <v>31.274107142857137</v>
      </c>
      <c r="K57" s="29">
        <f t="shared" si="0"/>
        <v>2.9309461279093489</v>
      </c>
      <c r="L57" s="29">
        <f t="shared" si="1"/>
        <v>4.0416926717238857</v>
      </c>
      <c r="M57" s="29">
        <f t="shared" si="2"/>
        <v>23.096396174495339</v>
      </c>
      <c r="N57" s="29">
        <f t="shared" si="3"/>
        <v>1.2050721687285699</v>
      </c>
      <c r="P57" s="29">
        <f t="shared" si="156"/>
        <v>156.37053571428569</v>
      </c>
      <c r="Q57" s="29">
        <f t="shared" si="157"/>
        <v>14.654730639546745</v>
      </c>
      <c r="R57" s="29">
        <f t="shared" si="158"/>
        <v>20.208463358619429</v>
      </c>
      <c r="S57" s="29">
        <f t="shared" si="159"/>
        <v>115.4819808724767</v>
      </c>
      <c r="T57" s="29">
        <f t="shared" si="160"/>
        <v>6.0253608436428499</v>
      </c>
      <c r="V57" s="29">
        <f t="shared" si="161"/>
        <v>31.27411</v>
      </c>
      <c r="W57" s="29">
        <v>2.9309463956750053</v>
      </c>
      <c r="X57" s="29">
        <v>4.0416930409652299</v>
      </c>
      <c r="Y57" s="29">
        <v>22.21689891741703</v>
      </c>
      <c r="Z57" s="29">
        <v>2.0845716459427339</v>
      </c>
      <c r="AB57" s="29">
        <f t="shared" si="162"/>
        <v>31.27411</v>
      </c>
      <c r="AC57" s="29">
        <v>2.9309463956750053</v>
      </c>
      <c r="AD57" s="29">
        <v>4.0416930409652299</v>
      </c>
      <c r="AE57" s="29">
        <v>22.21689891741703</v>
      </c>
      <c r="AF57" s="29">
        <v>2.0845716459427339</v>
      </c>
      <c r="AH57" s="29">
        <f t="shared" si="163"/>
        <v>31.27411</v>
      </c>
      <c r="AI57" s="29">
        <v>2.9309463956750053</v>
      </c>
      <c r="AJ57" s="29">
        <v>4.0416930409652299</v>
      </c>
      <c r="AK57" s="29">
        <v>22.21689891741703</v>
      </c>
      <c r="AL57" s="29">
        <v>2.0845716459427339</v>
      </c>
      <c r="AN57" s="29">
        <f t="shared" si="164"/>
        <v>31.274000000000001</v>
      </c>
      <c r="AO57" s="29">
        <v>2.9309360866972747</v>
      </c>
      <c r="AP57" s="29">
        <v>4.0416788251734932</v>
      </c>
      <c r="AQ57" s="29">
        <v>22.21682077422188</v>
      </c>
      <c r="AR57" s="29">
        <v>2.0845643139073524</v>
      </c>
      <c r="AS57" s="452"/>
      <c r="AT57" s="29">
        <f t="shared" si="165"/>
        <v>31.274000000000001</v>
      </c>
      <c r="AU57" s="29">
        <v>2.9309360866972747</v>
      </c>
      <c r="AV57" s="29">
        <v>4.0416788251734932</v>
      </c>
      <c r="AW57" s="29">
        <v>22.21682077422188</v>
      </c>
      <c r="AX57" s="29">
        <v>2.0845643139073524</v>
      </c>
      <c r="AY57" s="29">
        <v>0</v>
      </c>
      <c r="BA57" s="29">
        <f t="shared" si="166"/>
        <v>156.37032999999997</v>
      </c>
      <c r="BB57" s="29">
        <f t="shared" si="167"/>
        <v>14.654711360419565</v>
      </c>
      <c r="BC57" s="29">
        <f t="shared" si="168"/>
        <v>20.208436773242674</v>
      </c>
      <c r="BD57" s="29">
        <f t="shared" si="169"/>
        <v>111.08433830069484</v>
      </c>
      <c r="BE57" s="29">
        <f t="shared" si="170"/>
        <v>10.422843565642905</v>
      </c>
      <c r="BG57" s="395">
        <f t="shared" si="172"/>
        <v>0.99999868444342932</v>
      </c>
      <c r="BH57" s="395">
        <f t="shared" si="174"/>
        <v>0.99999868444342965</v>
      </c>
      <c r="BI57" s="395">
        <f t="shared" si="175"/>
        <v>0.99999868444342932</v>
      </c>
      <c r="BJ57" s="395">
        <f t="shared" si="173"/>
        <v>0.96191923156706116</v>
      </c>
      <c r="BK57" s="395">
        <f>BE57/T57</f>
        <v>1.7298289407247183</v>
      </c>
      <c r="BM57" s="395"/>
      <c r="BN57" s="395"/>
      <c r="BO57" s="395"/>
      <c r="BP57" s="395"/>
      <c r="BQ57" s="395"/>
    </row>
    <row r="58" spans="2:69" s="4" customFormat="1" outlineLevel="1">
      <c r="B58" s="63"/>
      <c r="C58" s="445" t="s">
        <v>126</v>
      </c>
      <c r="D58" s="29">
        <v>41712.393749999996</v>
      </c>
      <c r="E58" s="58">
        <v>3909.2012567756233</v>
      </c>
      <c r="F58" s="58">
        <v>5390.6791125751151</v>
      </c>
      <c r="G58" s="29">
        <f t="shared" si="171"/>
        <v>30805.227053670831</v>
      </c>
      <c r="H58" s="58">
        <v>1607.2863269784239</v>
      </c>
      <c r="J58" s="29">
        <f t="shared" si="9"/>
        <v>3476.0328124999996</v>
      </c>
      <c r="K58" s="58">
        <f t="shared" si="0"/>
        <v>325.76677139796863</v>
      </c>
      <c r="L58" s="58">
        <f t="shared" si="1"/>
        <v>449.2232593812596</v>
      </c>
      <c r="M58" s="29">
        <f t="shared" si="2"/>
        <v>2567.1022544725693</v>
      </c>
      <c r="N58" s="58">
        <f t="shared" si="3"/>
        <v>133.94052724820199</v>
      </c>
      <c r="P58" s="29">
        <f t="shared" si="156"/>
        <v>17380.1640625</v>
      </c>
      <c r="Q58" s="29">
        <f t="shared" si="157"/>
        <v>1628.8338569898431</v>
      </c>
      <c r="R58" s="29">
        <f t="shared" si="158"/>
        <v>2246.116296906298</v>
      </c>
      <c r="S58" s="29">
        <f t="shared" si="159"/>
        <v>12835.511272362846</v>
      </c>
      <c r="T58" s="29">
        <f t="shared" si="160"/>
        <v>669.70263624100994</v>
      </c>
      <c r="V58" s="29">
        <f t="shared" si="161"/>
        <v>0</v>
      </c>
      <c r="W58" s="58">
        <v>0</v>
      </c>
      <c r="X58" s="58">
        <v>0</v>
      </c>
      <c r="Y58" s="29">
        <v>0</v>
      </c>
      <c r="Z58" s="58">
        <v>0</v>
      </c>
      <c r="AB58" s="29">
        <f t="shared" si="162"/>
        <v>0</v>
      </c>
      <c r="AC58" s="58">
        <v>0</v>
      </c>
      <c r="AD58" s="58">
        <v>0</v>
      </c>
      <c r="AE58" s="29">
        <v>0</v>
      </c>
      <c r="AF58" s="58">
        <v>0</v>
      </c>
      <c r="AH58" s="29">
        <f t="shared" si="163"/>
        <v>0</v>
      </c>
      <c r="AI58" s="58">
        <v>0</v>
      </c>
      <c r="AJ58" s="58">
        <v>0</v>
      </c>
      <c r="AK58" s="29">
        <v>0</v>
      </c>
      <c r="AL58" s="58">
        <v>0</v>
      </c>
      <c r="AN58" s="29">
        <f t="shared" si="164"/>
        <v>0</v>
      </c>
      <c r="AO58" s="58">
        <v>0</v>
      </c>
      <c r="AP58" s="58">
        <v>0</v>
      </c>
      <c r="AQ58" s="29">
        <v>0</v>
      </c>
      <c r="AR58" s="58">
        <v>0</v>
      </c>
      <c r="AS58" s="452"/>
      <c r="AT58" s="29">
        <f t="shared" si="165"/>
        <v>0</v>
      </c>
      <c r="AU58" s="58">
        <v>0</v>
      </c>
      <c r="AV58" s="58">
        <v>0</v>
      </c>
      <c r="AW58" s="29">
        <v>0</v>
      </c>
      <c r="AX58" s="58">
        <v>0</v>
      </c>
      <c r="AY58" s="58">
        <v>0</v>
      </c>
      <c r="BA58" s="29">
        <f t="shared" si="166"/>
        <v>0</v>
      </c>
      <c r="BB58" s="29">
        <f t="shared" si="167"/>
        <v>0</v>
      </c>
      <c r="BC58" s="29">
        <f t="shared" si="168"/>
        <v>0</v>
      </c>
      <c r="BD58" s="29">
        <f t="shared" si="169"/>
        <v>0</v>
      </c>
      <c r="BE58" s="29">
        <f t="shared" si="170"/>
        <v>0</v>
      </c>
      <c r="BG58" s="395">
        <f t="shared" si="172"/>
        <v>0</v>
      </c>
      <c r="BH58" s="395">
        <f t="shared" si="174"/>
        <v>0</v>
      </c>
      <c r="BI58" s="395">
        <f t="shared" si="175"/>
        <v>0</v>
      </c>
      <c r="BJ58" s="395">
        <f t="shared" si="173"/>
        <v>0</v>
      </c>
      <c r="BK58" s="395">
        <f>BE58/T58</f>
        <v>0</v>
      </c>
      <c r="BM58" s="395"/>
      <c r="BN58" s="395"/>
      <c r="BO58" s="395"/>
      <c r="BP58" s="395"/>
      <c r="BQ58" s="395"/>
    </row>
    <row r="59" spans="2:69" s="4" customFormat="1" outlineLevel="1">
      <c r="B59" s="63"/>
      <c r="C59" s="445" t="s">
        <v>118</v>
      </c>
      <c r="D59" s="29">
        <v>0</v>
      </c>
      <c r="E59" s="58">
        <v>0</v>
      </c>
      <c r="F59" s="58">
        <v>0</v>
      </c>
      <c r="G59" s="58">
        <v>0</v>
      </c>
      <c r="H59" s="58">
        <v>0</v>
      </c>
      <c r="J59" s="29">
        <f t="shared" si="9"/>
        <v>0</v>
      </c>
      <c r="K59" s="58">
        <f t="shared" si="0"/>
        <v>0</v>
      </c>
      <c r="L59" s="58">
        <f t="shared" si="1"/>
        <v>0</v>
      </c>
      <c r="M59" s="58">
        <f t="shared" si="2"/>
        <v>0</v>
      </c>
      <c r="N59" s="58">
        <f t="shared" si="3"/>
        <v>0</v>
      </c>
      <c r="P59" s="29">
        <f t="shared" si="156"/>
        <v>0</v>
      </c>
      <c r="Q59" s="29">
        <f t="shared" si="157"/>
        <v>0</v>
      </c>
      <c r="R59" s="29">
        <f t="shared" si="158"/>
        <v>0</v>
      </c>
      <c r="S59" s="29">
        <f t="shared" si="159"/>
        <v>0</v>
      </c>
      <c r="T59" s="29">
        <f t="shared" si="160"/>
        <v>0</v>
      </c>
      <c r="V59" s="29">
        <f t="shared" si="161"/>
        <v>0</v>
      </c>
      <c r="W59" s="58">
        <v>0</v>
      </c>
      <c r="X59" s="58">
        <v>0</v>
      </c>
      <c r="Y59" s="58">
        <v>0</v>
      </c>
      <c r="Z59" s="58">
        <v>0</v>
      </c>
      <c r="AB59" s="29">
        <f t="shared" si="162"/>
        <v>0</v>
      </c>
      <c r="AC59" s="58">
        <v>0</v>
      </c>
      <c r="AD59" s="58">
        <v>0</v>
      </c>
      <c r="AE59" s="58">
        <v>0</v>
      </c>
      <c r="AF59" s="58">
        <v>0</v>
      </c>
      <c r="AH59" s="29">
        <f t="shared" si="163"/>
        <v>0</v>
      </c>
      <c r="AI59" s="58">
        <v>0</v>
      </c>
      <c r="AJ59" s="58">
        <v>0</v>
      </c>
      <c r="AK59" s="58">
        <v>0</v>
      </c>
      <c r="AL59" s="58">
        <v>0</v>
      </c>
      <c r="AN59" s="29">
        <f t="shared" si="164"/>
        <v>0</v>
      </c>
      <c r="AO59" s="58">
        <v>0</v>
      </c>
      <c r="AP59" s="58">
        <v>0</v>
      </c>
      <c r="AQ59" s="58">
        <v>0</v>
      </c>
      <c r="AR59" s="58">
        <v>0</v>
      </c>
      <c r="AS59" s="452"/>
      <c r="AT59" s="29">
        <f t="shared" si="165"/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BA59" s="29">
        <f t="shared" si="166"/>
        <v>0</v>
      </c>
      <c r="BB59" s="29">
        <f t="shared" si="167"/>
        <v>0</v>
      </c>
      <c r="BC59" s="29">
        <f t="shared" si="168"/>
        <v>0</v>
      </c>
      <c r="BD59" s="29">
        <f t="shared" si="169"/>
        <v>0</v>
      </c>
      <c r="BE59" s="29">
        <f t="shared" si="170"/>
        <v>0</v>
      </c>
      <c r="BG59" s="395"/>
      <c r="BH59" s="395"/>
      <c r="BI59" s="395"/>
      <c r="BJ59" s="395"/>
      <c r="BK59" s="395"/>
      <c r="BM59" s="395"/>
      <c r="BN59" s="395"/>
      <c r="BO59" s="395"/>
      <c r="BP59" s="395"/>
      <c r="BQ59" s="395"/>
    </row>
    <row r="60" spans="2:69" s="4" customFormat="1" outlineLevel="1">
      <c r="B60" s="63"/>
      <c r="C60" s="445" t="s">
        <v>93</v>
      </c>
      <c r="D60" s="29">
        <v>2880.9999999999995</v>
      </c>
      <c r="E60" s="58">
        <v>270.00149855390572</v>
      </c>
      <c r="F60" s="58">
        <v>372.3245090274616</v>
      </c>
      <c r="G60" s="29">
        <f>D60-E60-F60-H60</f>
        <v>2127.6616171572668</v>
      </c>
      <c r="H60" s="58">
        <v>111.01237526136555</v>
      </c>
      <c r="J60" s="29">
        <f t="shared" si="9"/>
        <v>240.08333333333329</v>
      </c>
      <c r="K60" s="58">
        <f t="shared" si="0"/>
        <v>22.500124879492144</v>
      </c>
      <c r="L60" s="58">
        <f t="shared" si="1"/>
        <v>31.027042418955133</v>
      </c>
      <c r="M60" s="29">
        <f t="shared" si="2"/>
        <v>177.30513476310557</v>
      </c>
      <c r="N60" s="58">
        <f t="shared" si="3"/>
        <v>9.2510312717804624</v>
      </c>
      <c r="P60" s="29">
        <f t="shared" si="156"/>
        <v>1200.4166666666665</v>
      </c>
      <c r="Q60" s="29">
        <f t="shared" si="157"/>
        <v>112.50062439746073</v>
      </c>
      <c r="R60" s="29">
        <f t="shared" si="158"/>
        <v>155.13521209477568</v>
      </c>
      <c r="S60" s="29">
        <f t="shared" si="159"/>
        <v>886.52567381552785</v>
      </c>
      <c r="T60" s="29">
        <f t="shared" si="160"/>
        <v>46.255156358902312</v>
      </c>
      <c r="V60" s="29">
        <f t="shared" si="161"/>
        <v>0</v>
      </c>
      <c r="W60" s="58">
        <v>0</v>
      </c>
      <c r="X60" s="58">
        <v>0</v>
      </c>
      <c r="Y60" s="29">
        <v>0</v>
      </c>
      <c r="Z60" s="58">
        <v>0</v>
      </c>
      <c r="AB60" s="29">
        <f t="shared" si="162"/>
        <v>0</v>
      </c>
      <c r="AC60" s="58">
        <v>0</v>
      </c>
      <c r="AD60" s="58">
        <v>0</v>
      </c>
      <c r="AE60" s="29">
        <v>0</v>
      </c>
      <c r="AF60" s="58">
        <v>0</v>
      </c>
      <c r="AH60" s="29">
        <f t="shared" si="163"/>
        <v>6</v>
      </c>
      <c r="AI60" s="58">
        <v>0.56230787619695755</v>
      </c>
      <c r="AJ60" s="58">
        <v>0.77540682199401922</v>
      </c>
      <c r="AK60" s="29">
        <v>4.2623560991664409</v>
      </c>
      <c r="AL60" s="58">
        <v>0.39992920264258214</v>
      </c>
      <c r="AN60" s="29">
        <f t="shared" si="164"/>
        <v>9</v>
      </c>
      <c r="AO60" s="58">
        <v>0.84346181429543621</v>
      </c>
      <c r="AP60" s="58">
        <v>1.1631102329910288</v>
      </c>
      <c r="AQ60" s="29">
        <v>6.3935341487496613</v>
      </c>
      <c r="AR60" s="58">
        <v>0.59989380396387315</v>
      </c>
      <c r="AS60" s="452"/>
      <c r="AT60" s="29">
        <f t="shared" si="165"/>
        <v>292.99999999999994</v>
      </c>
      <c r="AU60" s="58">
        <v>27.459367954284758</v>
      </c>
      <c r="AV60" s="58">
        <v>37.865699807374604</v>
      </c>
      <c r="AW60" s="29">
        <v>208.1450561759612</v>
      </c>
      <c r="AX60" s="58">
        <v>19.529876062379426</v>
      </c>
      <c r="AY60" s="58">
        <v>0</v>
      </c>
      <c r="BA60" s="29">
        <f t="shared" si="166"/>
        <v>308</v>
      </c>
      <c r="BB60" s="29">
        <f t="shared" si="167"/>
        <v>28.865137644777153</v>
      </c>
      <c r="BC60" s="29">
        <f t="shared" si="168"/>
        <v>39.804216862359652</v>
      </c>
      <c r="BD60" s="29">
        <f t="shared" si="169"/>
        <v>218.80094642387729</v>
      </c>
      <c r="BE60" s="29">
        <f t="shared" si="170"/>
        <v>20.529699068985881</v>
      </c>
      <c r="BG60" s="395">
        <f>BA60/P60</f>
        <v>0.25657757723012847</v>
      </c>
      <c r="BH60" s="395">
        <f>BB60/Q60</f>
        <v>0.25657757723012847</v>
      </c>
      <c r="BI60" s="395">
        <f>BC60/R60</f>
        <v>0.25657757723012836</v>
      </c>
      <c r="BJ60" s="395">
        <f>BD60/S60</f>
        <v>0.2468072306154174</v>
      </c>
      <c r="BK60" s="395">
        <f>BE60/T60</f>
        <v>0.44383590252494554</v>
      </c>
      <c r="BM60" s="395"/>
      <c r="BN60" s="395"/>
      <c r="BO60" s="395"/>
      <c r="BP60" s="395"/>
      <c r="BQ60" s="395"/>
    </row>
    <row r="61" spans="2:69" s="4" customFormat="1" outlineLevel="1">
      <c r="B61" s="63"/>
      <c r="C61" s="445" t="s">
        <v>154</v>
      </c>
      <c r="D61" s="29">
        <v>1284</v>
      </c>
      <c r="E61" s="58"/>
      <c r="F61" s="58"/>
      <c r="G61" s="29">
        <f>D61-E61-F61-H61</f>
        <v>1284</v>
      </c>
      <c r="H61" s="58"/>
      <c r="J61" s="29">
        <f t="shared" si="9"/>
        <v>107</v>
      </c>
      <c r="K61" s="58">
        <f t="shared" si="0"/>
        <v>0</v>
      </c>
      <c r="L61" s="58">
        <f t="shared" si="1"/>
        <v>0</v>
      </c>
      <c r="M61" s="29">
        <f t="shared" si="2"/>
        <v>107</v>
      </c>
      <c r="N61" s="58">
        <f t="shared" si="3"/>
        <v>0</v>
      </c>
      <c r="P61" s="29">
        <f t="shared" si="156"/>
        <v>535</v>
      </c>
      <c r="Q61" s="29">
        <f t="shared" si="157"/>
        <v>0</v>
      </c>
      <c r="R61" s="29">
        <f t="shared" si="158"/>
        <v>0</v>
      </c>
      <c r="S61" s="29">
        <f t="shared" si="159"/>
        <v>535</v>
      </c>
      <c r="T61" s="29">
        <f t="shared" si="160"/>
        <v>0</v>
      </c>
      <c r="V61" s="29">
        <f t="shared" si="161"/>
        <v>110.4</v>
      </c>
      <c r="W61" s="58"/>
      <c r="X61" s="58"/>
      <c r="Y61" s="29">
        <v>110.4</v>
      </c>
      <c r="Z61" s="58"/>
      <c r="AB61" s="29">
        <f t="shared" si="162"/>
        <v>110.4</v>
      </c>
      <c r="AC61" s="58"/>
      <c r="AD61" s="58"/>
      <c r="AE61" s="29">
        <v>110.4</v>
      </c>
      <c r="AF61" s="58"/>
      <c r="AH61" s="29">
        <f t="shared" si="163"/>
        <v>110.4</v>
      </c>
      <c r="AI61" s="58"/>
      <c r="AJ61" s="58"/>
      <c r="AK61" s="29">
        <v>110.4</v>
      </c>
      <c r="AL61" s="58"/>
      <c r="AN61" s="29">
        <f t="shared" si="164"/>
        <v>110.4</v>
      </c>
      <c r="AO61" s="58"/>
      <c r="AP61" s="58"/>
      <c r="AQ61" s="29">
        <v>110.4</v>
      </c>
      <c r="AR61" s="58"/>
      <c r="AS61" s="452"/>
      <c r="AT61" s="29">
        <f t="shared" si="165"/>
        <v>110.4</v>
      </c>
      <c r="AU61" s="58"/>
      <c r="AV61" s="58"/>
      <c r="AW61" s="29">
        <v>110.4</v>
      </c>
      <c r="AX61" s="58"/>
      <c r="AY61" s="58"/>
      <c r="BA61" s="29">
        <f t="shared" si="166"/>
        <v>552</v>
      </c>
      <c r="BB61" s="29">
        <f t="shared" si="167"/>
        <v>0</v>
      </c>
      <c r="BC61" s="29">
        <f t="shared" si="168"/>
        <v>0</v>
      </c>
      <c r="BD61" s="29">
        <f t="shared" si="169"/>
        <v>552</v>
      </c>
      <c r="BE61" s="29">
        <f t="shared" si="170"/>
        <v>0</v>
      </c>
      <c r="BG61" s="395">
        <f t="shared" ref="BG61:BG78" si="176">BA61/P61</f>
        <v>1.0317757009345794</v>
      </c>
      <c r="BH61" s="395"/>
      <c r="BI61" s="395"/>
      <c r="BJ61" s="395">
        <f t="shared" ref="BJ61:BJ78" si="177">BD61/S61</f>
        <v>1.0317757009345794</v>
      </c>
      <c r="BK61" s="395"/>
      <c r="BM61" s="395"/>
      <c r="BN61" s="395"/>
      <c r="BO61" s="395"/>
      <c r="BP61" s="395"/>
      <c r="BQ61" s="395"/>
    </row>
    <row r="62" spans="2:69" s="4" customFormat="1" outlineLevel="1">
      <c r="B62" s="63"/>
      <c r="C62" s="445" t="s">
        <v>127</v>
      </c>
      <c r="D62" s="29">
        <v>219574.22142857141</v>
      </c>
      <c r="E62" s="58"/>
      <c r="F62" s="58"/>
      <c r="G62" s="29">
        <f>D62-E62-F62-H62</f>
        <v>219574.22142857141</v>
      </c>
      <c r="H62" s="58"/>
      <c r="J62" s="29">
        <f t="shared" si="9"/>
        <v>18297.851785714283</v>
      </c>
      <c r="K62" s="58">
        <f t="shared" si="0"/>
        <v>0</v>
      </c>
      <c r="L62" s="58">
        <f t="shared" si="1"/>
        <v>0</v>
      </c>
      <c r="M62" s="29">
        <f t="shared" si="2"/>
        <v>18297.851785714283</v>
      </c>
      <c r="N62" s="58">
        <f t="shared" si="3"/>
        <v>0</v>
      </c>
      <c r="P62" s="29">
        <f t="shared" si="156"/>
        <v>91489.25892857142</v>
      </c>
      <c r="Q62" s="29">
        <f t="shared" si="157"/>
        <v>0</v>
      </c>
      <c r="R62" s="29">
        <f t="shared" si="158"/>
        <v>0</v>
      </c>
      <c r="S62" s="29">
        <f t="shared" si="159"/>
        <v>91489.25892857142</v>
      </c>
      <c r="T62" s="29">
        <f t="shared" si="160"/>
        <v>0</v>
      </c>
      <c r="V62" s="29">
        <f t="shared" si="161"/>
        <v>19025.201949999999</v>
      </c>
      <c r="W62" s="58"/>
      <c r="X62" s="58"/>
      <c r="Y62" s="29">
        <v>19025.201949999999</v>
      </c>
      <c r="Z62" s="58"/>
      <c r="AB62" s="29">
        <f t="shared" si="162"/>
        <v>18489.376780000002</v>
      </c>
      <c r="AC62" s="58"/>
      <c r="AD62" s="58"/>
      <c r="AE62" s="29">
        <v>18489.376780000002</v>
      </c>
      <c r="AF62" s="58"/>
      <c r="AH62" s="29">
        <f t="shared" si="163"/>
        <v>18106.326779999999</v>
      </c>
      <c r="AI62" s="58"/>
      <c r="AJ62" s="58"/>
      <c r="AK62" s="29">
        <v>18106.326779999999</v>
      </c>
      <c r="AL62" s="58"/>
      <c r="AN62" s="29">
        <f t="shared" si="164"/>
        <v>21870.966</v>
      </c>
      <c r="AO62" s="58"/>
      <c r="AP62" s="58"/>
      <c r="AQ62" s="29">
        <v>21870.966</v>
      </c>
      <c r="AR62" s="58"/>
      <c r="AS62" s="452"/>
      <c r="AT62" s="29">
        <f t="shared" si="165"/>
        <v>21679.441070000001</v>
      </c>
      <c r="AU62" s="58"/>
      <c r="AV62" s="58"/>
      <c r="AW62" s="29">
        <v>21679.441070000001</v>
      </c>
      <c r="AX62" s="58"/>
      <c r="AY62" s="58"/>
      <c r="BA62" s="29">
        <f t="shared" si="166"/>
        <v>99171.312579999998</v>
      </c>
      <c r="BB62" s="29">
        <f t="shared" si="167"/>
        <v>0</v>
      </c>
      <c r="BC62" s="29">
        <f t="shared" si="168"/>
        <v>0</v>
      </c>
      <c r="BD62" s="29">
        <f t="shared" si="169"/>
        <v>99171.312579999998</v>
      </c>
      <c r="BE62" s="29">
        <f t="shared" si="170"/>
        <v>0</v>
      </c>
      <c r="BG62" s="395">
        <f t="shared" si="176"/>
        <v>1.0839667272573079</v>
      </c>
      <c r="BH62" s="395"/>
      <c r="BI62" s="395"/>
      <c r="BJ62" s="395">
        <f t="shared" si="177"/>
        <v>1.0839667272573079</v>
      </c>
      <c r="BK62" s="395"/>
      <c r="BM62" s="395"/>
      <c r="BN62" s="395"/>
      <c r="BO62" s="395"/>
      <c r="BP62" s="395"/>
      <c r="BQ62" s="395"/>
    </row>
    <row r="63" spans="2:69" s="4" customFormat="1" outlineLevel="1">
      <c r="B63" s="79" t="s">
        <v>41</v>
      </c>
      <c r="C63" s="444" t="s">
        <v>108</v>
      </c>
      <c r="D63" s="33">
        <f>E63+F63+G63+H63</f>
        <v>24630.262846479996</v>
      </c>
      <c r="E63" s="33">
        <f t="shared" ref="E63:H63" si="178">E64</f>
        <v>2308.298465229499</v>
      </c>
      <c r="F63" s="33">
        <f t="shared" si="178"/>
        <v>3183.0789731110704</v>
      </c>
      <c r="G63" s="33">
        <f t="shared" si="178"/>
        <v>18189.817729590482</v>
      </c>
      <c r="H63" s="33">
        <f t="shared" si="178"/>
        <v>949.06767854894395</v>
      </c>
      <c r="J63" s="33">
        <f t="shared" si="9"/>
        <v>2052.521903873333</v>
      </c>
      <c r="K63" s="33">
        <f t="shared" si="0"/>
        <v>192.35820543579158</v>
      </c>
      <c r="L63" s="33">
        <f t="shared" si="1"/>
        <v>265.25658109258922</v>
      </c>
      <c r="M63" s="33">
        <f t="shared" si="2"/>
        <v>1515.8181441325403</v>
      </c>
      <c r="N63" s="33">
        <f t="shared" si="3"/>
        <v>79.088973212412</v>
      </c>
      <c r="P63" s="33">
        <f t="shared" ref="P63:T65" si="179">J63*5</f>
        <v>10262.609519366666</v>
      </c>
      <c r="Q63" s="33">
        <f t="shared" si="179"/>
        <v>961.79102717895785</v>
      </c>
      <c r="R63" s="33">
        <f t="shared" si="179"/>
        <v>1326.282905462946</v>
      </c>
      <c r="S63" s="33">
        <f t="shared" si="179"/>
        <v>7579.0907206627016</v>
      </c>
      <c r="T63" s="33">
        <f t="shared" si="179"/>
        <v>395.44486606205999</v>
      </c>
      <c r="V63" s="33">
        <f>W63+X63+Y63+Z63</f>
        <v>34.606780000000001</v>
      </c>
      <c r="W63" s="33">
        <f t="shared" ref="W63:Z63" si="180">W64</f>
        <v>3.2432774939692242</v>
      </c>
      <c r="X63" s="33">
        <f t="shared" si="180"/>
        <v>4.4723888832076977</v>
      </c>
      <c r="Y63" s="33">
        <f t="shared" si="180"/>
        <v>24.584403300918535</v>
      </c>
      <c r="Z63" s="33">
        <f t="shared" si="180"/>
        <v>2.3067103219045428</v>
      </c>
      <c r="AB63" s="33">
        <f>AC63+AD63+AE63+AF63</f>
        <v>99.076309999999992</v>
      </c>
      <c r="AC63" s="33">
        <f t="shared" ref="AC63:AF63" si="181">AC64</f>
        <v>9.2852315762552298</v>
      </c>
      <c r="AD63" s="33">
        <f t="shared" si="181"/>
        <v>12.804074445332377</v>
      </c>
      <c r="AE63" s="33">
        <f t="shared" si="181"/>
        <v>70.383085701900839</v>
      </c>
      <c r="AF63" s="33">
        <f t="shared" si="181"/>
        <v>6.6039182765115472</v>
      </c>
      <c r="AH63" s="33">
        <f>AI63+AJ63+AK63+AL63</f>
        <v>464.95933000000002</v>
      </c>
      <c r="AI63" s="33">
        <f t="shared" ref="AI63:AL63" si="182">AI64</f>
        <v>43.575048895043388</v>
      </c>
      <c r="AJ63" s="33">
        <f t="shared" si="182"/>
        <v>60.08877273862808</v>
      </c>
      <c r="AK63" s="33">
        <f t="shared" si="182"/>
        <v>330.30370601497367</v>
      </c>
      <c r="AL63" s="33">
        <f t="shared" si="182"/>
        <v>30.99180235135487</v>
      </c>
      <c r="AN63" s="33">
        <f>AO63+AP63+AQ63+AR63</f>
        <v>606.42579000000001</v>
      </c>
      <c r="AO63" s="33">
        <f t="shared" ref="AO63:AR63" si="183">AO64</f>
        <v>56.832999674327027</v>
      </c>
      <c r="AP63" s="33">
        <f t="shared" si="183"/>
        <v>78.371115766518741</v>
      </c>
      <c r="AQ63" s="33">
        <f t="shared" si="183"/>
        <v>430.80044411638789</v>
      </c>
      <c r="AR63" s="33">
        <f t="shared" si="183"/>
        <v>40.421230442766323</v>
      </c>
      <c r="AS63" s="451"/>
      <c r="AT63" s="33">
        <f>AU63+AV63+AW63+AX63+AY63</f>
        <v>433.92343</v>
      </c>
      <c r="AU63" s="33">
        <f t="shared" ref="AU63:AY63" si="184">AU64</f>
        <v>40.666427059233193</v>
      </c>
      <c r="AV63" s="33">
        <f t="shared" si="184"/>
        <v>56.077864640840708</v>
      </c>
      <c r="AW63" s="33">
        <f t="shared" si="184"/>
        <v>308.25602973862038</v>
      </c>
      <c r="AX63" s="33">
        <f t="shared" si="184"/>
        <v>28.923108561305714</v>
      </c>
      <c r="AY63" s="33">
        <f t="shared" si="184"/>
        <v>0</v>
      </c>
      <c r="BA63" s="33">
        <f>BB63+BC63+BD63+BE63</f>
        <v>1638.9916399999997</v>
      </c>
      <c r="BB63" s="33">
        <f t="shared" ref="BB63:BE63" si="185">BB64</f>
        <v>153.60298469882807</v>
      </c>
      <c r="BC63" s="33">
        <f t="shared" si="185"/>
        <v>211.81421647452763</v>
      </c>
      <c r="BD63" s="33">
        <f t="shared" si="185"/>
        <v>1164.3276688728013</v>
      </c>
      <c r="BE63" s="33">
        <f t="shared" si="185"/>
        <v>109.24676995384299</v>
      </c>
      <c r="BG63" s="396">
        <f t="shared" si="176"/>
        <v>0.1597051546107297</v>
      </c>
      <c r="BH63" s="396">
        <f t="shared" ref="BH63:BH78" si="186">BB63/Q63</f>
        <v>0.15970515461072979</v>
      </c>
      <c r="BI63" s="396">
        <f t="shared" ref="BI63:BI78" si="187">BC63/R63</f>
        <v>0.15970515461072973</v>
      </c>
      <c r="BJ63" s="396">
        <f t="shared" si="177"/>
        <v>0.15362366170106942</v>
      </c>
      <c r="BK63" s="396">
        <f t="shared" ref="BK63:BK78" si="188">BE63/T63</f>
        <v>0.27626296186811061</v>
      </c>
      <c r="BM63" s="396">
        <f t="shared" ref="BM63" si="189">BA63/D63</f>
        <v>6.6543814421137382E-2</v>
      </c>
      <c r="BN63" s="396">
        <f t="shared" ref="BN63" si="190">BB63/E63</f>
        <v>6.6543814421137396E-2</v>
      </c>
      <c r="BO63" s="396">
        <f t="shared" ref="BO63" si="191">BC63/F63</f>
        <v>6.6543814421137382E-2</v>
      </c>
      <c r="BP63" s="396">
        <f t="shared" ref="BP63" si="192">BD63/G63</f>
        <v>6.400985904211226E-2</v>
      </c>
      <c r="BQ63" s="396">
        <f t="shared" ref="BQ63" si="193">BE63/H63</f>
        <v>0.11510956744504609</v>
      </c>
    </row>
    <row r="64" spans="2:69" s="4" customFormat="1" outlineLevel="1">
      <c r="B64" s="13"/>
      <c r="C64" s="445" t="s">
        <v>168</v>
      </c>
      <c r="D64" s="29">
        <v>24630.262846479996</v>
      </c>
      <c r="E64" s="29">
        <v>2308.298465229499</v>
      </c>
      <c r="F64" s="29">
        <v>3183.0789731110704</v>
      </c>
      <c r="G64" s="29">
        <f>D64-E64-F64-H64</f>
        <v>18189.817729590482</v>
      </c>
      <c r="H64" s="29">
        <v>949.06767854894395</v>
      </c>
      <c r="J64" s="29">
        <f t="shared" si="9"/>
        <v>2052.521903873333</v>
      </c>
      <c r="K64" s="29">
        <f t="shared" si="0"/>
        <v>192.35820543579158</v>
      </c>
      <c r="L64" s="29">
        <f t="shared" si="1"/>
        <v>265.25658109258922</v>
      </c>
      <c r="M64" s="29">
        <f t="shared" si="2"/>
        <v>1515.8181441325403</v>
      </c>
      <c r="N64" s="29">
        <f t="shared" si="3"/>
        <v>79.088973212412</v>
      </c>
      <c r="P64" s="29">
        <f t="shared" si="179"/>
        <v>10262.609519366666</v>
      </c>
      <c r="Q64" s="29">
        <f t="shared" si="179"/>
        <v>961.79102717895785</v>
      </c>
      <c r="R64" s="29">
        <f t="shared" si="179"/>
        <v>1326.282905462946</v>
      </c>
      <c r="S64" s="29">
        <f t="shared" si="179"/>
        <v>7579.0907206627016</v>
      </c>
      <c r="T64" s="29">
        <f t="shared" si="179"/>
        <v>395.44486606205999</v>
      </c>
      <c r="V64" s="29">
        <f t="shared" ref="V64" si="194">W64+X64+Y64+Z64</f>
        <v>34.606780000000001</v>
      </c>
      <c r="W64" s="29">
        <v>3.2432774939692242</v>
      </c>
      <c r="X64" s="29">
        <v>4.4723888832076977</v>
      </c>
      <c r="Y64" s="29">
        <v>24.584403300918535</v>
      </c>
      <c r="Z64" s="29">
        <v>2.3067103219045428</v>
      </c>
      <c r="AB64" s="29">
        <f t="shared" ref="AB64" si="195">AC64+AD64+AE64+AF64</f>
        <v>99.076309999999992</v>
      </c>
      <c r="AC64" s="29">
        <v>9.2852315762552298</v>
      </c>
      <c r="AD64" s="29">
        <v>12.804074445332377</v>
      </c>
      <c r="AE64" s="29">
        <v>70.383085701900839</v>
      </c>
      <c r="AF64" s="29">
        <v>6.6039182765115472</v>
      </c>
      <c r="AH64" s="29">
        <f t="shared" ref="AH64" si="196">AI64+AJ64+AK64+AL64</f>
        <v>464.95933000000002</v>
      </c>
      <c r="AI64" s="29">
        <v>43.575048895043388</v>
      </c>
      <c r="AJ64" s="29">
        <v>60.08877273862808</v>
      </c>
      <c r="AK64" s="29">
        <v>330.30370601497367</v>
      </c>
      <c r="AL64" s="29">
        <v>30.99180235135487</v>
      </c>
      <c r="AN64" s="29">
        <f t="shared" ref="AN64" si="197">AO64+AP64+AQ64+AR64</f>
        <v>606.42579000000001</v>
      </c>
      <c r="AO64" s="29">
        <v>56.832999674327027</v>
      </c>
      <c r="AP64" s="29">
        <v>78.371115766518741</v>
      </c>
      <c r="AQ64" s="29">
        <v>430.80044411638789</v>
      </c>
      <c r="AR64" s="29">
        <v>40.421230442766323</v>
      </c>
      <c r="AS64" s="452"/>
      <c r="AT64" s="29">
        <f t="shared" ref="AT64:AT69" si="198">AU64+AV64+AW64+AX64+AY64</f>
        <v>433.92343</v>
      </c>
      <c r="AU64" s="29">
        <v>40.666427059233193</v>
      </c>
      <c r="AV64" s="29">
        <v>56.077864640840708</v>
      </c>
      <c r="AW64" s="29">
        <v>308.25602973862038</v>
      </c>
      <c r="AX64" s="29">
        <v>28.923108561305714</v>
      </c>
      <c r="AY64" s="29">
        <v>0</v>
      </c>
      <c r="BA64" s="29">
        <f t="shared" ref="BA64" si="199">BB64+BC64+BD64+BE64</f>
        <v>1638.9916399999997</v>
      </c>
      <c r="BB64" s="29">
        <f t="shared" ref="BB64" si="200">W64+AC64+AI64+AO64+AU64</f>
        <v>153.60298469882807</v>
      </c>
      <c r="BC64" s="29">
        <f t="shared" ref="BC64" si="201">X64+AD64+AJ64+AP64+AV64</f>
        <v>211.81421647452763</v>
      </c>
      <c r="BD64" s="29">
        <f t="shared" ref="BD64" si="202">Y64+AE64+AK64+AQ64+AW64+AY64</f>
        <v>1164.3276688728013</v>
      </c>
      <c r="BE64" s="29">
        <f t="shared" ref="BE64" si="203">Z64+AF64+AL64+AR64+AX64</f>
        <v>109.24676995384299</v>
      </c>
      <c r="BG64" s="395">
        <f t="shared" si="176"/>
        <v>0.1597051546107297</v>
      </c>
      <c r="BH64" s="395">
        <f t="shared" si="186"/>
        <v>0.15970515461072979</v>
      </c>
      <c r="BI64" s="395">
        <f t="shared" si="187"/>
        <v>0.15970515461072973</v>
      </c>
      <c r="BJ64" s="395">
        <f t="shared" si="177"/>
        <v>0.15362366170106942</v>
      </c>
      <c r="BK64" s="395">
        <f t="shared" si="188"/>
        <v>0.27626296186811061</v>
      </c>
      <c r="BM64" s="395"/>
      <c r="BN64" s="395"/>
      <c r="BO64" s="395"/>
      <c r="BP64" s="395"/>
      <c r="BQ64" s="395"/>
    </row>
    <row r="65" spans="2:69" s="4" customFormat="1" outlineLevel="1">
      <c r="B65" s="365" t="s">
        <v>43</v>
      </c>
      <c r="C65" s="444" t="s">
        <v>160</v>
      </c>
      <c r="D65" s="33">
        <f>E65+F65+G65+H65</f>
        <v>5755.7888171199993</v>
      </c>
      <c r="E65" s="61">
        <f>SUM(E66:E69)</f>
        <v>567.51610114249934</v>
      </c>
      <c r="F65" s="61">
        <f t="shared" ref="F65:H65" si="204">SUM(F66:F69)</f>
        <v>789.22704102149214</v>
      </c>
      <c r="G65" s="61">
        <f t="shared" si="204"/>
        <v>4112.5910499120364</v>
      </c>
      <c r="H65" s="61">
        <f t="shared" si="204"/>
        <v>286.45462504397187</v>
      </c>
      <c r="J65" s="33">
        <f t="shared" si="9"/>
        <v>479.64906809333326</v>
      </c>
      <c r="K65" s="61">
        <f t="shared" si="0"/>
        <v>47.293008428541611</v>
      </c>
      <c r="L65" s="61">
        <f t="shared" si="1"/>
        <v>65.76892008512435</v>
      </c>
      <c r="M65" s="61">
        <f t="shared" si="2"/>
        <v>342.71592082600301</v>
      </c>
      <c r="N65" s="61">
        <f t="shared" si="3"/>
        <v>23.871218753664323</v>
      </c>
      <c r="P65" s="33">
        <f t="shared" si="179"/>
        <v>2398.2453404666662</v>
      </c>
      <c r="Q65" s="33">
        <f t="shared" si="179"/>
        <v>236.46504214270806</v>
      </c>
      <c r="R65" s="33">
        <f t="shared" si="179"/>
        <v>328.84460042562176</v>
      </c>
      <c r="S65" s="33">
        <f t="shared" si="179"/>
        <v>1713.579604130015</v>
      </c>
      <c r="T65" s="33">
        <f t="shared" si="179"/>
        <v>119.35609376832161</v>
      </c>
      <c r="V65" s="33">
        <f>W65+X65+Y65+Z65</f>
        <v>0</v>
      </c>
      <c r="W65" s="61">
        <f>SUM(W66:W69)</f>
        <v>0</v>
      </c>
      <c r="X65" s="61">
        <f t="shared" ref="X65:Z65" si="205">SUM(X66:X69)</f>
        <v>0</v>
      </c>
      <c r="Y65" s="61">
        <f t="shared" si="205"/>
        <v>0</v>
      </c>
      <c r="Z65" s="61">
        <f t="shared" si="205"/>
        <v>0</v>
      </c>
      <c r="AB65" s="33">
        <f>AC65+AD65+AE65+AF65</f>
        <v>4.1889700000000003</v>
      </c>
      <c r="AC65" s="61">
        <f>SUM(AC66:AC69)</f>
        <v>0.39258180402546156</v>
      </c>
      <c r="AD65" s="61">
        <f t="shared" ref="AD65:AF65" si="206">SUM(AD66:AD69)</f>
        <v>0.54135931918804781</v>
      </c>
      <c r="AE65" s="61">
        <f t="shared" si="206"/>
        <v>2.9758136381208748</v>
      </c>
      <c r="AF65" s="61">
        <f t="shared" si="206"/>
        <v>0.27921523866561621</v>
      </c>
      <c r="AH65" s="33">
        <f>AI65+AJ65+AK65+AL65</f>
        <v>14.444000000000003</v>
      </c>
      <c r="AI65" s="61">
        <f>SUM(AI66:AI69)</f>
        <v>1.353662493964809</v>
      </c>
      <c r="AJ65" s="61">
        <f t="shared" ref="AJ65:AL65" si="207">SUM(AJ66:AJ69)</f>
        <v>1.8666626894802691</v>
      </c>
      <c r="AK65" s="61">
        <f t="shared" si="207"/>
        <v>10.260911916060014</v>
      </c>
      <c r="AL65" s="61">
        <f t="shared" si="207"/>
        <v>0.96276290049490942</v>
      </c>
      <c r="AN65" s="33">
        <f>AO65+AP65+AQ65+AR65</f>
        <v>427.71004999999997</v>
      </c>
      <c r="AO65" s="61">
        <f>SUM(AO66:AO69)</f>
        <v>40.084121640599086</v>
      </c>
      <c r="AP65" s="61">
        <f t="shared" ref="AP65:AR65" si="208">SUM(AP66:AP69)</f>
        <v>55.274881767567173</v>
      </c>
      <c r="AQ65" s="61">
        <f t="shared" si="208"/>
        <v>303.84209004871389</v>
      </c>
      <c r="AR65" s="61">
        <f t="shared" si="208"/>
        <v>28.508956543119822</v>
      </c>
      <c r="AS65" s="451"/>
      <c r="AT65" s="29">
        <f t="shared" si="198"/>
        <v>589.55037000000016</v>
      </c>
      <c r="AU65" s="61">
        <f>SUM(AU66:AU69)</f>
        <v>86.29792689944756</v>
      </c>
      <c r="AV65" s="61">
        <f t="shared" ref="AV65:AX65" si="209">SUM(AV66:AV69)</f>
        <v>94.659238192877098</v>
      </c>
      <c r="AW65" s="61">
        <f t="shared" si="209"/>
        <v>373.4010518754032</v>
      </c>
      <c r="AX65" s="61">
        <f t="shared" si="209"/>
        <v>35.192153032272202</v>
      </c>
      <c r="AY65" s="61">
        <f t="shared" ref="AY65" si="210">SUM(AY66:AY69)</f>
        <v>0</v>
      </c>
      <c r="BA65" s="33">
        <f>BB65+BC65+BD65+BE65</f>
        <v>1035.8933900000002</v>
      </c>
      <c r="BB65" s="61">
        <f>SUM(BB66:BB69)</f>
        <v>128.12829283803691</v>
      </c>
      <c r="BC65" s="61">
        <f t="shared" ref="BC65:BE65" si="211">SUM(BC66:BC69)</f>
        <v>152.34214196911259</v>
      </c>
      <c r="BD65" s="61">
        <f t="shared" si="211"/>
        <v>690.47986747829805</v>
      </c>
      <c r="BE65" s="61">
        <f t="shared" si="211"/>
        <v>64.943087714552547</v>
      </c>
      <c r="BG65" s="396">
        <f t="shared" si="176"/>
        <v>0.43193803924932439</v>
      </c>
      <c r="BH65" s="396">
        <f t="shared" si="186"/>
        <v>0.54184877255857011</v>
      </c>
      <c r="BI65" s="396">
        <f t="shared" si="187"/>
        <v>0.46326484233567161</v>
      </c>
      <c r="BJ65" s="396">
        <f t="shared" si="177"/>
        <v>0.40294589513911433</v>
      </c>
      <c r="BK65" s="396">
        <f t="shared" si="188"/>
        <v>0.54411204040081562</v>
      </c>
      <c r="BM65" s="396">
        <f t="shared" ref="BM65:BM69" si="212">BA65/D65</f>
        <v>0.17997418302055182</v>
      </c>
      <c r="BN65" s="396">
        <f t="shared" ref="BN65:BN69" si="213">BB65/E65</f>
        <v>0.22577032189940421</v>
      </c>
      <c r="BO65" s="396">
        <f t="shared" ref="BO65:BO69" si="214">BC65/F65</f>
        <v>0.19302701763986319</v>
      </c>
      <c r="BP65" s="396">
        <f t="shared" ref="BP65:BP69" si="215">BD65/G65</f>
        <v>0.16789412297463094</v>
      </c>
      <c r="BQ65" s="396">
        <f t="shared" ref="BQ65:BQ69" si="216">BE65/H65</f>
        <v>0.2267133501670065</v>
      </c>
    </row>
    <row r="66" spans="2:69" s="4" customFormat="1" ht="56.25" outlineLevel="1">
      <c r="B66" s="365"/>
      <c r="C66" s="468" t="s">
        <v>380</v>
      </c>
      <c r="D66" s="29">
        <v>228.50450973599993</v>
      </c>
      <c r="E66" s="58">
        <v>36.081415530352459</v>
      </c>
      <c r="F66" s="58">
        <v>52.545424106373261</v>
      </c>
      <c r="G66" s="29">
        <f t="shared" ref="G66:G85" si="217">D66-E66-F66-H66</f>
        <v>133.2069896003955</v>
      </c>
      <c r="H66" s="58">
        <v>6.6706804988787098</v>
      </c>
      <c r="J66" s="29">
        <f t="shared" si="9"/>
        <v>19.042042477999995</v>
      </c>
      <c r="K66" s="58">
        <f t="shared" si="0"/>
        <v>3.0067846275293717</v>
      </c>
      <c r="L66" s="58">
        <f t="shared" si="1"/>
        <v>4.378785342197772</v>
      </c>
      <c r="M66" s="29">
        <f t="shared" si="2"/>
        <v>11.100582466699626</v>
      </c>
      <c r="N66" s="58">
        <f t="shared" si="3"/>
        <v>0.55589004157322586</v>
      </c>
      <c r="P66" s="29">
        <f t="shared" ref="P66:P69" si="218">J66*5</f>
        <v>95.210212389999981</v>
      </c>
      <c r="Q66" s="29">
        <f t="shared" ref="Q66:Q69" si="219">K66*5</f>
        <v>15.033923137646859</v>
      </c>
      <c r="R66" s="29">
        <f t="shared" ref="R66:R69" si="220">L66*5</f>
        <v>21.893926710988861</v>
      </c>
      <c r="S66" s="29">
        <f t="shared" ref="S66:S69" si="221">M66*5</f>
        <v>55.502912333498131</v>
      </c>
      <c r="T66" s="29">
        <f t="shared" ref="T66:T69" si="222">N66*5</f>
        <v>2.7794502078661294</v>
      </c>
      <c r="V66" s="29">
        <f t="shared" ref="V66:V69" si="223">W66+X66+Y66+Z66</f>
        <v>0</v>
      </c>
      <c r="W66" s="58">
        <v>0</v>
      </c>
      <c r="X66" s="58">
        <v>0</v>
      </c>
      <c r="Y66" s="29">
        <v>0</v>
      </c>
      <c r="Z66" s="58">
        <v>0</v>
      </c>
      <c r="AB66" s="29">
        <f t="shared" ref="AB66:AB69" si="224">AC66+AD66+AE66+AF66</f>
        <v>4.1889700000000003</v>
      </c>
      <c r="AC66" s="58">
        <v>0.39258180402546156</v>
      </c>
      <c r="AD66" s="58">
        <v>0.54135931918804781</v>
      </c>
      <c r="AE66" s="29">
        <v>2.9758136381208748</v>
      </c>
      <c r="AF66" s="58">
        <v>0.27921523866561621</v>
      </c>
      <c r="AH66" s="29">
        <f t="shared" ref="AH66:AH69" si="225">AI66+AJ66+AK66+AL66</f>
        <v>14.444000000000003</v>
      </c>
      <c r="AI66" s="58">
        <v>1.353662493964809</v>
      </c>
      <c r="AJ66" s="58">
        <v>1.8666626894802691</v>
      </c>
      <c r="AK66" s="29">
        <v>10.260911916060014</v>
      </c>
      <c r="AL66" s="58">
        <v>0.96276290049490942</v>
      </c>
      <c r="AN66" s="29">
        <f t="shared" ref="AN66:AN69" si="226">AO66+AP66+AQ66+AR66</f>
        <v>14.444469999999999</v>
      </c>
      <c r="AO66" s="58">
        <v>1.353706541415111</v>
      </c>
      <c r="AP66" s="58">
        <v>1.8667234296813251</v>
      </c>
      <c r="AQ66" s="29">
        <v>10.261245800621113</v>
      </c>
      <c r="AR66" s="58">
        <v>0.96279422828244965</v>
      </c>
      <c r="AS66" s="452"/>
      <c r="AT66" s="29">
        <f t="shared" si="198"/>
        <v>14.444469999999999</v>
      </c>
      <c r="AU66" s="58">
        <v>1.353706541415111</v>
      </c>
      <c r="AV66" s="58">
        <v>1.8667234296813251</v>
      </c>
      <c r="AW66" s="29">
        <v>10.261245800621113</v>
      </c>
      <c r="AX66" s="58">
        <v>0.96279422828244965</v>
      </c>
      <c r="AY66" s="58">
        <v>0</v>
      </c>
      <c r="BA66" s="29">
        <f t="shared" ref="BA66:BA69" si="227">BB66+BC66+BD66+BE66</f>
        <v>47.521909999999998</v>
      </c>
      <c r="BB66" s="29">
        <f t="shared" ref="BB66:BB69" si="228">W66+AC66+AI66+AO66+AU66</f>
        <v>4.4536573808204922</v>
      </c>
      <c r="BC66" s="29">
        <f t="shared" ref="BC66:BC69" si="229">X66+AD66+AJ66+AP66+AV66</f>
        <v>6.1414688680309677</v>
      </c>
      <c r="BD66" s="29">
        <f t="shared" ref="BD66:BD69" si="230">Y66+AE66+AK66+AQ66+AW66+AY66</f>
        <v>33.759217155423116</v>
      </c>
      <c r="BE66" s="29">
        <f t="shared" ref="BE66:BE69" si="231">Z66+AF66+AL66+AR66+AX66</f>
        <v>3.1675665957254249</v>
      </c>
      <c r="BG66" s="395">
        <f t="shared" si="176"/>
        <v>0.49912618412550952</v>
      </c>
      <c r="BH66" s="395">
        <f t="shared" si="186"/>
        <v>0.29624053149959018</v>
      </c>
      <c r="BI66" s="395">
        <f t="shared" si="187"/>
        <v>0.28051015923737793</v>
      </c>
      <c r="BJ66" s="395">
        <f t="shared" si="177"/>
        <v>0.6082422657855403</v>
      </c>
      <c r="BK66" s="395">
        <f t="shared" si="188"/>
        <v>1.1396378272080163</v>
      </c>
      <c r="BM66" s="395">
        <f t="shared" si="212"/>
        <v>0.207969243385629</v>
      </c>
      <c r="BN66" s="395">
        <f t="shared" si="213"/>
        <v>0.12343355479149593</v>
      </c>
      <c r="BO66" s="395">
        <f t="shared" si="214"/>
        <v>0.11687923301557415</v>
      </c>
      <c r="BP66" s="395">
        <f t="shared" si="215"/>
        <v>0.25343427741064184</v>
      </c>
      <c r="BQ66" s="395">
        <f t="shared" si="216"/>
        <v>0.47484909467000685</v>
      </c>
    </row>
    <row r="67" spans="2:69" s="4" customFormat="1" ht="56.25" outlineLevel="1">
      <c r="B67" s="365"/>
      <c r="C67" s="469" t="s">
        <v>381</v>
      </c>
      <c r="D67" s="29">
        <v>148.92859858399999</v>
      </c>
      <c r="E67" s="58">
        <v>27.386056270961983</v>
      </c>
      <c r="F67" s="58">
        <v>41.612665629452472</v>
      </c>
      <c r="G67" s="29">
        <f t="shared" si="217"/>
        <v>7.3878766835855174</v>
      </c>
      <c r="H67" s="58">
        <v>72.542000000000002</v>
      </c>
      <c r="J67" s="29">
        <f t="shared" si="9"/>
        <v>12.410716548666665</v>
      </c>
      <c r="K67" s="58">
        <f t="shared" si="0"/>
        <v>2.2821713559134986</v>
      </c>
      <c r="L67" s="58">
        <f t="shared" si="1"/>
        <v>3.4677221357877062</v>
      </c>
      <c r="M67" s="29">
        <f t="shared" si="2"/>
        <v>0.61565639029879315</v>
      </c>
      <c r="N67" s="58">
        <f t="shared" si="3"/>
        <v>6.0451666666666668</v>
      </c>
      <c r="P67" s="29">
        <f t="shared" si="218"/>
        <v>62.053582743333322</v>
      </c>
      <c r="Q67" s="29">
        <f t="shared" si="219"/>
        <v>11.410856779567492</v>
      </c>
      <c r="R67" s="29">
        <f t="shared" si="220"/>
        <v>17.338610678938529</v>
      </c>
      <c r="S67" s="29">
        <f t="shared" si="221"/>
        <v>3.0782819514939659</v>
      </c>
      <c r="T67" s="29">
        <f t="shared" si="222"/>
        <v>30.225833333333334</v>
      </c>
      <c r="V67" s="29">
        <f t="shared" si="223"/>
        <v>0</v>
      </c>
      <c r="W67" s="58">
        <v>0</v>
      </c>
      <c r="X67" s="58">
        <v>0</v>
      </c>
      <c r="Y67" s="29">
        <v>0</v>
      </c>
      <c r="Z67" s="58">
        <v>0</v>
      </c>
      <c r="AB67" s="29">
        <f t="shared" si="224"/>
        <v>0</v>
      </c>
      <c r="AC67" s="58">
        <v>0</v>
      </c>
      <c r="AD67" s="58">
        <v>0</v>
      </c>
      <c r="AE67" s="29">
        <v>0</v>
      </c>
      <c r="AF67" s="58">
        <v>0</v>
      </c>
      <c r="AH67" s="29">
        <f t="shared" si="225"/>
        <v>0</v>
      </c>
      <c r="AI67" s="58">
        <v>0</v>
      </c>
      <c r="AJ67" s="58">
        <v>0</v>
      </c>
      <c r="AK67" s="29">
        <v>0</v>
      </c>
      <c r="AL67" s="58">
        <v>0</v>
      </c>
      <c r="AN67" s="29">
        <f t="shared" si="226"/>
        <v>0</v>
      </c>
      <c r="AO67" s="58">
        <v>0</v>
      </c>
      <c r="AP67" s="58">
        <v>0</v>
      </c>
      <c r="AQ67" s="29">
        <v>0</v>
      </c>
      <c r="AR67" s="58">
        <v>0</v>
      </c>
      <c r="AS67" s="452"/>
      <c r="AT67" s="29">
        <f t="shared" si="198"/>
        <v>89.179410000000004</v>
      </c>
      <c r="AU67" s="58">
        <v>39.404171594742088</v>
      </c>
      <c r="AV67" s="58">
        <v>29.994062207594339</v>
      </c>
      <c r="AW67" s="29">
        <v>17.941183008441939</v>
      </c>
      <c r="AX67" s="58">
        <v>1.8399931892216386</v>
      </c>
      <c r="AY67" s="58">
        <v>0</v>
      </c>
      <c r="BA67" s="29">
        <f t="shared" si="227"/>
        <v>89.179410000000004</v>
      </c>
      <c r="BB67" s="29">
        <f t="shared" si="228"/>
        <v>39.404171594742088</v>
      </c>
      <c r="BC67" s="29">
        <f t="shared" si="229"/>
        <v>29.994062207594339</v>
      </c>
      <c r="BD67" s="29">
        <f t="shared" si="230"/>
        <v>17.941183008441939</v>
      </c>
      <c r="BE67" s="29">
        <f t="shared" si="231"/>
        <v>1.8399931892216386</v>
      </c>
      <c r="BG67" s="395">
        <f t="shared" si="176"/>
        <v>1.4371355537820405</v>
      </c>
      <c r="BH67" s="395">
        <f t="shared" si="186"/>
        <v>3.4532176116082698</v>
      </c>
      <c r="BI67" s="395">
        <f t="shared" si="187"/>
        <v>1.7298999765897378</v>
      </c>
      <c r="BJ67" s="395">
        <f t="shared" si="177"/>
        <v>5.828310496293116</v>
      </c>
      <c r="BK67" s="395">
        <f t="shared" si="188"/>
        <v>6.0874853934712751E-2</v>
      </c>
      <c r="BM67" s="395">
        <f t="shared" si="212"/>
        <v>0.59880648074251686</v>
      </c>
      <c r="BN67" s="395">
        <f t="shared" si="213"/>
        <v>1.4388406715034456</v>
      </c>
      <c r="BO67" s="395">
        <f t="shared" si="214"/>
        <v>0.72079165691239067</v>
      </c>
      <c r="BP67" s="395">
        <f t="shared" si="215"/>
        <v>2.4284627067887987</v>
      </c>
      <c r="BQ67" s="395">
        <f t="shared" si="216"/>
        <v>2.5364522472796979E-2</v>
      </c>
    </row>
    <row r="68" spans="2:69" s="4" customFormat="1" outlineLevel="1">
      <c r="B68" s="463"/>
      <c r="C68" s="445" t="s">
        <v>91</v>
      </c>
      <c r="D68" s="29">
        <v>4257.4697088000003</v>
      </c>
      <c r="E68" s="58">
        <v>399.00145832136781</v>
      </c>
      <c r="F68" s="58">
        <v>550.21184277273505</v>
      </c>
      <c r="G68" s="29">
        <f t="shared" si="217"/>
        <v>3144.2050974048898</v>
      </c>
      <c r="H68" s="58">
        <v>164.05131030100745</v>
      </c>
      <c r="J68" s="29">
        <f t="shared" si="9"/>
        <v>354.7891424</v>
      </c>
      <c r="K68" s="58">
        <f t="shared" si="0"/>
        <v>33.250121526780653</v>
      </c>
      <c r="L68" s="58">
        <f t="shared" si="1"/>
        <v>45.850986897727921</v>
      </c>
      <c r="M68" s="29">
        <f t="shared" si="2"/>
        <v>262.01709145040746</v>
      </c>
      <c r="N68" s="58">
        <f t="shared" si="3"/>
        <v>13.670942525083953</v>
      </c>
      <c r="P68" s="29">
        <f t="shared" si="218"/>
        <v>1773.945712</v>
      </c>
      <c r="Q68" s="29">
        <f t="shared" si="219"/>
        <v>166.25060763390326</v>
      </c>
      <c r="R68" s="29">
        <f t="shared" si="220"/>
        <v>229.25493448863961</v>
      </c>
      <c r="S68" s="29">
        <f t="shared" si="221"/>
        <v>1310.0854572520373</v>
      </c>
      <c r="T68" s="29">
        <f t="shared" si="222"/>
        <v>68.354712625419765</v>
      </c>
      <c r="V68" s="29">
        <f t="shared" si="223"/>
        <v>0</v>
      </c>
      <c r="W68" s="58">
        <v>0</v>
      </c>
      <c r="X68" s="58">
        <v>0</v>
      </c>
      <c r="Y68" s="29">
        <v>0</v>
      </c>
      <c r="Z68" s="58">
        <v>0</v>
      </c>
      <c r="AB68" s="29">
        <f t="shared" si="224"/>
        <v>0</v>
      </c>
      <c r="AC68" s="58">
        <v>0</v>
      </c>
      <c r="AD68" s="58">
        <v>0</v>
      </c>
      <c r="AE68" s="29">
        <v>0</v>
      </c>
      <c r="AF68" s="58">
        <v>0</v>
      </c>
      <c r="AH68" s="29">
        <f t="shared" si="225"/>
        <v>0</v>
      </c>
      <c r="AI68" s="58">
        <v>0</v>
      </c>
      <c r="AJ68" s="58">
        <v>0</v>
      </c>
      <c r="AK68" s="29">
        <v>0</v>
      </c>
      <c r="AL68" s="58">
        <v>0</v>
      </c>
      <c r="AN68" s="29">
        <f t="shared" si="226"/>
        <v>370.27268999999995</v>
      </c>
      <c r="AO68" s="58">
        <v>34.701208321272404</v>
      </c>
      <c r="AP68" s="58">
        <v>47.851994970679442</v>
      </c>
      <c r="AQ68" s="29">
        <v>263.0390097627108</v>
      </c>
      <c r="AR68" s="58">
        <v>24.680476945337332</v>
      </c>
      <c r="AS68" s="452"/>
      <c r="AT68" s="29">
        <f t="shared" si="198"/>
        <v>392.40300000000002</v>
      </c>
      <c r="AU68" s="58">
        <v>36.775216257219121</v>
      </c>
      <c r="AV68" s="58">
        <v>50.711993861819856</v>
      </c>
      <c r="AW68" s="29">
        <v>278.76022006353486</v>
      </c>
      <c r="AX68" s="58">
        <v>26.155569817426194</v>
      </c>
      <c r="AY68" s="58">
        <v>0</v>
      </c>
      <c r="BA68" s="29">
        <f t="shared" si="227"/>
        <v>762.67569000000003</v>
      </c>
      <c r="BB68" s="29">
        <f t="shared" si="228"/>
        <v>71.476424578491532</v>
      </c>
      <c r="BC68" s="29">
        <f t="shared" si="229"/>
        <v>98.563988832499291</v>
      </c>
      <c r="BD68" s="29">
        <f t="shared" si="230"/>
        <v>541.79922982624566</v>
      </c>
      <c r="BE68" s="29">
        <f t="shared" si="231"/>
        <v>50.83604676276353</v>
      </c>
      <c r="BG68" s="395">
        <f t="shared" si="176"/>
        <v>0.42993180954795762</v>
      </c>
      <c r="BH68" s="395">
        <f t="shared" si="186"/>
        <v>0.42993180954795768</v>
      </c>
      <c r="BI68" s="395">
        <f t="shared" si="187"/>
        <v>0.42993180954795757</v>
      </c>
      <c r="BJ68" s="395">
        <f t="shared" si="177"/>
        <v>0.41356021992847225</v>
      </c>
      <c r="BK68" s="395">
        <f t="shared" si="188"/>
        <v>0.74370946508607816</v>
      </c>
      <c r="BM68" s="395">
        <f t="shared" si="212"/>
        <v>0.17913825397831565</v>
      </c>
      <c r="BN68" s="395">
        <f t="shared" si="213"/>
        <v>0.1791382539783157</v>
      </c>
      <c r="BO68" s="395">
        <f t="shared" si="214"/>
        <v>0.17913825397831565</v>
      </c>
      <c r="BP68" s="395">
        <f t="shared" si="215"/>
        <v>0.17231675830353008</v>
      </c>
      <c r="BQ68" s="395">
        <f t="shared" si="216"/>
        <v>0.30987894378586589</v>
      </c>
    </row>
    <row r="69" spans="2:69" s="4" customFormat="1" outlineLevel="1">
      <c r="B69" s="463"/>
      <c r="C69" s="445" t="s">
        <v>129</v>
      </c>
      <c r="D69" s="29">
        <v>1120.886</v>
      </c>
      <c r="E69" s="58">
        <v>105.04717101981713</v>
      </c>
      <c r="F69" s="58">
        <v>144.85710851293135</v>
      </c>
      <c r="G69" s="29">
        <f t="shared" si="217"/>
        <v>827.79108622316585</v>
      </c>
      <c r="H69" s="58">
        <v>43.190634244085736</v>
      </c>
      <c r="J69" s="29">
        <f t="shared" si="9"/>
        <v>93.407166666666669</v>
      </c>
      <c r="K69" s="58">
        <f t="shared" si="0"/>
        <v>8.753930918318094</v>
      </c>
      <c r="L69" s="58">
        <f t="shared" si="1"/>
        <v>12.071425709410946</v>
      </c>
      <c r="M69" s="29">
        <f t="shared" si="2"/>
        <v>68.982590518597149</v>
      </c>
      <c r="N69" s="58">
        <f t="shared" si="3"/>
        <v>3.599219520340478</v>
      </c>
      <c r="P69" s="29">
        <f t="shared" si="218"/>
        <v>467.03583333333336</v>
      </c>
      <c r="Q69" s="29">
        <f t="shared" si="219"/>
        <v>43.769654591590466</v>
      </c>
      <c r="R69" s="29">
        <f t="shared" si="220"/>
        <v>60.357128547054728</v>
      </c>
      <c r="S69" s="29">
        <f t="shared" si="221"/>
        <v>344.91295259298573</v>
      </c>
      <c r="T69" s="29">
        <f t="shared" si="222"/>
        <v>17.996097601702388</v>
      </c>
      <c r="V69" s="29">
        <f t="shared" si="223"/>
        <v>0</v>
      </c>
      <c r="W69" s="58">
        <v>0</v>
      </c>
      <c r="X69" s="58">
        <v>0</v>
      </c>
      <c r="Y69" s="29">
        <v>0</v>
      </c>
      <c r="Z69" s="58">
        <v>0</v>
      </c>
      <c r="AB69" s="29">
        <f t="shared" si="224"/>
        <v>0</v>
      </c>
      <c r="AC69" s="58">
        <v>0</v>
      </c>
      <c r="AD69" s="58">
        <v>0</v>
      </c>
      <c r="AE69" s="29">
        <v>0</v>
      </c>
      <c r="AF69" s="58">
        <v>0</v>
      </c>
      <c r="AH69" s="29">
        <f t="shared" si="225"/>
        <v>0</v>
      </c>
      <c r="AI69" s="58">
        <v>0</v>
      </c>
      <c r="AJ69" s="58">
        <v>0</v>
      </c>
      <c r="AK69" s="29">
        <v>0</v>
      </c>
      <c r="AL69" s="58">
        <v>0</v>
      </c>
      <c r="AN69" s="29">
        <f t="shared" si="226"/>
        <v>42.992890000000003</v>
      </c>
      <c r="AO69" s="58">
        <v>4.0292067779115692</v>
      </c>
      <c r="AP69" s="58">
        <v>5.5561633672064081</v>
      </c>
      <c r="AQ69" s="29">
        <v>30.541834485381983</v>
      </c>
      <c r="AR69" s="58">
        <v>2.8656853695000404</v>
      </c>
      <c r="AS69" s="452"/>
      <c r="AT69" s="29">
        <f t="shared" si="198"/>
        <v>93.52349000000001</v>
      </c>
      <c r="AU69" s="58">
        <v>8.7648325060712331</v>
      </c>
      <c r="AV69" s="58">
        <v>12.086458693781575</v>
      </c>
      <c r="AW69" s="29">
        <v>66.438403002805288</v>
      </c>
      <c r="AX69" s="58">
        <v>6.2337957973419176</v>
      </c>
      <c r="AY69" s="58">
        <v>0</v>
      </c>
      <c r="BA69" s="29">
        <f t="shared" si="227"/>
        <v>136.51638000000003</v>
      </c>
      <c r="BB69" s="29">
        <f t="shared" si="228"/>
        <v>12.794039283982801</v>
      </c>
      <c r="BC69" s="29">
        <f t="shared" si="229"/>
        <v>17.642622060987982</v>
      </c>
      <c r="BD69" s="29">
        <f t="shared" si="230"/>
        <v>96.980237488187271</v>
      </c>
      <c r="BE69" s="29">
        <f t="shared" si="231"/>
        <v>9.099481166841958</v>
      </c>
      <c r="BG69" s="395">
        <f t="shared" si="176"/>
        <v>0.29230386676254322</v>
      </c>
      <c r="BH69" s="395">
        <f t="shared" si="186"/>
        <v>0.29230386676254333</v>
      </c>
      <c r="BI69" s="395">
        <f t="shared" si="187"/>
        <v>0.29230386676254327</v>
      </c>
      <c r="BJ69" s="395">
        <f t="shared" si="177"/>
        <v>0.28117308079940023</v>
      </c>
      <c r="BK69" s="395">
        <f t="shared" si="188"/>
        <v>0.50563635340481639</v>
      </c>
      <c r="BM69" s="395">
        <f t="shared" si="212"/>
        <v>0.12179327781772636</v>
      </c>
      <c r="BN69" s="395">
        <f t="shared" si="213"/>
        <v>0.12179327781772636</v>
      </c>
      <c r="BO69" s="395">
        <f t="shared" si="214"/>
        <v>0.12179327781772636</v>
      </c>
      <c r="BP69" s="395">
        <f t="shared" si="215"/>
        <v>0.1171554503330834</v>
      </c>
      <c r="BQ69" s="395">
        <f t="shared" si="216"/>
        <v>0.21068181391867349</v>
      </c>
    </row>
    <row r="70" spans="2:69" s="4" customFormat="1" outlineLevel="1">
      <c r="B70" s="13" t="s">
        <v>159</v>
      </c>
      <c r="C70" s="444" t="s">
        <v>44</v>
      </c>
      <c r="D70" s="33">
        <v>45499.551817243897</v>
      </c>
      <c r="E70" s="33">
        <f t="shared" ref="E70:H70" si="232">SUM(E71:E85)</f>
        <v>4004.7036997078421</v>
      </c>
      <c r="F70" s="33">
        <f t="shared" si="232"/>
        <v>5753.5309045750673</v>
      </c>
      <c r="G70" s="33">
        <f t="shared" si="217"/>
        <v>33989.003065692443</v>
      </c>
      <c r="H70" s="33">
        <f t="shared" si="232"/>
        <v>1752.3141472685454</v>
      </c>
      <c r="J70" s="33">
        <f t="shared" si="9"/>
        <v>3791.6293181036581</v>
      </c>
      <c r="K70" s="33">
        <f t="shared" ref="K70:K136" si="233">E70/12</f>
        <v>333.72530830898683</v>
      </c>
      <c r="L70" s="33">
        <f t="shared" ref="L70:L136" si="234">F70/12</f>
        <v>479.46090871458892</v>
      </c>
      <c r="M70" s="33">
        <f t="shared" ref="M70:M136" si="235">G70/12</f>
        <v>2832.416922141037</v>
      </c>
      <c r="N70" s="33">
        <f t="shared" ref="N70:N136" si="236">H70/12</f>
        <v>146.02617893904545</v>
      </c>
      <c r="P70" s="33">
        <f>J70*5</f>
        <v>18958.146590518292</v>
      </c>
      <c r="Q70" s="33">
        <f>K70*5</f>
        <v>1668.6265415449341</v>
      </c>
      <c r="R70" s="33">
        <f>L70*5</f>
        <v>2397.3045435729446</v>
      </c>
      <c r="S70" s="33">
        <f>M70*5</f>
        <v>14162.084610705186</v>
      </c>
      <c r="T70" s="33">
        <f>N70*5</f>
        <v>730.1308946952272</v>
      </c>
      <c r="V70" s="33">
        <f>W70+X70+Y70+Z70</f>
        <v>60</v>
      </c>
      <c r="W70" s="33">
        <f t="shared" ref="W70:X70" si="237">SUM(W71:W85)</f>
        <v>5.623078761969575</v>
      </c>
      <c r="X70" s="33">
        <f t="shared" si="237"/>
        <v>7.7540682199401925</v>
      </c>
      <c r="Y70" s="33">
        <f t="shared" ref="Y70:Z70" si="238">SUM(Y71:Y85)</f>
        <v>42.623560991664412</v>
      </c>
      <c r="Z70" s="33">
        <f t="shared" si="238"/>
        <v>3.9992920264258212</v>
      </c>
      <c r="AB70" s="33">
        <f>AC70+AD70+AE70+AF70</f>
        <v>106.94957000000001</v>
      </c>
      <c r="AC70" s="33">
        <f t="shared" ref="AC70:AD70" si="239">SUM(AC71:AC85)</f>
        <v>9.3299594190875244</v>
      </c>
      <c r="AD70" s="33">
        <f t="shared" si="239"/>
        <v>12.86575288864319</v>
      </c>
      <c r="AE70" s="33">
        <f t="shared" ref="AE70:AF70" si="240">SUM(AE71:AE85)</f>
        <v>78.118127713882217</v>
      </c>
      <c r="AF70" s="33">
        <f t="shared" si="240"/>
        <v>6.6357299783870811</v>
      </c>
      <c r="AH70" s="33">
        <f>AI70+AJ70+AK70+AL70</f>
        <v>1133.4327799999999</v>
      </c>
      <c r="AI70" s="33">
        <f t="shared" ref="AI70:AJ70" si="241">SUM(AI71:AI85)</f>
        <v>105.19981699024916</v>
      </c>
      <c r="AJ70" s="33">
        <f t="shared" si="241"/>
        <v>145.06760303351928</v>
      </c>
      <c r="AK70" s="33">
        <f t="shared" ref="AK70:AL70" si="242">SUM(AK71:AK85)</f>
        <v>808.34428648957919</v>
      </c>
      <c r="AL70" s="33">
        <f t="shared" si="242"/>
        <v>74.821073486652239</v>
      </c>
      <c r="AN70" s="33">
        <f>AO70+AP70+AQ70+AR70</f>
        <v>1356.0809999999999</v>
      </c>
      <c r="AO70" s="33">
        <f t="shared" ref="AO70:AP70" si="243">SUM(AO71:AO85)</f>
        <v>127.08917117684103</v>
      </c>
      <c r="AP70" s="33">
        <f t="shared" si="243"/>
        <v>175.25240976274523</v>
      </c>
      <c r="AQ70" s="33">
        <f t="shared" ref="AQ70:AR70" si="244">SUM(AQ71:AQ85)</f>
        <v>963.35002021895434</v>
      </c>
      <c r="AR70" s="33">
        <f t="shared" si="244"/>
        <v>90.389398841459226</v>
      </c>
      <c r="AS70" s="451"/>
      <c r="AT70" s="33">
        <f>AU70+AV70+AW70+AX70+AY70</f>
        <v>2975.6838957142895</v>
      </c>
      <c r="AU70" s="33">
        <f t="shared" ref="AU70:AV70" si="245">SUM(AU71:AU85)</f>
        <v>276.86173952522176</v>
      </c>
      <c r="AV70" s="33">
        <f t="shared" si="245"/>
        <v>381.78458930529519</v>
      </c>
      <c r="AW70" s="33">
        <f t="shared" ref="AW70:AX70" si="246">SUM(AW71:AW85)</f>
        <v>2120.1256981057213</v>
      </c>
      <c r="AX70" s="33">
        <f t="shared" si="246"/>
        <v>196.91186877805166</v>
      </c>
      <c r="AY70" s="33">
        <f t="shared" ref="AY70" si="247">SUM(AY71:AY85)</f>
        <v>0</v>
      </c>
      <c r="BA70" s="33">
        <f>BB70+BC70+BD70+BE70</f>
        <v>5632.1472457142891</v>
      </c>
      <c r="BB70" s="33">
        <f>SUM(BB71:BB85)</f>
        <v>524.10376587336907</v>
      </c>
      <c r="BC70" s="33">
        <f t="shared" ref="BC70:BE70" si="248">SUM(BC71:BC85)</f>
        <v>722.72442321014296</v>
      </c>
      <c r="BD70" s="33">
        <f t="shared" si="248"/>
        <v>4012.5616935198013</v>
      </c>
      <c r="BE70" s="33">
        <f t="shared" si="248"/>
        <v>372.75736311097603</v>
      </c>
      <c r="BG70" s="396">
        <f t="shared" si="176"/>
        <v>0.29708322059979986</v>
      </c>
      <c r="BH70" s="396">
        <f t="shared" si="186"/>
        <v>0.31409290984195676</v>
      </c>
      <c r="BI70" s="396">
        <f t="shared" si="187"/>
        <v>0.30147376358491101</v>
      </c>
      <c r="BJ70" s="396">
        <f t="shared" si="177"/>
        <v>0.28333128941248431</v>
      </c>
      <c r="BK70" s="396">
        <f t="shared" si="188"/>
        <v>0.5105349819042696</v>
      </c>
      <c r="BM70" s="396">
        <f t="shared" ref="BM70:BM85" si="249">BA70/D70</f>
        <v>0.12378467524991661</v>
      </c>
      <c r="BN70" s="396">
        <f t="shared" ref="BN70:BN87" si="250">BB70/E70</f>
        <v>0.13087204576748196</v>
      </c>
      <c r="BO70" s="396">
        <f t="shared" ref="BO70:BO87" si="251">BC70/F70</f>
        <v>0.12561406816037959</v>
      </c>
      <c r="BP70" s="396">
        <f t="shared" ref="BP70:BP87" si="252">BD70/G70</f>
        <v>0.11805470392186848</v>
      </c>
      <c r="BQ70" s="396">
        <f t="shared" ref="BQ70:BQ87" si="253">BE70/H70</f>
        <v>0.21272290912677902</v>
      </c>
    </row>
    <row r="71" spans="2:69" s="4" customFormat="1" outlineLevel="1">
      <c r="B71" s="13"/>
      <c r="C71" s="445" t="s">
        <v>182</v>
      </c>
      <c r="D71" s="29">
        <v>1947.0000000000002</v>
      </c>
      <c r="E71" s="29">
        <v>182.46890582591269</v>
      </c>
      <c r="F71" s="29">
        <v>251.61951373705924</v>
      </c>
      <c r="G71" s="29">
        <f t="shared" si="217"/>
        <v>1437.8886388771953</v>
      </c>
      <c r="H71" s="29">
        <v>75.022941559832972</v>
      </c>
      <c r="J71" s="29">
        <f t="shared" ref="J71:J133" si="254">D71/12</f>
        <v>162.25000000000003</v>
      </c>
      <c r="K71" s="29">
        <f t="shared" si="233"/>
        <v>15.20574215215939</v>
      </c>
      <c r="L71" s="29">
        <f t="shared" si="234"/>
        <v>20.968292811421602</v>
      </c>
      <c r="M71" s="29">
        <f t="shared" si="235"/>
        <v>119.82405323976627</v>
      </c>
      <c r="N71" s="29">
        <f t="shared" si="236"/>
        <v>6.251911796652748</v>
      </c>
      <c r="P71" s="29">
        <f t="shared" ref="P71:P85" si="255">J71*5</f>
        <v>811.25000000000011</v>
      </c>
      <c r="Q71" s="29">
        <f t="shared" ref="Q71:Q85" si="256">K71*5</f>
        <v>76.028710760796955</v>
      </c>
      <c r="R71" s="29">
        <f t="shared" ref="R71:R85" si="257">L71*5</f>
        <v>104.84146405710801</v>
      </c>
      <c r="S71" s="29">
        <f t="shared" ref="S71:S85" si="258">M71*5</f>
        <v>599.12026619883136</v>
      </c>
      <c r="T71" s="29">
        <f t="shared" ref="T71:T85" si="259">N71*5</f>
        <v>31.259558983263741</v>
      </c>
      <c r="V71" s="29">
        <f t="shared" ref="V71:V85" si="260">W71+X71+Y71+Z71</f>
        <v>0</v>
      </c>
      <c r="W71" s="29">
        <v>0</v>
      </c>
      <c r="X71" s="29">
        <v>0</v>
      </c>
      <c r="Y71" s="29">
        <v>0</v>
      </c>
      <c r="Z71" s="29">
        <v>0</v>
      </c>
      <c r="AB71" s="29">
        <f t="shared" ref="AB71:AB85" si="261">AC71+AD71+AE71+AF71</f>
        <v>0</v>
      </c>
      <c r="AC71" s="29">
        <v>0</v>
      </c>
      <c r="AD71" s="29">
        <v>0</v>
      </c>
      <c r="AE71" s="29">
        <v>0</v>
      </c>
      <c r="AF71" s="29">
        <v>0</v>
      </c>
      <c r="AH71" s="29">
        <f t="shared" ref="AH71:AH85" si="262">AI71+AJ71+AK71+AL71</f>
        <v>0</v>
      </c>
      <c r="AI71" s="29">
        <v>0</v>
      </c>
      <c r="AJ71" s="29">
        <v>0</v>
      </c>
      <c r="AK71" s="29">
        <v>0</v>
      </c>
      <c r="AL71" s="29">
        <v>0</v>
      </c>
      <c r="AN71" s="29">
        <f t="shared" ref="AN71:AN85" si="263">AO71+AP71+AQ71+AR71</f>
        <v>0</v>
      </c>
      <c r="AO71" s="29">
        <v>0</v>
      </c>
      <c r="AP71" s="29">
        <v>0</v>
      </c>
      <c r="AQ71" s="29">
        <v>0</v>
      </c>
      <c r="AR71" s="29">
        <v>0</v>
      </c>
      <c r="AS71" s="452"/>
      <c r="AT71" s="29">
        <f t="shared" ref="AT71:AT85" si="264">AU71+AV71+AW71+AX71+AY71</f>
        <v>1395.7142857142901</v>
      </c>
      <c r="AU71" s="29">
        <v>130.803522629626</v>
      </c>
      <c r="AV71" s="29">
        <v>180.37439644956171</v>
      </c>
      <c r="AW71" s="29">
        <v>991.50521640133957</v>
      </c>
      <c r="AX71" s="29">
        <v>93.031150233762844</v>
      </c>
      <c r="AY71" s="29">
        <v>0</v>
      </c>
      <c r="BA71" s="29">
        <f t="shared" ref="BA71:BA85" si="265">BB71+BC71+BD71+BE71</f>
        <v>1395.7142857142901</v>
      </c>
      <c r="BB71" s="29">
        <f t="shared" ref="BB71:BB85" si="266">W71+AC71+AI71+AO71+AU71</f>
        <v>130.803522629626</v>
      </c>
      <c r="BC71" s="29">
        <f t="shared" ref="BC71:BC85" si="267">X71+AD71+AJ71+AP71+AV71</f>
        <v>180.37439644956171</v>
      </c>
      <c r="BD71" s="29">
        <f t="shared" ref="BD71:BD85" si="268">Y71+AE71+AK71+AQ71+AW71+AY71</f>
        <v>991.50521640133957</v>
      </c>
      <c r="BE71" s="29">
        <f t="shared" ref="BE71:BE85" si="269">Z71+AF71+AL71+AR71+AX71</f>
        <v>93.031150233762844</v>
      </c>
      <c r="BG71" s="395">
        <f t="shared" si="176"/>
        <v>1.7204490424829459</v>
      </c>
      <c r="BH71" s="395">
        <f t="shared" si="186"/>
        <v>1.7204490424829464</v>
      </c>
      <c r="BI71" s="395">
        <f t="shared" si="187"/>
        <v>1.7204490424829464</v>
      </c>
      <c r="BJ71" s="395">
        <f t="shared" si="177"/>
        <v>1.6549351980563558</v>
      </c>
      <c r="BK71" s="395">
        <f t="shared" si="188"/>
        <v>2.9760864599392267</v>
      </c>
      <c r="BM71" s="395">
        <f t="shared" si="249"/>
        <v>0.71685376770122755</v>
      </c>
      <c r="BN71" s="395">
        <f t="shared" si="250"/>
        <v>0.71685376770122766</v>
      </c>
      <c r="BO71" s="395">
        <f t="shared" si="251"/>
        <v>0.71685376770122766</v>
      </c>
      <c r="BP71" s="395">
        <f t="shared" si="252"/>
        <v>0.68955633252348159</v>
      </c>
      <c r="BQ71" s="395">
        <f t="shared" si="253"/>
        <v>1.240036024974678</v>
      </c>
    </row>
    <row r="72" spans="2:69" s="4" customFormat="1" outlineLevel="1">
      <c r="B72" s="13"/>
      <c r="C72" s="445" t="s">
        <v>104</v>
      </c>
      <c r="D72" s="29">
        <v>1455</v>
      </c>
      <c r="E72" s="50">
        <v>136.35965997776216</v>
      </c>
      <c r="F72" s="50">
        <v>188.03615433354966</v>
      </c>
      <c r="G72" s="29">
        <f t="shared" si="217"/>
        <v>1074.5392755861935</v>
      </c>
      <c r="H72" s="50">
        <v>56.064910102494586</v>
      </c>
      <c r="J72" s="29">
        <f t="shared" si="254"/>
        <v>121.25</v>
      </c>
      <c r="K72" s="50">
        <f t="shared" si="233"/>
        <v>11.363304998146846</v>
      </c>
      <c r="L72" s="50">
        <f t="shared" si="234"/>
        <v>15.669679527795806</v>
      </c>
      <c r="M72" s="29">
        <f t="shared" si="235"/>
        <v>89.544939632182789</v>
      </c>
      <c r="N72" s="50">
        <f t="shared" si="236"/>
        <v>4.6720758418745492</v>
      </c>
      <c r="P72" s="29">
        <f t="shared" si="255"/>
        <v>606.25</v>
      </c>
      <c r="Q72" s="29">
        <f t="shared" si="256"/>
        <v>56.81652499073423</v>
      </c>
      <c r="R72" s="29">
        <f t="shared" si="257"/>
        <v>78.348397638979023</v>
      </c>
      <c r="S72" s="29">
        <f t="shared" si="258"/>
        <v>447.72469816091393</v>
      </c>
      <c r="T72" s="29">
        <f t="shared" si="259"/>
        <v>23.360379209372745</v>
      </c>
      <c r="V72" s="29">
        <f t="shared" si="260"/>
        <v>0</v>
      </c>
      <c r="W72" s="50">
        <v>0</v>
      </c>
      <c r="X72" s="50">
        <v>0</v>
      </c>
      <c r="Y72" s="29">
        <v>0</v>
      </c>
      <c r="Z72" s="50">
        <v>0</v>
      </c>
      <c r="AB72" s="29">
        <f t="shared" si="261"/>
        <v>0</v>
      </c>
      <c r="AC72" s="50">
        <v>0</v>
      </c>
      <c r="AD72" s="50">
        <v>0</v>
      </c>
      <c r="AE72" s="29">
        <v>0</v>
      </c>
      <c r="AF72" s="50">
        <v>0</v>
      </c>
      <c r="AH72" s="29">
        <f t="shared" si="262"/>
        <v>0</v>
      </c>
      <c r="AI72" s="50">
        <v>0</v>
      </c>
      <c r="AJ72" s="50">
        <v>0</v>
      </c>
      <c r="AK72" s="29">
        <v>0</v>
      </c>
      <c r="AL72" s="50">
        <v>0</v>
      </c>
      <c r="AN72" s="29">
        <f t="shared" si="263"/>
        <v>884.44599999999991</v>
      </c>
      <c r="AO72" s="50">
        <v>82.888491978482364</v>
      </c>
      <c r="AP72" s="50">
        <v>114.30091034755371</v>
      </c>
      <c r="AQ72" s="29">
        <v>628.30396708056026</v>
      </c>
      <c r="AR72" s="50">
        <v>58.952630593403526</v>
      </c>
      <c r="AS72" s="453"/>
      <c r="AT72" s="29">
        <f t="shared" si="264"/>
        <v>0</v>
      </c>
      <c r="AU72" s="50">
        <v>0</v>
      </c>
      <c r="AV72" s="50">
        <v>0</v>
      </c>
      <c r="AW72" s="29">
        <v>0</v>
      </c>
      <c r="AX72" s="50">
        <v>0</v>
      </c>
      <c r="AY72" s="50">
        <v>0</v>
      </c>
      <c r="BA72" s="29">
        <f t="shared" si="265"/>
        <v>884.44599999999991</v>
      </c>
      <c r="BB72" s="29">
        <f t="shared" si="266"/>
        <v>82.888491978482364</v>
      </c>
      <c r="BC72" s="29">
        <f t="shared" si="267"/>
        <v>114.30091034755371</v>
      </c>
      <c r="BD72" s="29">
        <f t="shared" si="268"/>
        <v>628.30396708056026</v>
      </c>
      <c r="BE72" s="29">
        <f t="shared" si="269"/>
        <v>58.952630593403526</v>
      </c>
      <c r="BG72" s="395">
        <f t="shared" si="176"/>
        <v>1.45888</v>
      </c>
      <c r="BH72" s="395">
        <f t="shared" si="186"/>
        <v>1.4588800000000002</v>
      </c>
      <c r="BI72" s="395">
        <f t="shared" si="187"/>
        <v>1.45888</v>
      </c>
      <c r="BJ72" s="395">
        <f t="shared" si="177"/>
        <v>1.4033265747040504</v>
      </c>
      <c r="BK72" s="395">
        <f t="shared" si="188"/>
        <v>2.5236161650043041</v>
      </c>
      <c r="BM72" s="395">
        <f t="shared" si="249"/>
        <v>0.60786666666666656</v>
      </c>
      <c r="BN72" s="395">
        <f t="shared" si="250"/>
        <v>0.60786666666666667</v>
      </c>
      <c r="BO72" s="395">
        <f t="shared" si="251"/>
        <v>0.60786666666666667</v>
      </c>
      <c r="BP72" s="395">
        <f t="shared" si="252"/>
        <v>0.58471940612668771</v>
      </c>
      <c r="BQ72" s="395">
        <f t="shared" si="253"/>
        <v>1.0515067354184602</v>
      </c>
    </row>
    <row r="73" spans="2:69" s="4" customFormat="1" outlineLevel="1">
      <c r="B73" s="63"/>
      <c r="C73" s="445" t="s">
        <v>153</v>
      </c>
      <c r="D73" s="29">
        <v>4157.7245149999999</v>
      </c>
      <c r="E73" s="58">
        <v>303.7530132606397</v>
      </c>
      <c r="F73" s="58">
        <v>494</v>
      </c>
      <c r="G73" s="29">
        <f t="shared" si="217"/>
        <v>3199.7636315232685</v>
      </c>
      <c r="H73" s="58">
        <v>160.20787021609135</v>
      </c>
      <c r="J73" s="29">
        <f t="shared" si="254"/>
        <v>346.47704291666668</v>
      </c>
      <c r="K73" s="58">
        <f t="shared" si="233"/>
        <v>25.312751105053309</v>
      </c>
      <c r="L73" s="58">
        <f t="shared" si="234"/>
        <v>41.166666666666664</v>
      </c>
      <c r="M73" s="29">
        <f t="shared" si="235"/>
        <v>266.64696929360571</v>
      </c>
      <c r="N73" s="58">
        <f t="shared" si="236"/>
        <v>13.350655851340946</v>
      </c>
      <c r="P73" s="29">
        <f t="shared" si="255"/>
        <v>1732.3852145833334</v>
      </c>
      <c r="Q73" s="29">
        <f t="shared" si="256"/>
        <v>126.56375552526654</v>
      </c>
      <c r="R73" s="29">
        <f t="shared" si="257"/>
        <v>205.83333333333331</v>
      </c>
      <c r="S73" s="29">
        <f t="shared" si="258"/>
        <v>1333.2348464680285</v>
      </c>
      <c r="T73" s="29">
        <f t="shared" si="259"/>
        <v>66.75327925670473</v>
      </c>
      <c r="V73" s="29">
        <f t="shared" si="260"/>
        <v>0</v>
      </c>
      <c r="W73" s="58">
        <v>0</v>
      </c>
      <c r="X73" s="58">
        <v>0</v>
      </c>
      <c r="Y73" s="29">
        <v>0</v>
      </c>
      <c r="Z73" s="58">
        <v>0</v>
      </c>
      <c r="AB73" s="29">
        <f t="shared" si="261"/>
        <v>0</v>
      </c>
      <c r="AC73" s="58">
        <v>0</v>
      </c>
      <c r="AD73" s="58">
        <v>0</v>
      </c>
      <c r="AE73" s="29">
        <v>0</v>
      </c>
      <c r="AF73" s="58">
        <v>0</v>
      </c>
      <c r="AH73" s="29">
        <f t="shared" si="262"/>
        <v>0</v>
      </c>
      <c r="AI73" s="58">
        <v>0</v>
      </c>
      <c r="AJ73" s="58">
        <v>0</v>
      </c>
      <c r="AK73" s="29">
        <v>0</v>
      </c>
      <c r="AL73" s="58">
        <v>0</v>
      </c>
      <c r="AN73" s="29">
        <f t="shared" si="263"/>
        <v>0</v>
      </c>
      <c r="AO73" s="58">
        <v>0</v>
      </c>
      <c r="AP73" s="58">
        <v>0</v>
      </c>
      <c r="AQ73" s="29">
        <v>0</v>
      </c>
      <c r="AR73" s="58">
        <v>0</v>
      </c>
      <c r="AS73" s="452"/>
      <c r="AT73" s="29">
        <f t="shared" si="264"/>
        <v>0</v>
      </c>
      <c r="AU73" s="58">
        <v>0</v>
      </c>
      <c r="AV73" s="58">
        <v>0</v>
      </c>
      <c r="AW73" s="29">
        <v>0</v>
      </c>
      <c r="AX73" s="58">
        <v>0</v>
      </c>
      <c r="AY73" s="58">
        <v>0</v>
      </c>
      <c r="BA73" s="29">
        <f t="shared" si="265"/>
        <v>0</v>
      </c>
      <c r="BB73" s="29">
        <f t="shared" si="266"/>
        <v>0</v>
      </c>
      <c r="BC73" s="29">
        <f t="shared" si="267"/>
        <v>0</v>
      </c>
      <c r="BD73" s="29">
        <f t="shared" si="268"/>
        <v>0</v>
      </c>
      <c r="BE73" s="29">
        <f t="shared" si="269"/>
        <v>0</v>
      </c>
      <c r="BG73" s="395">
        <f t="shared" si="176"/>
        <v>0</v>
      </c>
      <c r="BH73" s="395">
        <f t="shared" si="186"/>
        <v>0</v>
      </c>
      <c r="BI73" s="395">
        <f t="shared" si="187"/>
        <v>0</v>
      </c>
      <c r="BJ73" s="395">
        <f t="shared" si="177"/>
        <v>0</v>
      </c>
      <c r="BK73" s="395">
        <f t="shared" si="188"/>
        <v>0</v>
      </c>
      <c r="BM73" s="395">
        <f t="shared" si="249"/>
        <v>0</v>
      </c>
      <c r="BN73" s="395">
        <f t="shared" si="250"/>
        <v>0</v>
      </c>
      <c r="BO73" s="395">
        <f t="shared" si="251"/>
        <v>0</v>
      </c>
      <c r="BP73" s="395">
        <f t="shared" si="252"/>
        <v>0</v>
      </c>
      <c r="BQ73" s="395">
        <f t="shared" si="253"/>
        <v>0</v>
      </c>
    </row>
    <row r="74" spans="2:69" s="4" customFormat="1" outlineLevel="1">
      <c r="B74" s="13"/>
      <c r="C74" s="445" t="s">
        <v>117</v>
      </c>
      <c r="D74" s="29">
        <v>1079.6035714285713</v>
      </c>
      <c r="E74" s="50">
        <v>101.17826523077503</v>
      </c>
      <c r="F74" s="50">
        <v>139.52199572247028</v>
      </c>
      <c r="G74" s="29">
        <f t="shared" si="217"/>
        <v>797.3033948887454</v>
      </c>
      <c r="H74" s="50">
        <v>41.599915586580714</v>
      </c>
      <c r="J74" s="29">
        <f t="shared" si="254"/>
        <v>89.966964285714269</v>
      </c>
      <c r="K74" s="50">
        <f t="shared" si="233"/>
        <v>8.4315221025645855</v>
      </c>
      <c r="L74" s="50">
        <f t="shared" si="234"/>
        <v>11.626832976872523</v>
      </c>
      <c r="M74" s="29">
        <f t="shared" si="235"/>
        <v>66.441949574062122</v>
      </c>
      <c r="N74" s="50">
        <f t="shared" si="236"/>
        <v>3.4666596322150594</v>
      </c>
      <c r="P74" s="29">
        <f t="shared" si="255"/>
        <v>449.83482142857133</v>
      </c>
      <c r="Q74" s="29">
        <f t="shared" si="256"/>
        <v>42.157610512822927</v>
      </c>
      <c r="R74" s="29">
        <f t="shared" si="257"/>
        <v>58.134164884362612</v>
      </c>
      <c r="S74" s="29">
        <f t="shared" si="258"/>
        <v>332.20974787031059</v>
      </c>
      <c r="T74" s="29">
        <f t="shared" si="259"/>
        <v>17.333298161075298</v>
      </c>
      <c r="V74" s="29">
        <f t="shared" si="260"/>
        <v>0</v>
      </c>
      <c r="W74" s="50">
        <v>0</v>
      </c>
      <c r="X74" s="50">
        <v>0</v>
      </c>
      <c r="Y74" s="29">
        <v>0</v>
      </c>
      <c r="Z74" s="50">
        <v>0</v>
      </c>
      <c r="AB74" s="29">
        <f t="shared" si="261"/>
        <v>0</v>
      </c>
      <c r="AC74" s="50">
        <v>0</v>
      </c>
      <c r="AD74" s="50">
        <v>0</v>
      </c>
      <c r="AE74" s="29">
        <v>0</v>
      </c>
      <c r="AF74" s="50">
        <v>0</v>
      </c>
      <c r="AH74" s="29">
        <f t="shared" si="262"/>
        <v>0</v>
      </c>
      <c r="AI74" s="50">
        <v>0</v>
      </c>
      <c r="AJ74" s="50">
        <v>0</v>
      </c>
      <c r="AK74" s="29">
        <v>0</v>
      </c>
      <c r="AL74" s="50">
        <v>0</v>
      </c>
      <c r="AN74" s="29">
        <f t="shared" si="263"/>
        <v>0</v>
      </c>
      <c r="AO74" s="50">
        <v>0</v>
      </c>
      <c r="AP74" s="50">
        <v>0</v>
      </c>
      <c r="AQ74" s="29">
        <v>0</v>
      </c>
      <c r="AR74" s="50">
        <v>0</v>
      </c>
      <c r="AS74" s="453"/>
      <c r="AT74" s="29">
        <f t="shared" si="264"/>
        <v>0</v>
      </c>
      <c r="AU74" s="50">
        <v>0</v>
      </c>
      <c r="AV74" s="50">
        <v>0</v>
      </c>
      <c r="AW74" s="29">
        <v>0</v>
      </c>
      <c r="AX74" s="50">
        <v>0</v>
      </c>
      <c r="AY74" s="50">
        <v>0</v>
      </c>
      <c r="BA74" s="29">
        <f t="shared" si="265"/>
        <v>0</v>
      </c>
      <c r="BB74" s="29">
        <f t="shared" si="266"/>
        <v>0</v>
      </c>
      <c r="BC74" s="29">
        <f t="shared" si="267"/>
        <v>0</v>
      </c>
      <c r="BD74" s="29">
        <f t="shared" si="268"/>
        <v>0</v>
      </c>
      <c r="BE74" s="29">
        <f t="shared" si="269"/>
        <v>0</v>
      </c>
      <c r="BG74" s="395">
        <f t="shared" si="176"/>
        <v>0</v>
      </c>
      <c r="BH74" s="395">
        <f t="shared" si="186"/>
        <v>0</v>
      </c>
      <c r="BI74" s="395">
        <f t="shared" si="187"/>
        <v>0</v>
      </c>
      <c r="BJ74" s="395">
        <f t="shared" si="177"/>
        <v>0</v>
      </c>
      <c r="BK74" s="395">
        <f t="shared" si="188"/>
        <v>0</v>
      </c>
      <c r="BM74" s="395">
        <f t="shared" si="249"/>
        <v>0</v>
      </c>
      <c r="BN74" s="395">
        <f t="shared" si="250"/>
        <v>0</v>
      </c>
      <c r="BO74" s="395">
        <f t="shared" si="251"/>
        <v>0</v>
      </c>
      <c r="BP74" s="395">
        <f t="shared" si="252"/>
        <v>0</v>
      </c>
      <c r="BQ74" s="395">
        <f t="shared" si="253"/>
        <v>0</v>
      </c>
    </row>
    <row r="75" spans="2:69" s="4" customFormat="1" outlineLevel="1">
      <c r="B75" s="13"/>
      <c r="C75" s="445" t="s">
        <v>155</v>
      </c>
      <c r="D75" s="29">
        <v>319.07734806629838</v>
      </c>
      <c r="E75" s="50">
        <v>29.903284322286265</v>
      </c>
      <c r="F75" s="50">
        <v>41.235792072394652</v>
      </c>
      <c r="G75" s="29">
        <f t="shared" si="217"/>
        <v>235.64339687087562</v>
      </c>
      <c r="H75" s="50">
        <v>12.294874800741852</v>
      </c>
      <c r="J75" s="29">
        <f t="shared" si="254"/>
        <v>26.589779005524864</v>
      </c>
      <c r="K75" s="50">
        <f t="shared" si="233"/>
        <v>2.4919403601905219</v>
      </c>
      <c r="L75" s="50">
        <f t="shared" si="234"/>
        <v>3.4363160060328877</v>
      </c>
      <c r="M75" s="29">
        <f t="shared" si="235"/>
        <v>19.636949739239636</v>
      </c>
      <c r="N75" s="50">
        <f t="shared" si="236"/>
        <v>1.0245729000618209</v>
      </c>
      <c r="P75" s="29">
        <f t="shared" si="255"/>
        <v>132.94889502762433</v>
      </c>
      <c r="Q75" s="29">
        <f t="shared" si="256"/>
        <v>12.45970180095261</v>
      </c>
      <c r="R75" s="29">
        <f t="shared" si="257"/>
        <v>17.18158003016444</v>
      </c>
      <c r="S75" s="29">
        <f t="shared" si="258"/>
        <v>98.184748696198184</v>
      </c>
      <c r="T75" s="29">
        <f t="shared" si="259"/>
        <v>5.1228645003091042</v>
      </c>
      <c r="V75" s="29">
        <f t="shared" si="260"/>
        <v>0</v>
      </c>
      <c r="W75" s="50">
        <v>0</v>
      </c>
      <c r="X75" s="50">
        <v>0</v>
      </c>
      <c r="Y75" s="29">
        <v>0</v>
      </c>
      <c r="Z75" s="50">
        <v>0</v>
      </c>
      <c r="AB75" s="29">
        <f t="shared" si="261"/>
        <v>27.5</v>
      </c>
      <c r="AC75" s="50">
        <v>2.5772444325693886</v>
      </c>
      <c r="AD75" s="50">
        <v>3.5539479341392548</v>
      </c>
      <c r="AE75" s="29">
        <v>19.53579878784619</v>
      </c>
      <c r="AF75" s="50">
        <v>1.8330088454451681</v>
      </c>
      <c r="AH75" s="29">
        <f t="shared" si="262"/>
        <v>0</v>
      </c>
      <c r="AI75" s="50">
        <v>0</v>
      </c>
      <c r="AJ75" s="50">
        <v>0</v>
      </c>
      <c r="AK75" s="29">
        <v>0</v>
      </c>
      <c r="AL75" s="50">
        <v>0</v>
      </c>
      <c r="AN75" s="29">
        <f t="shared" si="263"/>
        <v>20</v>
      </c>
      <c r="AO75" s="50">
        <v>1.8743595873231915</v>
      </c>
      <c r="AP75" s="50">
        <v>2.5846894066467305</v>
      </c>
      <c r="AQ75" s="29">
        <v>14.207853663888137</v>
      </c>
      <c r="AR75" s="50">
        <v>1.3330973421419403</v>
      </c>
      <c r="AS75" s="453"/>
      <c r="AT75" s="29">
        <f t="shared" si="264"/>
        <v>53.500000000000007</v>
      </c>
      <c r="AU75" s="50">
        <v>5.0139118960895379</v>
      </c>
      <c r="AV75" s="50">
        <v>6.9140441627800051</v>
      </c>
      <c r="AW75" s="29">
        <v>38.006008550900766</v>
      </c>
      <c r="AX75" s="50">
        <v>3.5660353902296906</v>
      </c>
      <c r="AY75" s="50">
        <v>0</v>
      </c>
      <c r="BA75" s="29">
        <f t="shared" si="265"/>
        <v>101</v>
      </c>
      <c r="BB75" s="29">
        <f t="shared" si="266"/>
        <v>9.4655159159821167</v>
      </c>
      <c r="BC75" s="29">
        <f t="shared" si="267"/>
        <v>13.05268150356599</v>
      </c>
      <c r="BD75" s="29">
        <f t="shared" si="268"/>
        <v>71.749661002635094</v>
      </c>
      <c r="BE75" s="29">
        <f t="shared" si="269"/>
        <v>6.7321415778167992</v>
      </c>
      <c r="BG75" s="395">
        <f t="shared" si="176"/>
        <v>0.75969040569321067</v>
      </c>
      <c r="BH75" s="395">
        <f t="shared" si="186"/>
        <v>0.75969040569321078</v>
      </c>
      <c r="BI75" s="395">
        <f t="shared" si="187"/>
        <v>0.75969040569321067</v>
      </c>
      <c r="BJ75" s="395">
        <f t="shared" si="177"/>
        <v>0.7307617726317337</v>
      </c>
      <c r="BK75" s="395">
        <f t="shared" si="188"/>
        <v>1.3141361785795025</v>
      </c>
      <c r="BM75" s="395">
        <f t="shared" si="249"/>
        <v>0.31653766903883779</v>
      </c>
      <c r="BN75" s="395">
        <f t="shared" si="250"/>
        <v>0.31653766903883779</v>
      </c>
      <c r="BO75" s="395">
        <f t="shared" si="251"/>
        <v>0.31653766903883779</v>
      </c>
      <c r="BP75" s="395">
        <f t="shared" si="252"/>
        <v>0.30448407192988908</v>
      </c>
      <c r="BQ75" s="395">
        <f t="shared" si="253"/>
        <v>0.54755674107479269</v>
      </c>
    </row>
    <row r="76" spans="2:69" s="4" customFormat="1" outlineLevel="1">
      <c r="B76" s="13"/>
      <c r="C76" s="445" t="s">
        <v>156</v>
      </c>
      <c r="D76" s="29">
        <v>53.805714285714281</v>
      </c>
      <c r="E76" s="50">
        <v>11.235504977027016</v>
      </c>
      <c r="F76" s="50">
        <v>16.671600429063247</v>
      </c>
      <c r="G76" s="29">
        <f t="shared" si="217"/>
        <v>24.726502712896071</v>
      </c>
      <c r="H76" s="50">
        <v>1.17210616672795</v>
      </c>
      <c r="J76" s="29">
        <f t="shared" si="254"/>
        <v>4.4838095238095237</v>
      </c>
      <c r="K76" s="50">
        <f t="shared" si="233"/>
        <v>0.93629208141891807</v>
      </c>
      <c r="L76" s="50">
        <f t="shared" si="234"/>
        <v>1.3893000357552705</v>
      </c>
      <c r="M76" s="29">
        <f t="shared" si="235"/>
        <v>2.0605418927413393</v>
      </c>
      <c r="N76" s="50">
        <f t="shared" si="236"/>
        <v>9.7675513893995827E-2</v>
      </c>
      <c r="P76" s="29">
        <f t="shared" si="255"/>
        <v>22.419047619047618</v>
      </c>
      <c r="Q76" s="29">
        <f t="shared" si="256"/>
        <v>4.6814604070945904</v>
      </c>
      <c r="R76" s="29">
        <f t="shared" si="257"/>
        <v>6.9465001787763523</v>
      </c>
      <c r="S76" s="29">
        <f t="shared" si="258"/>
        <v>10.302709463706696</v>
      </c>
      <c r="T76" s="29">
        <f t="shared" si="259"/>
        <v>0.48837756946997912</v>
      </c>
      <c r="V76" s="29">
        <f t="shared" si="260"/>
        <v>0</v>
      </c>
      <c r="W76" s="50">
        <v>0</v>
      </c>
      <c r="X76" s="50">
        <v>0</v>
      </c>
      <c r="Y76" s="29">
        <v>0</v>
      </c>
      <c r="Z76" s="50">
        <v>0</v>
      </c>
      <c r="AB76" s="29">
        <f t="shared" si="261"/>
        <v>12.053570000000001</v>
      </c>
      <c r="AC76" s="50">
        <v>1.1296362245485603</v>
      </c>
      <c r="AD76" s="50">
        <v>1.5577367345637418</v>
      </c>
      <c r="AE76" s="29">
        <v>8.5627679343716068</v>
      </c>
      <c r="AF76" s="50">
        <v>0.80342910651609145</v>
      </c>
      <c r="AH76" s="29">
        <f t="shared" si="262"/>
        <v>0</v>
      </c>
      <c r="AI76" s="50">
        <v>0</v>
      </c>
      <c r="AJ76" s="50">
        <v>0</v>
      </c>
      <c r="AK76" s="29">
        <v>0</v>
      </c>
      <c r="AL76" s="50">
        <v>0</v>
      </c>
      <c r="AN76" s="29">
        <f t="shared" si="263"/>
        <v>0</v>
      </c>
      <c r="AO76" s="50">
        <v>0</v>
      </c>
      <c r="AP76" s="50">
        <v>0</v>
      </c>
      <c r="AQ76" s="29">
        <v>0</v>
      </c>
      <c r="AR76" s="50">
        <v>0</v>
      </c>
      <c r="AS76" s="453"/>
      <c r="AT76" s="29">
        <f t="shared" si="264"/>
        <v>0</v>
      </c>
      <c r="AU76" s="50">
        <v>0</v>
      </c>
      <c r="AV76" s="50">
        <v>0</v>
      </c>
      <c r="AW76" s="29">
        <v>0</v>
      </c>
      <c r="AX76" s="50">
        <v>0</v>
      </c>
      <c r="AY76" s="50">
        <v>0</v>
      </c>
      <c r="BA76" s="29">
        <f t="shared" si="265"/>
        <v>12.053570000000001</v>
      </c>
      <c r="BB76" s="29">
        <f t="shared" si="266"/>
        <v>1.1296362245485603</v>
      </c>
      <c r="BC76" s="29">
        <f t="shared" si="267"/>
        <v>1.5577367345637418</v>
      </c>
      <c r="BD76" s="29">
        <f t="shared" si="268"/>
        <v>8.5627679343716068</v>
      </c>
      <c r="BE76" s="29">
        <f t="shared" si="269"/>
        <v>0.80342910651609145</v>
      </c>
      <c r="BG76" s="395">
        <f t="shared" si="176"/>
        <v>0.53764861937128294</v>
      </c>
      <c r="BH76" s="395">
        <f t="shared" si="186"/>
        <v>0.24129996332696435</v>
      </c>
      <c r="BI76" s="395">
        <f t="shared" si="187"/>
        <v>0.22424770668301372</v>
      </c>
      <c r="BJ76" s="395">
        <f t="shared" si="177"/>
        <v>0.83111806312073799</v>
      </c>
      <c r="BK76" s="395">
        <f t="shared" si="188"/>
        <v>1.6450982943136145</v>
      </c>
      <c r="BM76" s="395">
        <f t="shared" si="249"/>
        <v>0.22402025807136791</v>
      </c>
      <c r="BN76" s="395">
        <f t="shared" si="250"/>
        <v>0.10054165138623515</v>
      </c>
      <c r="BO76" s="395">
        <f t="shared" si="251"/>
        <v>9.343654445125571E-2</v>
      </c>
      <c r="BP76" s="395">
        <f t="shared" si="252"/>
        <v>0.34629919296697415</v>
      </c>
      <c r="BQ76" s="395">
        <f t="shared" si="253"/>
        <v>0.68545762263067267</v>
      </c>
    </row>
    <row r="77" spans="2:69" s="4" customFormat="1" outlineLevel="1">
      <c r="B77" s="13"/>
      <c r="C77" s="445" t="s">
        <v>128</v>
      </c>
      <c r="D77" s="29">
        <v>3363.9782603333329</v>
      </c>
      <c r="E77" s="50">
        <v>315.26524519012867</v>
      </c>
      <c r="F77" s="50">
        <v>434.74194868367323</v>
      </c>
      <c r="G77" s="29">
        <f t="shared" si="217"/>
        <v>2484.3482906847307</v>
      </c>
      <c r="H77" s="50">
        <v>129.62277577480029</v>
      </c>
      <c r="J77" s="29">
        <f t="shared" si="254"/>
        <v>280.3315216944444</v>
      </c>
      <c r="K77" s="50">
        <f t="shared" si="233"/>
        <v>26.272103765844054</v>
      </c>
      <c r="L77" s="50">
        <f t="shared" si="234"/>
        <v>36.228495723639433</v>
      </c>
      <c r="M77" s="29">
        <f t="shared" si="235"/>
        <v>207.02902422372756</v>
      </c>
      <c r="N77" s="50">
        <f t="shared" si="236"/>
        <v>10.801897981233358</v>
      </c>
      <c r="P77" s="29">
        <f t="shared" si="255"/>
        <v>1401.6576084722219</v>
      </c>
      <c r="Q77" s="29">
        <f t="shared" si="256"/>
        <v>131.36051882922027</v>
      </c>
      <c r="R77" s="29">
        <f t="shared" si="257"/>
        <v>181.14247861819717</v>
      </c>
      <c r="S77" s="29">
        <f t="shared" si="258"/>
        <v>1035.1451211186377</v>
      </c>
      <c r="T77" s="29">
        <f t="shared" si="259"/>
        <v>54.009489906166792</v>
      </c>
      <c r="V77" s="29">
        <f t="shared" si="260"/>
        <v>0</v>
      </c>
      <c r="W77" s="50">
        <v>0</v>
      </c>
      <c r="X77" s="50">
        <v>0</v>
      </c>
      <c r="Y77" s="29">
        <v>0</v>
      </c>
      <c r="Z77" s="50">
        <v>0</v>
      </c>
      <c r="AB77" s="29">
        <f t="shared" si="261"/>
        <v>0</v>
      </c>
      <c r="AC77" s="50">
        <v>0</v>
      </c>
      <c r="AD77" s="50">
        <v>0</v>
      </c>
      <c r="AE77" s="29">
        <v>0</v>
      </c>
      <c r="AF77" s="50">
        <v>0</v>
      </c>
      <c r="AH77" s="29">
        <f t="shared" si="262"/>
        <v>0</v>
      </c>
      <c r="AI77" s="50">
        <v>0</v>
      </c>
      <c r="AJ77" s="50">
        <v>0</v>
      </c>
      <c r="AK77" s="29">
        <v>0</v>
      </c>
      <c r="AL77" s="50">
        <v>0</v>
      </c>
      <c r="AN77" s="29">
        <f t="shared" si="263"/>
        <v>0</v>
      </c>
      <c r="AO77" s="50">
        <v>0</v>
      </c>
      <c r="AP77" s="50">
        <v>0</v>
      </c>
      <c r="AQ77" s="29">
        <v>0</v>
      </c>
      <c r="AR77" s="50">
        <v>0</v>
      </c>
      <c r="AS77" s="453"/>
      <c r="AT77" s="29">
        <f t="shared" si="264"/>
        <v>0</v>
      </c>
      <c r="AU77" s="50">
        <v>0</v>
      </c>
      <c r="AV77" s="50">
        <v>0</v>
      </c>
      <c r="AW77" s="29">
        <v>0</v>
      </c>
      <c r="AX77" s="50">
        <v>0</v>
      </c>
      <c r="AY77" s="50">
        <v>0</v>
      </c>
      <c r="BA77" s="29">
        <f t="shared" si="265"/>
        <v>0</v>
      </c>
      <c r="BB77" s="29">
        <f t="shared" si="266"/>
        <v>0</v>
      </c>
      <c r="BC77" s="29">
        <f t="shared" si="267"/>
        <v>0</v>
      </c>
      <c r="BD77" s="29">
        <f t="shared" si="268"/>
        <v>0</v>
      </c>
      <c r="BE77" s="29">
        <f t="shared" si="269"/>
        <v>0</v>
      </c>
      <c r="BG77" s="395">
        <f t="shared" si="176"/>
        <v>0</v>
      </c>
      <c r="BH77" s="395">
        <f t="shared" si="186"/>
        <v>0</v>
      </c>
      <c r="BI77" s="395">
        <f t="shared" si="187"/>
        <v>0</v>
      </c>
      <c r="BJ77" s="395">
        <f t="shared" si="177"/>
        <v>0</v>
      </c>
      <c r="BK77" s="395">
        <f t="shared" si="188"/>
        <v>0</v>
      </c>
      <c r="BM77" s="395">
        <f t="shared" si="249"/>
        <v>0</v>
      </c>
      <c r="BN77" s="395">
        <f t="shared" si="250"/>
        <v>0</v>
      </c>
      <c r="BO77" s="395">
        <f t="shared" si="251"/>
        <v>0</v>
      </c>
      <c r="BP77" s="395">
        <f t="shared" si="252"/>
        <v>0</v>
      </c>
      <c r="BQ77" s="395">
        <f t="shared" si="253"/>
        <v>0</v>
      </c>
    </row>
    <row r="78" spans="2:69" s="4" customFormat="1" outlineLevel="1">
      <c r="B78" s="13"/>
      <c r="C78" s="445" t="s">
        <v>121</v>
      </c>
      <c r="D78" s="29">
        <v>5638.1570000000002</v>
      </c>
      <c r="E78" s="29">
        <v>528.39668138916818</v>
      </c>
      <c r="F78" s="29">
        <v>728.64423354555561</v>
      </c>
      <c r="G78" s="29">
        <f t="shared" si="217"/>
        <v>4163.8633253754133</v>
      </c>
      <c r="H78" s="29">
        <v>217.25275968986293</v>
      </c>
      <c r="J78" s="29">
        <f t="shared" si="254"/>
        <v>469.8464166666667</v>
      </c>
      <c r="K78" s="29">
        <f t="shared" si="233"/>
        <v>44.033056782430684</v>
      </c>
      <c r="L78" s="29">
        <f t="shared" si="234"/>
        <v>60.720352795462965</v>
      </c>
      <c r="M78" s="29">
        <f t="shared" si="235"/>
        <v>346.98861044795109</v>
      </c>
      <c r="N78" s="29">
        <f t="shared" si="236"/>
        <v>18.104396640821911</v>
      </c>
      <c r="P78" s="29">
        <f t="shared" si="255"/>
        <v>2349.2320833333333</v>
      </c>
      <c r="Q78" s="29">
        <f t="shared" si="256"/>
        <v>220.16528391215343</v>
      </c>
      <c r="R78" s="29">
        <f t="shared" si="257"/>
        <v>303.60176397731482</v>
      </c>
      <c r="S78" s="29">
        <f t="shared" si="258"/>
        <v>1734.9430522397554</v>
      </c>
      <c r="T78" s="29">
        <f t="shared" si="259"/>
        <v>90.521983204109546</v>
      </c>
      <c r="V78" s="29">
        <f t="shared" si="260"/>
        <v>0</v>
      </c>
      <c r="W78" s="29">
        <v>0</v>
      </c>
      <c r="X78" s="29">
        <v>0</v>
      </c>
      <c r="Y78" s="29">
        <v>0</v>
      </c>
      <c r="Z78" s="29">
        <v>0</v>
      </c>
      <c r="AB78" s="29">
        <f t="shared" si="261"/>
        <v>0</v>
      </c>
      <c r="AC78" s="29">
        <v>0</v>
      </c>
      <c r="AD78" s="29">
        <v>0</v>
      </c>
      <c r="AE78" s="29">
        <v>0</v>
      </c>
      <c r="AF78" s="29">
        <v>0</v>
      </c>
      <c r="AH78" s="29">
        <f t="shared" si="262"/>
        <v>1062.51478</v>
      </c>
      <c r="AI78" s="29">
        <v>99.576738228279581</v>
      </c>
      <c r="AJ78" s="29">
        <v>137.31353481357908</v>
      </c>
      <c r="AK78" s="29">
        <v>754.80272549791482</v>
      </c>
      <c r="AL78" s="29">
        <v>70.821781460226418</v>
      </c>
      <c r="AN78" s="29">
        <f t="shared" si="263"/>
        <v>0</v>
      </c>
      <c r="AO78" s="29">
        <v>0</v>
      </c>
      <c r="AP78" s="29">
        <v>0</v>
      </c>
      <c r="AQ78" s="29">
        <v>0</v>
      </c>
      <c r="AR78" s="29">
        <v>0</v>
      </c>
      <c r="AS78" s="452"/>
      <c r="AT78" s="29">
        <f t="shared" si="264"/>
        <v>48.201000000000008</v>
      </c>
      <c r="AU78" s="29">
        <v>4.517300323428258</v>
      </c>
      <c r="AV78" s="29">
        <v>6.2292307044889537</v>
      </c>
      <c r="AW78" s="29">
        <v>34.241637722653607</v>
      </c>
      <c r="AX78" s="29">
        <v>3.2128312494291835</v>
      </c>
      <c r="AY78" s="29">
        <v>0</v>
      </c>
      <c r="BA78" s="29">
        <f t="shared" si="265"/>
        <v>1110.71578</v>
      </c>
      <c r="BB78" s="29">
        <f t="shared" si="266"/>
        <v>104.09403855170784</v>
      </c>
      <c r="BC78" s="29">
        <f t="shared" si="267"/>
        <v>143.54276551806802</v>
      </c>
      <c r="BD78" s="29">
        <f t="shared" si="268"/>
        <v>789.04436322056847</v>
      </c>
      <c r="BE78" s="29">
        <f t="shared" si="269"/>
        <v>74.034612709655605</v>
      </c>
      <c r="BG78" s="395">
        <f t="shared" si="176"/>
        <v>0.4727995109040064</v>
      </c>
      <c r="BH78" s="395">
        <f t="shared" si="186"/>
        <v>0.47279951090400635</v>
      </c>
      <c r="BI78" s="395">
        <f t="shared" si="187"/>
        <v>0.47279951090400635</v>
      </c>
      <c r="BJ78" s="395">
        <f t="shared" si="177"/>
        <v>0.45479554052332594</v>
      </c>
      <c r="BK78" s="395">
        <f t="shared" si="188"/>
        <v>0.81786335306775026</v>
      </c>
      <c r="BM78" s="395">
        <f t="shared" si="249"/>
        <v>0.19699979621000266</v>
      </c>
      <c r="BN78" s="395">
        <f t="shared" si="250"/>
        <v>0.19699979621000266</v>
      </c>
      <c r="BO78" s="395">
        <f t="shared" si="251"/>
        <v>0.19699979621000263</v>
      </c>
      <c r="BP78" s="395">
        <f t="shared" si="252"/>
        <v>0.18949814188471914</v>
      </c>
      <c r="BQ78" s="395">
        <f t="shared" si="253"/>
        <v>0.3407763971115626</v>
      </c>
    </row>
    <row r="79" spans="2:69" s="4" customFormat="1" outlineLevel="1">
      <c r="B79" s="13"/>
      <c r="C79" s="445" t="s">
        <v>296</v>
      </c>
      <c r="D79" s="29">
        <v>0</v>
      </c>
      <c r="E79" s="29">
        <v>0</v>
      </c>
      <c r="F79" s="29">
        <v>0</v>
      </c>
      <c r="G79" s="29">
        <f t="shared" si="217"/>
        <v>0</v>
      </c>
      <c r="H79" s="29">
        <v>0</v>
      </c>
      <c r="J79" s="29">
        <f t="shared" si="254"/>
        <v>0</v>
      </c>
      <c r="K79" s="29">
        <f t="shared" si="233"/>
        <v>0</v>
      </c>
      <c r="L79" s="29">
        <f t="shared" si="234"/>
        <v>0</v>
      </c>
      <c r="M79" s="29">
        <f t="shared" si="235"/>
        <v>0</v>
      </c>
      <c r="N79" s="29">
        <f t="shared" si="236"/>
        <v>0</v>
      </c>
      <c r="P79" s="29">
        <f t="shared" si="255"/>
        <v>0</v>
      </c>
      <c r="Q79" s="29">
        <f t="shared" si="256"/>
        <v>0</v>
      </c>
      <c r="R79" s="29">
        <f t="shared" si="257"/>
        <v>0</v>
      </c>
      <c r="S79" s="29">
        <f t="shared" si="258"/>
        <v>0</v>
      </c>
      <c r="T79" s="29">
        <f t="shared" si="259"/>
        <v>0</v>
      </c>
      <c r="V79" s="29">
        <f t="shared" si="260"/>
        <v>0</v>
      </c>
      <c r="W79" s="29"/>
      <c r="X79" s="29"/>
      <c r="Y79" s="29">
        <v>0</v>
      </c>
      <c r="Z79" s="29"/>
      <c r="AB79" s="29">
        <f t="shared" si="261"/>
        <v>7.3959999999999999</v>
      </c>
      <c r="AC79" s="29"/>
      <c r="AD79" s="29"/>
      <c r="AE79" s="29">
        <v>7.3959999999999999</v>
      </c>
      <c r="AF79" s="29"/>
      <c r="AH79" s="29">
        <f t="shared" si="262"/>
        <v>10.917999999999999</v>
      </c>
      <c r="AI79" s="29"/>
      <c r="AJ79" s="29"/>
      <c r="AK79" s="29">
        <v>10.917999999999999</v>
      </c>
      <c r="AL79" s="29"/>
      <c r="AN79" s="29">
        <f t="shared" si="263"/>
        <v>0</v>
      </c>
      <c r="AO79" s="29"/>
      <c r="AP79" s="29"/>
      <c r="AQ79" s="29">
        <v>0</v>
      </c>
      <c r="AR79" s="29"/>
      <c r="AS79" s="452"/>
      <c r="AT79" s="29">
        <f t="shared" si="264"/>
        <v>21.482990000000001</v>
      </c>
      <c r="AU79" s="29"/>
      <c r="AV79" s="29"/>
      <c r="AW79" s="29">
        <v>21.482990000000001</v>
      </c>
      <c r="AX79" s="29"/>
      <c r="AY79" s="29"/>
      <c r="BA79" s="29">
        <f t="shared" si="265"/>
        <v>39.796990000000001</v>
      </c>
      <c r="BB79" s="29">
        <f t="shared" si="266"/>
        <v>0</v>
      </c>
      <c r="BC79" s="29">
        <f t="shared" si="267"/>
        <v>0</v>
      </c>
      <c r="BD79" s="29">
        <f t="shared" si="268"/>
        <v>39.796990000000001</v>
      </c>
      <c r="BE79" s="29">
        <f t="shared" si="269"/>
        <v>0</v>
      </c>
      <c r="BG79" s="395" t="e">
        <f t="shared" ref="BG79" si="270">BA79/P79</f>
        <v>#DIV/0!</v>
      </c>
      <c r="BH79" s="395" t="e">
        <f t="shared" ref="BH79" si="271">BB79/Q79</f>
        <v>#DIV/0!</v>
      </c>
      <c r="BI79" s="395" t="e">
        <f t="shared" ref="BI79" si="272">BC79/R79</f>
        <v>#DIV/0!</v>
      </c>
      <c r="BJ79" s="395" t="e">
        <f t="shared" ref="BJ79" si="273">BD79/S79</f>
        <v>#DIV/0!</v>
      </c>
      <c r="BK79" s="395" t="e">
        <f t="shared" ref="BK79" si="274">BE79/T79</f>
        <v>#DIV/0!</v>
      </c>
      <c r="BM79" s="395"/>
      <c r="BN79" s="395"/>
      <c r="BO79" s="395"/>
      <c r="BP79" s="395"/>
      <c r="BQ79" s="395"/>
    </row>
    <row r="80" spans="2:69" s="4" customFormat="1" outlineLevel="1">
      <c r="B80" s="13"/>
      <c r="C80" s="445" t="s">
        <v>119</v>
      </c>
      <c r="D80" s="29">
        <v>7555.9349999999995</v>
      </c>
      <c r="E80" s="29">
        <v>708.12696042204288</v>
      </c>
      <c r="F80" s="29">
        <v>976.48725759056322</v>
      </c>
      <c r="G80" s="29">
        <f t="shared" si="217"/>
        <v>5580.1710799150278</v>
      </c>
      <c r="H80" s="29">
        <v>291.14970207236593</v>
      </c>
      <c r="J80" s="29">
        <f t="shared" si="254"/>
        <v>629.66125</v>
      </c>
      <c r="K80" s="29">
        <f t="shared" si="233"/>
        <v>59.010580035170243</v>
      </c>
      <c r="L80" s="29">
        <f t="shared" si="234"/>
        <v>81.37393813254694</v>
      </c>
      <c r="M80" s="29">
        <f t="shared" si="235"/>
        <v>465.01425665958567</v>
      </c>
      <c r="N80" s="29">
        <f t="shared" si="236"/>
        <v>24.262475172697162</v>
      </c>
      <c r="P80" s="29">
        <f t="shared" si="255"/>
        <v>3148.3062500000001</v>
      </c>
      <c r="Q80" s="29">
        <f t="shared" si="256"/>
        <v>295.05290017585122</v>
      </c>
      <c r="R80" s="29">
        <f t="shared" si="257"/>
        <v>406.86969066273468</v>
      </c>
      <c r="S80" s="29">
        <f t="shared" si="258"/>
        <v>2325.0712832979284</v>
      </c>
      <c r="T80" s="29">
        <f t="shared" si="259"/>
        <v>121.31237586348581</v>
      </c>
      <c r="V80" s="29">
        <f t="shared" si="260"/>
        <v>0</v>
      </c>
      <c r="W80" s="29">
        <v>0</v>
      </c>
      <c r="X80" s="29">
        <v>0</v>
      </c>
      <c r="Y80" s="29">
        <v>0</v>
      </c>
      <c r="Z80" s="29">
        <v>0</v>
      </c>
      <c r="AB80" s="29">
        <f t="shared" si="261"/>
        <v>0</v>
      </c>
      <c r="AC80" s="29">
        <v>0</v>
      </c>
      <c r="AD80" s="29">
        <v>0</v>
      </c>
      <c r="AE80" s="29">
        <v>0</v>
      </c>
      <c r="AF80" s="29">
        <v>0</v>
      </c>
      <c r="AH80" s="29">
        <f t="shared" si="262"/>
        <v>0</v>
      </c>
      <c r="AI80" s="29">
        <v>0</v>
      </c>
      <c r="AJ80" s="29">
        <v>0</v>
      </c>
      <c r="AK80" s="29">
        <v>0</v>
      </c>
      <c r="AL80" s="29">
        <v>0</v>
      </c>
      <c r="AN80" s="29">
        <f t="shared" si="263"/>
        <v>0</v>
      </c>
      <c r="AO80" s="29">
        <v>0</v>
      </c>
      <c r="AP80" s="29">
        <v>0</v>
      </c>
      <c r="AQ80" s="29">
        <v>0</v>
      </c>
      <c r="AR80" s="29">
        <v>0</v>
      </c>
      <c r="AS80" s="452"/>
      <c r="AT80" s="29">
        <f t="shared" si="264"/>
        <v>582.61199999999997</v>
      </c>
      <c r="AU80" s="29">
        <v>54.601219394476963</v>
      </c>
      <c r="AV80" s="29">
        <v>75.293553229263253</v>
      </c>
      <c r="AW80" s="29">
        <v>413.88330194125973</v>
      </c>
      <c r="AX80" s="29">
        <v>38.833925435000005</v>
      </c>
      <c r="AY80" s="29">
        <v>0</v>
      </c>
      <c r="BA80" s="29">
        <f t="shared" si="265"/>
        <v>582.61199999999997</v>
      </c>
      <c r="BB80" s="29">
        <f t="shared" si="266"/>
        <v>54.601219394476963</v>
      </c>
      <c r="BC80" s="29">
        <f t="shared" si="267"/>
        <v>75.293553229263253</v>
      </c>
      <c r="BD80" s="29">
        <f t="shared" si="268"/>
        <v>413.88330194125973</v>
      </c>
      <c r="BE80" s="29">
        <f t="shared" si="269"/>
        <v>38.833925435000005</v>
      </c>
      <c r="BG80" s="395">
        <f t="shared" ref="BG80:BG94" si="275">BA80/P80</f>
        <v>0.18505569462945351</v>
      </c>
      <c r="BH80" s="395">
        <f t="shared" ref="BH80:BH94" si="276">BB80/Q80</f>
        <v>0.18505569462945354</v>
      </c>
      <c r="BI80" s="395">
        <f t="shared" ref="BI80:BI94" si="277">BC80/R80</f>
        <v>0.18505569462945354</v>
      </c>
      <c r="BJ80" s="395">
        <f t="shared" ref="BJ80:BJ94" si="278">BD80/S80</f>
        <v>0.17800886575580566</v>
      </c>
      <c r="BK80" s="395">
        <f t="shared" ref="BK80:BK94" si="279">BE80/T80</f>
        <v>0.32011511734549047</v>
      </c>
      <c r="BM80" s="395">
        <f t="shared" si="249"/>
        <v>7.7106539428938969E-2</v>
      </c>
      <c r="BN80" s="395">
        <f t="shared" si="250"/>
        <v>7.7106539428938983E-2</v>
      </c>
      <c r="BO80" s="395">
        <f t="shared" si="251"/>
        <v>7.7106539428938969E-2</v>
      </c>
      <c r="BP80" s="395">
        <f t="shared" si="252"/>
        <v>7.4170360731585699E-2</v>
      </c>
      <c r="BQ80" s="395">
        <f t="shared" si="253"/>
        <v>0.13338129889395436</v>
      </c>
    </row>
    <row r="81" spans="2:69" s="4" customFormat="1" outlineLevel="1">
      <c r="B81" s="13"/>
      <c r="C81" s="445" t="s">
        <v>176</v>
      </c>
      <c r="D81" s="29">
        <v>8757.2819999999992</v>
      </c>
      <c r="E81" s="29">
        <v>641</v>
      </c>
      <c r="F81" s="29">
        <v>1038.7664039770555</v>
      </c>
      <c r="G81" s="29">
        <f t="shared" si="217"/>
        <v>6740.0748894441167</v>
      </c>
      <c r="H81" s="29">
        <v>337.44070657882747</v>
      </c>
      <c r="J81" s="29">
        <f t="shared" si="254"/>
        <v>729.7734999999999</v>
      </c>
      <c r="K81" s="29">
        <f t="shared" si="233"/>
        <v>53.416666666666664</v>
      </c>
      <c r="L81" s="29">
        <f t="shared" si="234"/>
        <v>86.56386699808796</v>
      </c>
      <c r="M81" s="29">
        <f t="shared" si="235"/>
        <v>561.67290745367643</v>
      </c>
      <c r="N81" s="29">
        <f t="shared" si="236"/>
        <v>28.120058881568955</v>
      </c>
      <c r="P81" s="29">
        <f t="shared" si="255"/>
        <v>3648.8674999999994</v>
      </c>
      <c r="Q81" s="29">
        <f t="shared" si="256"/>
        <v>267.08333333333331</v>
      </c>
      <c r="R81" s="29">
        <f t="shared" si="257"/>
        <v>432.81933499043981</v>
      </c>
      <c r="S81" s="29">
        <f t="shared" si="258"/>
        <v>2808.3645372683823</v>
      </c>
      <c r="T81" s="29">
        <f t="shared" si="259"/>
        <v>140.60029440784479</v>
      </c>
      <c r="V81" s="29">
        <f t="shared" si="260"/>
        <v>0</v>
      </c>
      <c r="W81" s="29">
        <v>0</v>
      </c>
      <c r="X81" s="29">
        <v>0</v>
      </c>
      <c r="Y81" s="29">
        <v>0</v>
      </c>
      <c r="Z81" s="29">
        <v>0</v>
      </c>
      <c r="AB81" s="29">
        <f t="shared" si="261"/>
        <v>0</v>
      </c>
      <c r="AC81" s="29">
        <v>0</v>
      </c>
      <c r="AD81" s="29">
        <v>0</v>
      </c>
      <c r="AE81" s="29">
        <v>0</v>
      </c>
      <c r="AF81" s="29">
        <v>0</v>
      </c>
      <c r="AH81" s="29">
        <f t="shared" si="262"/>
        <v>0</v>
      </c>
      <c r="AI81" s="29">
        <v>0</v>
      </c>
      <c r="AJ81" s="29">
        <v>0</v>
      </c>
      <c r="AK81" s="29">
        <v>0</v>
      </c>
      <c r="AL81" s="29">
        <v>0</v>
      </c>
      <c r="AN81" s="29">
        <f t="shared" si="263"/>
        <v>0</v>
      </c>
      <c r="AO81" s="29">
        <v>0</v>
      </c>
      <c r="AP81" s="29">
        <v>0</v>
      </c>
      <c r="AQ81" s="29">
        <v>0</v>
      </c>
      <c r="AR81" s="29">
        <v>0</v>
      </c>
      <c r="AS81" s="452"/>
      <c r="AT81" s="29">
        <f t="shared" si="264"/>
        <v>53.60799999999999</v>
      </c>
      <c r="AU81" s="29">
        <v>5.0240334378610827</v>
      </c>
      <c r="AV81" s="29">
        <v>6.9280014855758969</v>
      </c>
      <c r="AW81" s="29">
        <v>38.082730960685758</v>
      </c>
      <c r="AX81" s="29">
        <v>3.5732341158772569</v>
      </c>
      <c r="AY81" s="29">
        <v>0</v>
      </c>
      <c r="BA81" s="29">
        <f t="shared" si="265"/>
        <v>53.60799999999999</v>
      </c>
      <c r="BB81" s="29">
        <f t="shared" si="266"/>
        <v>5.0240334378610827</v>
      </c>
      <c r="BC81" s="29">
        <f t="shared" si="267"/>
        <v>6.9280014855758969</v>
      </c>
      <c r="BD81" s="29">
        <f t="shared" si="268"/>
        <v>38.082730960685758</v>
      </c>
      <c r="BE81" s="29">
        <f t="shared" si="269"/>
        <v>3.5732341158772569</v>
      </c>
      <c r="BG81" s="395">
        <f t="shared" si="275"/>
        <v>1.4691681734127096E-2</v>
      </c>
      <c r="BH81" s="395">
        <f t="shared" si="276"/>
        <v>1.8810733620696723E-2</v>
      </c>
      <c r="BI81" s="395">
        <f t="shared" si="277"/>
        <v>1.6006682062225625E-2</v>
      </c>
      <c r="BJ81" s="395">
        <f t="shared" si="278"/>
        <v>1.3560465692864704E-2</v>
      </c>
      <c r="BK81" s="395">
        <f t="shared" si="279"/>
        <v>2.5414129685335057E-2</v>
      </c>
      <c r="BM81" s="395">
        <f t="shared" si="249"/>
        <v>6.1215340558862892E-3</v>
      </c>
      <c r="BN81" s="395">
        <f t="shared" si="250"/>
        <v>7.8378056752903009E-3</v>
      </c>
      <c r="BO81" s="395">
        <f t="shared" si="251"/>
        <v>6.6694508592606777E-3</v>
      </c>
      <c r="BP81" s="395">
        <f t="shared" si="252"/>
        <v>5.6501940386936272E-3</v>
      </c>
      <c r="BQ81" s="395">
        <f t="shared" si="253"/>
        <v>1.0589220702222941E-2</v>
      </c>
    </row>
    <row r="82" spans="2:69" s="4" customFormat="1" outlineLevel="1">
      <c r="B82" s="463"/>
      <c r="C82" s="445" t="s">
        <v>167</v>
      </c>
      <c r="D82" s="29">
        <v>871.2</v>
      </c>
      <c r="E82" s="58">
        <v>81.647103623798216</v>
      </c>
      <c r="F82" s="58">
        <v>112.5890705535316</v>
      </c>
      <c r="G82" s="29">
        <f t="shared" si="217"/>
        <v>643.39423841284668</v>
      </c>
      <c r="H82" s="58">
        <v>33.569587409823562</v>
      </c>
      <c r="J82" s="29">
        <f t="shared" si="254"/>
        <v>72.600000000000009</v>
      </c>
      <c r="K82" s="58">
        <f t="shared" si="233"/>
        <v>6.8039253019831847</v>
      </c>
      <c r="L82" s="58">
        <f t="shared" si="234"/>
        <v>9.3824225461276338</v>
      </c>
      <c r="M82" s="29">
        <f t="shared" si="235"/>
        <v>53.616186534403887</v>
      </c>
      <c r="N82" s="58">
        <f t="shared" si="236"/>
        <v>2.797465617485297</v>
      </c>
      <c r="P82" s="29">
        <f t="shared" si="255"/>
        <v>363.00000000000006</v>
      </c>
      <c r="Q82" s="29">
        <f t="shared" si="256"/>
        <v>34.019626509915923</v>
      </c>
      <c r="R82" s="29">
        <f t="shared" si="257"/>
        <v>46.912112730638171</v>
      </c>
      <c r="S82" s="29">
        <f t="shared" si="258"/>
        <v>268.08093267201946</v>
      </c>
      <c r="T82" s="29">
        <f t="shared" si="259"/>
        <v>13.987328087426485</v>
      </c>
      <c r="V82" s="29">
        <f t="shared" si="260"/>
        <v>60</v>
      </c>
      <c r="W82" s="58">
        <v>5.623078761969575</v>
      </c>
      <c r="X82" s="58">
        <v>7.7540682199401925</v>
      </c>
      <c r="Y82" s="29">
        <v>42.623560991664412</v>
      </c>
      <c r="Z82" s="58">
        <v>3.9992920264258212</v>
      </c>
      <c r="AB82" s="29">
        <f t="shared" si="261"/>
        <v>60</v>
      </c>
      <c r="AC82" s="58">
        <v>5.623078761969575</v>
      </c>
      <c r="AD82" s="58">
        <v>7.7540682199401925</v>
      </c>
      <c r="AE82" s="29">
        <v>42.623560991664412</v>
      </c>
      <c r="AF82" s="58">
        <v>3.9992920264258212</v>
      </c>
      <c r="AH82" s="29">
        <f t="shared" si="262"/>
        <v>60</v>
      </c>
      <c r="AI82" s="58">
        <v>5.623078761969575</v>
      </c>
      <c r="AJ82" s="58">
        <v>7.7540682199401925</v>
      </c>
      <c r="AK82" s="29">
        <v>42.623560991664412</v>
      </c>
      <c r="AL82" s="58">
        <v>3.9992920264258212</v>
      </c>
      <c r="AN82" s="29">
        <f t="shared" si="263"/>
        <v>120</v>
      </c>
      <c r="AO82" s="58">
        <v>11.24615752393915</v>
      </c>
      <c r="AP82" s="58">
        <v>15.508136439880385</v>
      </c>
      <c r="AQ82" s="29">
        <v>85.247121983328825</v>
      </c>
      <c r="AR82" s="58">
        <v>7.9985840528516423</v>
      </c>
      <c r="AS82" s="452"/>
      <c r="AT82" s="29">
        <f t="shared" si="264"/>
        <v>30</v>
      </c>
      <c r="AU82" s="58">
        <v>2.8115393809847875</v>
      </c>
      <c r="AV82" s="58">
        <v>3.8770341099700962</v>
      </c>
      <c r="AW82" s="29">
        <v>21.311780495832206</v>
      </c>
      <c r="AX82" s="58">
        <v>1.9996460132129106</v>
      </c>
      <c r="AY82" s="58">
        <v>0</v>
      </c>
      <c r="BA82" s="29">
        <f t="shared" si="265"/>
        <v>330</v>
      </c>
      <c r="BB82" s="29">
        <f t="shared" si="266"/>
        <v>30.926933190832663</v>
      </c>
      <c r="BC82" s="29">
        <f t="shared" si="267"/>
        <v>42.647375209671054</v>
      </c>
      <c r="BD82" s="29">
        <f t="shared" si="268"/>
        <v>234.42958545415425</v>
      </c>
      <c r="BE82" s="29">
        <f t="shared" si="269"/>
        <v>21.996106145342019</v>
      </c>
      <c r="BG82" s="395">
        <f t="shared" si="275"/>
        <v>0.90909090909090895</v>
      </c>
      <c r="BH82" s="395">
        <f t="shared" si="276"/>
        <v>0.90909090909090928</v>
      </c>
      <c r="BI82" s="395">
        <f t="shared" si="277"/>
        <v>0.90909090909090884</v>
      </c>
      <c r="BJ82" s="395">
        <f t="shared" si="278"/>
        <v>0.87447317911626499</v>
      </c>
      <c r="BK82" s="395">
        <f t="shared" si="279"/>
        <v>1.5725738331050374</v>
      </c>
      <c r="BM82" s="395">
        <f t="shared" si="249"/>
        <v>0.37878787878787878</v>
      </c>
      <c r="BN82" s="395">
        <f t="shared" si="250"/>
        <v>0.37878787878787884</v>
      </c>
      <c r="BO82" s="395">
        <f t="shared" si="251"/>
        <v>0.37878787878787873</v>
      </c>
      <c r="BP82" s="395">
        <f t="shared" si="252"/>
        <v>0.36436382463177708</v>
      </c>
      <c r="BQ82" s="395">
        <f t="shared" si="253"/>
        <v>0.65523909712709894</v>
      </c>
    </row>
    <row r="83" spans="2:69" s="4" customFormat="1" outlineLevel="1">
      <c r="B83" s="13"/>
      <c r="C83" s="445" t="s">
        <v>94</v>
      </c>
      <c r="D83" s="29">
        <v>3605.5003167014129</v>
      </c>
      <c r="E83" s="50">
        <v>337.90020428530477</v>
      </c>
      <c r="F83" s="50">
        <v>465.95492371197872</v>
      </c>
      <c r="G83" s="29">
        <f t="shared" si="217"/>
        <v>2662.7159439409811</v>
      </c>
      <c r="H83" s="50">
        <v>138.92924476314809</v>
      </c>
      <c r="J83" s="29">
        <f t="shared" si="254"/>
        <v>300.45835972511776</v>
      </c>
      <c r="K83" s="50">
        <f t="shared" si="233"/>
        <v>28.158350357108731</v>
      </c>
      <c r="L83" s="50">
        <f t="shared" si="234"/>
        <v>38.829576975998229</v>
      </c>
      <c r="M83" s="29">
        <f t="shared" si="235"/>
        <v>221.89299532841508</v>
      </c>
      <c r="N83" s="50">
        <f t="shared" si="236"/>
        <v>11.577437063595674</v>
      </c>
      <c r="P83" s="29">
        <f t="shared" si="255"/>
        <v>1502.2917986255889</v>
      </c>
      <c r="Q83" s="29">
        <f t="shared" si="256"/>
        <v>140.79175178554365</v>
      </c>
      <c r="R83" s="29">
        <f t="shared" si="257"/>
        <v>194.14788487999115</v>
      </c>
      <c r="S83" s="29">
        <f t="shared" si="258"/>
        <v>1109.4649766420755</v>
      </c>
      <c r="T83" s="29">
        <f t="shared" si="259"/>
        <v>57.887185317978371</v>
      </c>
      <c r="V83" s="29">
        <f t="shared" si="260"/>
        <v>0</v>
      </c>
      <c r="W83" s="50">
        <v>0</v>
      </c>
      <c r="X83" s="50">
        <v>0</v>
      </c>
      <c r="Y83" s="29">
        <v>0</v>
      </c>
      <c r="Z83" s="50">
        <v>0</v>
      </c>
      <c r="AB83" s="29">
        <f t="shared" si="261"/>
        <v>0</v>
      </c>
      <c r="AC83" s="50">
        <v>0</v>
      </c>
      <c r="AD83" s="50">
        <v>0</v>
      </c>
      <c r="AE83" s="29">
        <v>0</v>
      </c>
      <c r="AF83" s="50">
        <v>0</v>
      </c>
      <c r="AH83" s="29">
        <f t="shared" si="262"/>
        <v>0</v>
      </c>
      <c r="AI83" s="50">
        <v>0</v>
      </c>
      <c r="AJ83" s="50">
        <v>0</v>
      </c>
      <c r="AK83" s="29">
        <v>0</v>
      </c>
      <c r="AL83" s="50">
        <v>0</v>
      </c>
      <c r="AN83" s="29">
        <f t="shared" si="263"/>
        <v>0</v>
      </c>
      <c r="AO83" s="50">
        <v>0</v>
      </c>
      <c r="AP83" s="50">
        <v>0</v>
      </c>
      <c r="AQ83" s="29">
        <v>0</v>
      </c>
      <c r="AR83" s="50">
        <v>0</v>
      </c>
      <c r="AS83" s="453"/>
      <c r="AT83" s="29">
        <f t="shared" si="264"/>
        <v>574.13562000000002</v>
      </c>
      <c r="AU83" s="50">
        <v>53.806830188537241</v>
      </c>
      <c r="AV83" s="50">
        <v>74.19811274962764</v>
      </c>
      <c r="AW83" s="29">
        <v>407.86174360928436</v>
      </c>
      <c r="AX83" s="50">
        <v>38.268933452550755</v>
      </c>
      <c r="AY83" s="50">
        <v>0</v>
      </c>
      <c r="BA83" s="29">
        <f t="shared" si="265"/>
        <v>574.13562000000002</v>
      </c>
      <c r="BB83" s="29">
        <f t="shared" si="266"/>
        <v>53.806830188537241</v>
      </c>
      <c r="BC83" s="29">
        <f t="shared" si="267"/>
        <v>74.19811274962764</v>
      </c>
      <c r="BD83" s="29">
        <f t="shared" si="268"/>
        <v>407.86174360928436</v>
      </c>
      <c r="BE83" s="29">
        <f t="shared" si="269"/>
        <v>38.268933452550755</v>
      </c>
      <c r="BG83" s="395">
        <f t="shared" si="275"/>
        <v>0.38217317070176587</v>
      </c>
      <c r="BH83" s="395">
        <f t="shared" si="276"/>
        <v>0.38217317070176599</v>
      </c>
      <c r="BI83" s="395">
        <f t="shared" si="277"/>
        <v>0.38217317070176582</v>
      </c>
      <c r="BJ83" s="395">
        <f t="shared" si="278"/>
        <v>0.36762020631216791</v>
      </c>
      <c r="BK83" s="395">
        <f t="shared" si="279"/>
        <v>0.66109508075641987</v>
      </c>
      <c r="BM83" s="395">
        <f t="shared" si="249"/>
        <v>0.15923882112573579</v>
      </c>
      <c r="BN83" s="395">
        <f t="shared" si="250"/>
        <v>0.15923882112573584</v>
      </c>
      <c r="BO83" s="395">
        <f t="shared" si="251"/>
        <v>0.15923882112573579</v>
      </c>
      <c r="BP83" s="395">
        <f t="shared" si="252"/>
        <v>0.15317508596340332</v>
      </c>
      <c r="BQ83" s="395">
        <f t="shared" si="253"/>
        <v>0.27545628364850827</v>
      </c>
    </row>
    <row r="84" spans="2:69" s="4" customFormat="1" outlineLevel="1">
      <c r="B84" s="13"/>
      <c r="C84" s="445" t="s">
        <v>157</v>
      </c>
      <c r="D84" s="29">
        <v>6382.8595199999982</v>
      </c>
      <c r="E84" s="50">
        <v>598.18869679245518</v>
      </c>
      <c r="F84" s="50">
        <v>824.88546927291179</v>
      </c>
      <c r="G84" s="29">
        <f t="shared" si="217"/>
        <v>4713.8372816420879</v>
      </c>
      <c r="H84" s="50">
        <v>245.94807229254408</v>
      </c>
      <c r="J84" s="29">
        <f t="shared" si="254"/>
        <v>531.90495999999985</v>
      </c>
      <c r="K84" s="50">
        <f t="shared" si="233"/>
        <v>49.849058066037934</v>
      </c>
      <c r="L84" s="50">
        <f t="shared" si="234"/>
        <v>68.740455772742649</v>
      </c>
      <c r="M84" s="29">
        <f t="shared" si="235"/>
        <v>392.81977347017397</v>
      </c>
      <c r="N84" s="50">
        <f t="shared" si="236"/>
        <v>20.495672691045339</v>
      </c>
      <c r="P84" s="29">
        <f t="shared" si="255"/>
        <v>2659.5247999999992</v>
      </c>
      <c r="Q84" s="29">
        <f t="shared" si="256"/>
        <v>249.24529033018968</v>
      </c>
      <c r="R84" s="29">
        <f t="shared" si="257"/>
        <v>343.70227886371322</v>
      </c>
      <c r="S84" s="29">
        <f t="shared" si="258"/>
        <v>1964.0988673508698</v>
      </c>
      <c r="T84" s="29">
        <f t="shared" si="259"/>
        <v>102.4783634552267</v>
      </c>
      <c r="V84" s="29">
        <f t="shared" si="260"/>
        <v>0</v>
      </c>
      <c r="W84" s="50">
        <v>0</v>
      </c>
      <c r="X84" s="50">
        <v>0</v>
      </c>
      <c r="Y84" s="29">
        <v>0</v>
      </c>
      <c r="Z84" s="50">
        <v>0</v>
      </c>
      <c r="AB84" s="29">
        <f t="shared" si="261"/>
        <v>0</v>
      </c>
      <c r="AC84" s="50">
        <v>0</v>
      </c>
      <c r="AD84" s="50">
        <v>0</v>
      </c>
      <c r="AE84" s="29">
        <v>0</v>
      </c>
      <c r="AF84" s="50">
        <v>0</v>
      </c>
      <c r="AH84" s="29">
        <f t="shared" si="262"/>
        <v>0</v>
      </c>
      <c r="AI84" s="50">
        <v>0</v>
      </c>
      <c r="AJ84" s="50">
        <v>0</v>
      </c>
      <c r="AK84" s="29">
        <v>0</v>
      </c>
      <c r="AL84" s="50">
        <v>0</v>
      </c>
      <c r="AN84" s="29">
        <f t="shared" si="263"/>
        <v>331.63499999999999</v>
      </c>
      <c r="AO84" s="50">
        <v>31.080162087096333</v>
      </c>
      <c r="AP84" s="50">
        <v>42.858673568664429</v>
      </c>
      <c r="AQ84" s="29">
        <v>235.59107749117712</v>
      </c>
      <c r="AR84" s="50">
        <v>22.105086853062119</v>
      </c>
      <c r="AS84" s="453"/>
      <c r="AT84" s="29">
        <f t="shared" si="264"/>
        <v>216.43</v>
      </c>
      <c r="AU84" s="50">
        <v>20.283382274217917</v>
      </c>
      <c r="AV84" s="50">
        <v>27.970216414027597</v>
      </c>
      <c r="AW84" s="29">
        <v>153.75028842376548</v>
      </c>
      <c r="AX84" s="50">
        <v>14.426112887989008</v>
      </c>
      <c r="AY84" s="50">
        <v>0</v>
      </c>
      <c r="BA84" s="29">
        <f t="shared" si="265"/>
        <v>548.06500000000005</v>
      </c>
      <c r="BB84" s="29">
        <f t="shared" si="266"/>
        <v>51.363544361314254</v>
      </c>
      <c r="BC84" s="29">
        <f t="shared" si="267"/>
        <v>70.828889982692033</v>
      </c>
      <c r="BD84" s="29">
        <f t="shared" si="268"/>
        <v>389.34136591494257</v>
      </c>
      <c r="BE84" s="29">
        <f t="shared" si="269"/>
        <v>36.531199741051125</v>
      </c>
      <c r="BG84" s="395">
        <f t="shared" si="275"/>
        <v>0.20607628851590337</v>
      </c>
      <c r="BH84" s="395">
        <f t="shared" si="276"/>
        <v>0.20607628851590332</v>
      </c>
      <c r="BI84" s="395">
        <f t="shared" si="277"/>
        <v>0.20607628851590334</v>
      </c>
      <c r="BJ84" s="395">
        <f t="shared" si="278"/>
        <v>0.19822900587488093</v>
      </c>
      <c r="BK84" s="395">
        <f t="shared" si="279"/>
        <v>0.35647719683786505</v>
      </c>
      <c r="BM84" s="395">
        <f t="shared" si="249"/>
        <v>8.5865120214959734E-2</v>
      </c>
      <c r="BN84" s="395">
        <f t="shared" si="250"/>
        <v>8.586512021495972E-2</v>
      </c>
      <c r="BO84" s="395">
        <f t="shared" si="251"/>
        <v>8.586512021495972E-2</v>
      </c>
      <c r="BP84" s="395">
        <f t="shared" si="252"/>
        <v>8.2595419114533719E-2</v>
      </c>
      <c r="BQ84" s="395">
        <f t="shared" si="253"/>
        <v>0.14853216534911043</v>
      </c>
    </row>
    <row r="85" spans="2:69" s="4" customFormat="1" outlineLevel="1">
      <c r="B85" s="13"/>
      <c r="C85" s="445" t="s">
        <v>158</v>
      </c>
      <c r="D85" s="29">
        <v>312.42857142857144</v>
      </c>
      <c r="E85" s="50">
        <v>29.280174410541569</v>
      </c>
      <c r="F85" s="50">
        <v>40.376540945260004</v>
      </c>
      <c r="G85" s="29">
        <f t="shared" si="217"/>
        <v>230.73317581806634</v>
      </c>
      <c r="H85" s="50">
        <v>12.03868025470355</v>
      </c>
      <c r="J85" s="29">
        <f t="shared" si="254"/>
        <v>26.035714285714288</v>
      </c>
      <c r="K85" s="50">
        <f t="shared" si="233"/>
        <v>2.4400145342117976</v>
      </c>
      <c r="L85" s="50">
        <f t="shared" si="234"/>
        <v>3.3647117454383335</v>
      </c>
      <c r="M85" s="29">
        <f t="shared" si="235"/>
        <v>19.227764651505527</v>
      </c>
      <c r="N85" s="50">
        <f t="shared" si="236"/>
        <v>1.0032233545586291</v>
      </c>
      <c r="P85" s="29">
        <f t="shared" si="255"/>
        <v>130.17857142857144</v>
      </c>
      <c r="Q85" s="29">
        <f t="shared" si="256"/>
        <v>12.200072671058988</v>
      </c>
      <c r="R85" s="29">
        <f t="shared" si="257"/>
        <v>16.823558727191667</v>
      </c>
      <c r="S85" s="29">
        <f t="shared" si="258"/>
        <v>96.138823257527633</v>
      </c>
      <c r="T85" s="29">
        <f t="shared" si="259"/>
        <v>5.0161167727931453</v>
      </c>
      <c r="V85" s="29">
        <f t="shared" si="260"/>
        <v>0</v>
      </c>
      <c r="W85" s="50">
        <v>0</v>
      </c>
      <c r="X85" s="50">
        <v>0</v>
      </c>
      <c r="Y85" s="29">
        <v>0</v>
      </c>
      <c r="Z85" s="50">
        <v>0</v>
      </c>
      <c r="AB85" s="29">
        <f t="shared" si="261"/>
        <v>0</v>
      </c>
      <c r="AC85" s="50">
        <v>0</v>
      </c>
      <c r="AD85" s="50">
        <v>0</v>
      </c>
      <c r="AE85" s="29">
        <v>0</v>
      </c>
      <c r="AF85" s="50">
        <v>0</v>
      </c>
      <c r="AH85" s="29">
        <f t="shared" si="262"/>
        <v>0</v>
      </c>
      <c r="AI85" s="50">
        <v>0</v>
      </c>
      <c r="AJ85" s="50">
        <v>0</v>
      </c>
      <c r="AK85" s="29">
        <v>0</v>
      </c>
      <c r="AL85" s="50">
        <v>0</v>
      </c>
      <c r="AN85" s="29">
        <f t="shared" si="263"/>
        <v>0</v>
      </c>
      <c r="AO85" s="50">
        <v>0</v>
      </c>
      <c r="AP85" s="50">
        <v>0</v>
      </c>
      <c r="AQ85" s="29">
        <v>0</v>
      </c>
      <c r="AR85" s="50">
        <v>0</v>
      </c>
      <c r="AS85" s="453"/>
      <c r="AT85" s="29">
        <f t="shared" si="264"/>
        <v>0</v>
      </c>
      <c r="AU85" s="50">
        <v>0</v>
      </c>
      <c r="AV85" s="50">
        <v>0</v>
      </c>
      <c r="AW85" s="29">
        <v>0</v>
      </c>
      <c r="AX85" s="50">
        <v>0</v>
      </c>
      <c r="AY85" s="50">
        <v>0</v>
      </c>
      <c r="BA85" s="29">
        <f t="shared" si="265"/>
        <v>0</v>
      </c>
      <c r="BB85" s="29">
        <f t="shared" si="266"/>
        <v>0</v>
      </c>
      <c r="BC85" s="29">
        <f t="shared" si="267"/>
        <v>0</v>
      </c>
      <c r="BD85" s="29">
        <f t="shared" si="268"/>
        <v>0</v>
      </c>
      <c r="BE85" s="29">
        <f t="shared" si="269"/>
        <v>0</v>
      </c>
      <c r="BG85" s="395">
        <f t="shared" si="275"/>
        <v>0</v>
      </c>
      <c r="BH85" s="395">
        <f t="shared" si="276"/>
        <v>0</v>
      </c>
      <c r="BI85" s="395">
        <f t="shared" si="277"/>
        <v>0</v>
      </c>
      <c r="BJ85" s="395">
        <f t="shared" si="278"/>
        <v>0</v>
      </c>
      <c r="BK85" s="395">
        <f t="shared" si="279"/>
        <v>0</v>
      </c>
      <c r="BM85" s="395">
        <f t="shared" si="249"/>
        <v>0</v>
      </c>
      <c r="BN85" s="395">
        <f t="shared" si="250"/>
        <v>0</v>
      </c>
      <c r="BO85" s="395">
        <f t="shared" si="251"/>
        <v>0</v>
      </c>
      <c r="BP85" s="395">
        <f t="shared" si="252"/>
        <v>0</v>
      </c>
      <c r="BQ85" s="395">
        <f t="shared" si="253"/>
        <v>0</v>
      </c>
    </row>
    <row r="86" spans="2:69" s="4" customFormat="1">
      <c r="B86" s="384" t="s">
        <v>45</v>
      </c>
      <c r="C86" s="385" t="s">
        <v>274</v>
      </c>
      <c r="D86" s="386">
        <f>D87+D125</f>
        <v>3265785.471496609</v>
      </c>
      <c r="E86" s="386">
        <f>E87+E125</f>
        <v>957474.9034175683</v>
      </c>
      <c r="F86" s="386">
        <f>F87+F125</f>
        <v>802930.86606777809</v>
      </c>
      <c r="G86" s="386">
        <f>G87+G125</f>
        <v>1486213.4185753881</v>
      </c>
      <c r="H86" s="386">
        <f>H87+H125</f>
        <v>19166.283435874579</v>
      </c>
      <c r="J86" s="386">
        <f t="shared" si="254"/>
        <v>272148.78929138411</v>
      </c>
      <c r="K86" s="386">
        <f t="shared" si="233"/>
        <v>79789.575284797364</v>
      </c>
      <c r="L86" s="386">
        <f t="shared" si="234"/>
        <v>66910.905505648174</v>
      </c>
      <c r="M86" s="386">
        <f t="shared" si="235"/>
        <v>123851.11821461568</v>
      </c>
      <c r="N86" s="386">
        <f t="shared" si="236"/>
        <v>1597.1902863228815</v>
      </c>
      <c r="P86" s="386">
        <f t="shared" ref="P86:T87" si="280">J86*5</f>
        <v>1360743.9464569206</v>
      </c>
      <c r="Q86" s="386">
        <f t="shared" si="280"/>
        <v>398947.8764239868</v>
      </c>
      <c r="R86" s="386">
        <f t="shared" si="280"/>
        <v>334554.52752824087</v>
      </c>
      <c r="S86" s="386">
        <f t="shared" si="280"/>
        <v>619255.59107307834</v>
      </c>
      <c r="T86" s="386">
        <f t="shared" si="280"/>
        <v>7985.9514316144077</v>
      </c>
      <c r="V86" s="386">
        <f>V87+V125</f>
        <v>292015.05365000002</v>
      </c>
      <c r="W86" s="386">
        <f>W87+W125</f>
        <v>121562.30743743155</v>
      </c>
      <c r="X86" s="386">
        <f>X87+X125</f>
        <v>93773.084383044916</v>
      </c>
      <c r="Y86" s="386">
        <f>Y87+Y125</f>
        <v>69668.955167658598</v>
      </c>
      <c r="Z86" s="386">
        <f>Z87+Z125</f>
        <v>7010.7066618649387</v>
      </c>
      <c r="AB86" s="386">
        <f>AB87+AB125</f>
        <v>271123.55119000003</v>
      </c>
      <c r="AC86" s="386">
        <f>AC87+AC125</f>
        <v>116570.15067995645</v>
      </c>
      <c r="AD86" s="386">
        <f>AD87+AD125</f>
        <v>89268.411481034113</v>
      </c>
      <c r="AE86" s="386">
        <f>AE87+AE125</f>
        <v>59265.052586009901</v>
      </c>
      <c r="AF86" s="386">
        <f>AF87+AF125</f>
        <v>6019.9364429995394</v>
      </c>
      <c r="AH86" s="386">
        <f>AH87+AH125</f>
        <v>281446.82108000002</v>
      </c>
      <c r="AI86" s="386">
        <f>AI87+AI125</f>
        <v>120562.23136919436</v>
      </c>
      <c r="AJ86" s="386">
        <f>AJ87+AJ125</f>
        <v>92401.804868127438</v>
      </c>
      <c r="AK86" s="386">
        <f>AK87+AK125</f>
        <v>62174.717933578853</v>
      </c>
      <c r="AL86" s="386">
        <f>AL87+AL125</f>
        <v>6308.0669090993524</v>
      </c>
      <c r="AN86" s="386">
        <f>AN87+AN125</f>
        <v>265484.96101999999</v>
      </c>
      <c r="AO86" s="386">
        <f>AO87+AO125</f>
        <v>113933.49957442572</v>
      </c>
      <c r="AP86" s="386">
        <f>AP87+AP125</f>
        <v>87285.507589004133</v>
      </c>
      <c r="AQ86" s="386">
        <f>AQ87+AQ125</f>
        <v>58343.316172084917</v>
      </c>
      <c r="AR86" s="386">
        <f>AR87+AR125</f>
        <v>5922.6376844852248</v>
      </c>
      <c r="AS86" s="460"/>
      <c r="AT86" s="386">
        <f t="shared" ref="AT86:AY86" si="281">AT87+AT125</f>
        <v>265532.11626000004</v>
      </c>
      <c r="AU86" s="386">
        <f t="shared" si="281"/>
        <v>111199.04169640176</v>
      </c>
      <c r="AV86" s="386">
        <f t="shared" si="281"/>
        <v>85659.753777735124</v>
      </c>
      <c r="AW86" s="386">
        <f t="shared" si="281"/>
        <v>62388.674338330915</v>
      </c>
      <c r="AX86" s="386">
        <f t="shared" si="281"/>
        <v>6284.6464475322173</v>
      </c>
      <c r="AY86" s="386">
        <f t="shared" si="281"/>
        <v>0</v>
      </c>
      <c r="BA86" s="386">
        <f>BA87+BA125</f>
        <v>1375602.5031999999</v>
      </c>
      <c r="BB86" s="386">
        <f>BB87+BB125</f>
        <v>583827.28090036148</v>
      </c>
      <c r="BC86" s="386">
        <f>BC87+BC125</f>
        <v>448388.58786646958</v>
      </c>
      <c r="BD86" s="386">
        <f>BD87+BD125</f>
        <v>311840.57203440729</v>
      </c>
      <c r="BE86" s="386">
        <f>BE87+BE125</f>
        <v>31546.062398761733</v>
      </c>
      <c r="BG86" s="398">
        <f t="shared" si="275"/>
        <v>1.0109194362258731</v>
      </c>
      <c r="BH86" s="398">
        <f t="shared" si="276"/>
        <v>1.4634174422322073</v>
      </c>
      <c r="BI86" s="398">
        <f t="shared" si="277"/>
        <v>1.3402556264273531</v>
      </c>
      <c r="BJ86" s="398">
        <f t="shared" si="278"/>
        <v>0.50357328464977391</v>
      </c>
      <c r="BK86" s="398">
        <f t="shared" si="279"/>
        <v>3.9501946222561122</v>
      </c>
      <c r="BM86" s="398">
        <f>BA86/D86</f>
        <v>0.42121643176078055</v>
      </c>
      <c r="BN86" s="398">
        <f t="shared" si="250"/>
        <v>0.60975726759675308</v>
      </c>
      <c r="BO86" s="398">
        <f t="shared" si="251"/>
        <v>0.55843984434473037</v>
      </c>
      <c r="BP86" s="398">
        <f t="shared" si="252"/>
        <v>0.20982220193740578</v>
      </c>
      <c r="BQ86" s="398">
        <f t="shared" si="253"/>
        <v>1.6459144259400467</v>
      </c>
    </row>
    <row r="87" spans="2:69" s="4" customFormat="1">
      <c r="B87" s="375" t="s">
        <v>46</v>
      </c>
      <c r="C87" s="379" t="s">
        <v>47</v>
      </c>
      <c r="D87" s="376">
        <f>D88+D89+D90+D91+D92+D97+D98+D99+D102+D103+D104+D107</f>
        <v>205400.59825860927</v>
      </c>
      <c r="E87" s="376">
        <f>E88+E89+E90+E91+E92+E97+E99+E103+E104+E107</f>
        <v>13279.903417568295</v>
      </c>
      <c r="F87" s="376">
        <f>F88+F89+F90+F91+F92+F97+F98+F99+F102+F103+F104+F107</f>
        <v>12722.466067778021</v>
      </c>
      <c r="G87" s="376">
        <f>G88+G89+G90+G91+G92+G97+G98+G99+G102+G103+G104+G107</f>
        <v>171717.13817254818</v>
      </c>
      <c r="H87" s="376">
        <f>H88+H89+H90+H91+H92+H97+H98+H99+H102+H103+H104+H107</f>
        <v>7681.0906007147496</v>
      </c>
      <c r="J87" s="376">
        <f t="shared" si="254"/>
        <v>17116.716521550774</v>
      </c>
      <c r="K87" s="376">
        <f t="shared" si="233"/>
        <v>1106.6586181306914</v>
      </c>
      <c r="L87" s="376">
        <f t="shared" si="234"/>
        <v>1060.2055056481684</v>
      </c>
      <c r="M87" s="376">
        <f t="shared" si="235"/>
        <v>14309.761514379015</v>
      </c>
      <c r="N87" s="376">
        <f t="shared" si="236"/>
        <v>640.09088339289576</v>
      </c>
      <c r="P87" s="376">
        <f t="shared" si="280"/>
        <v>85583.582607753866</v>
      </c>
      <c r="Q87" s="376">
        <f t="shared" si="280"/>
        <v>5533.2930906534566</v>
      </c>
      <c r="R87" s="376">
        <f t="shared" si="280"/>
        <v>5301.027528240842</v>
      </c>
      <c r="S87" s="376">
        <f t="shared" si="280"/>
        <v>71548.807571895071</v>
      </c>
      <c r="T87" s="376">
        <f t="shared" si="280"/>
        <v>3200.4544169644787</v>
      </c>
      <c r="V87" s="376">
        <f>V88+V89+V90+V91+V92+V97+V98+V99+V102+V103+V104+V107</f>
        <v>22831.38465</v>
      </c>
      <c r="W87" s="376">
        <f>W88+W89+W90+W91+W92+W97+W99+W103+W104+W107</f>
        <v>2622.7508315036075</v>
      </c>
      <c r="X87" s="376">
        <f>X88+X89+X90+X91+X92+X97+X98+X99+X102+X103+X104+X107</f>
        <v>3237.4807806608701</v>
      </c>
      <c r="Y87" s="376">
        <f>Y88+Y89+Y90+Y91+Y92+Y97+Y98+Y99+Y102+Y103+Y104+Y107</f>
        <v>15514.375445580841</v>
      </c>
      <c r="Z87" s="376">
        <f>Z88+Z89+Z90+Z91+Z92+Z97+Z98+Z99+Z102+Z103+Z104+Z107</f>
        <v>1456.7775922546787</v>
      </c>
      <c r="AB87" s="376">
        <f>AB88+AB89+AB90+AB91+AB92+AB97+AB98+AB99+AB102+AB103+AB104+AB107</f>
        <v>10623.226189999998</v>
      </c>
      <c r="AC87" s="376">
        <f>AC88+AC89+AC90+AC91+AC92+AC97+AC99+AC103+AC104+AC107</f>
        <v>1467.3538932757401</v>
      </c>
      <c r="AD87" s="376">
        <f>AD88+AD89+AD90+AD91+AD92+AD97+AD98+AD99+AD102+AD103+AD104+AD107</f>
        <v>1653.3111664150467</v>
      </c>
      <c r="AE87" s="376">
        <f>AE88+AE89+AE90+AE91+AE92+AE97+AE98+AE99+AE102+AE103+AE104+AE107</f>
        <v>6857.3947580022605</v>
      </c>
      <c r="AF87" s="376">
        <f>AF88+AF89+AF90+AF91+AF92+AF97+AF98+AF99+AF102+AF103+AF104+AF107</f>
        <v>645.16637230695176</v>
      </c>
      <c r="AH87" s="376">
        <f>AH88+AH89+AH90+AH91+AH92+AH97+AH98+AH99+AH102+AH103+AH104+AH107</f>
        <v>12263.15208</v>
      </c>
      <c r="AI87" s="376">
        <f>AI88+AI89+AI90+AI91+AI92+AI97+AI99+AI103+AI104+AI107</f>
        <v>1622.6747632664185</v>
      </c>
      <c r="AJ87" s="376">
        <f>AJ88+AJ89+AJ90+AJ91+AJ92+AJ97+AJ98+AJ99+AJ102+AJ103+AJ104+AJ107</f>
        <v>1866.2012657433982</v>
      </c>
      <c r="AK87" s="376">
        <f>AK88+AK89+AK90+AK91+AK92+AK97+AK98+AK99+AK102+AK103+AK104+AK107</f>
        <v>8020.1382115010892</v>
      </c>
      <c r="AL87" s="376">
        <f>AL88+AL89+AL90+AL91+AL92+AL97+AL98+AL99+AL102+AL103+AL104+AL107</f>
        <v>754.13783948909281</v>
      </c>
      <c r="AN87" s="376">
        <f>AN88+AN89+AN90+AN91+AN92+AN97+AN98+AN99+AN102+AN103+AN104+AN107</f>
        <v>11051.303019999999</v>
      </c>
      <c r="AO87" s="376">
        <f>AO88+AO89+AO90+AO91+AO92+AO97+AO99+AO103+AO104+AO107</f>
        <v>1511.2765600558891</v>
      </c>
      <c r="AP87" s="376">
        <f>AP88+AP89+AP90+AP91+AP92+AP97+AP98+AP99+AP102+AP103+AP104+AP107</f>
        <v>1710.8332806880976</v>
      </c>
      <c r="AQ87" s="376">
        <f>AQ88+AQ89+AQ90+AQ91+AQ92+AQ97+AQ98+AQ99+AQ102+AQ103+AQ104+AQ107</f>
        <v>7156.1551257702267</v>
      </c>
      <c r="AR87" s="376">
        <f>AR88+AR89+AR90+AR91+AR92+AR97+AR98+AR99+AR102+AR103+AR104+AR107</f>
        <v>673.0380534857868</v>
      </c>
      <c r="AS87" s="461"/>
      <c r="AT87" s="376">
        <f>AT88+AT89+AT90+AT91+AT92+AT97+AT98+AT99+AT102+AT103+AT104+AT107</f>
        <v>19007.73126</v>
      </c>
      <c r="AU87" s="376">
        <f>AU88+AU89+AU90+AU91+AU92+AU97+AU99+AU103+AU104+AU107</f>
        <v>2271.5530661421249</v>
      </c>
      <c r="AV87" s="376">
        <f>AV88+AV89+AV90+AV91+AV92+AV97+AV98+AV99+AV102+AV103+AV104+AV107</f>
        <v>2745.2364089956686</v>
      </c>
      <c r="AW87" s="376">
        <f>AW88+AW89+AW90+AW91+AW92+AW97+AW98+AW99+AW102+AW103+AW104+AW107</f>
        <v>12792.706980746929</v>
      </c>
      <c r="AX87" s="376">
        <f>AX88+AX89+AX90+AX91+AX92+AX97+AX98+AX99+AX102+AX103+AX104+AX107</f>
        <v>1198.2348041152775</v>
      </c>
      <c r="AY87" s="376">
        <f>AY88+AY89+AY90+AY91+AY92+AY97+AY98+AY99+AY102+AY103+AY104+AY107</f>
        <v>0</v>
      </c>
      <c r="BA87" s="376">
        <f>BA88+BA89+BA90+BA91+BA92+BA97+BA98+BA99+BA102+BA103+BA104+BA107</f>
        <v>75776.797199999986</v>
      </c>
      <c r="BB87" s="376">
        <f>BB88+BB89+BB90+BB91+BB92+BB97+BB99+BB103+BB104+BB107</f>
        <v>9495.6592571953861</v>
      </c>
      <c r="BC87" s="376">
        <f>BC88+BC89+BC90+BC91+BC92+BC97+BC98+BC99+BC102+BC103+BC104+BC107</f>
        <v>11213.088670026891</v>
      </c>
      <c r="BD87" s="376">
        <f>BD88+BD89+BD90+BD91+BD92+BD97+BD98+BD99+BD102+BD103+BD104+BD107</f>
        <v>50340.626358345457</v>
      </c>
      <c r="BE87" s="376">
        <f>BE88+BE89+BE90+BE91+BE92+BE97+BE98+BE99+BE102+BE103+BE104+BE107</f>
        <v>4727.4229144322499</v>
      </c>
      <c r="BG87" s="397">
        <f t="shared" si="275"/>
        <v>0.8854127729999306</v>
      </c>
      <c r="BH87" s="397">
        <f t="shared" si="276"/>
        <v>1.7160954790619978</v>
      </c>
      <c r="BI87" s="397">
        <f t="shared" si="277"/>
        <v>2.1152670138553269</v>
      </c>
      <c r="BJ87" s="397">
        <f t="shared" si="278"/>
        <v>0.70358442113463882</v>
      </c>
      <c r="BK87" s="397">
        <f t="shared" si="279"/>
        <v>1.4771099033230564</v>
      </c>
      <c r="BM87" s="397">
        <f>BA87/D87</f>
        <v>0.36892198874997112</v>
      </c>
      <c r="BN87" s="397">
        <f t="shared" si="250"/>
        <v>0.71503978294249915</v>
      </c>
      <c r="BO87" s="397">
        <f t="shared" si="251"/>
        <v>0.88136125577305291</v>
      </c>
      <c r="BP87" s="397">
        <f t="shared" si="252"/>
        <v>0.29316017547276618</v>
      </c>
      <c r="BQ87" s="397">
        <f t="shared" si="253"/>
        <v>0.61546245971794011</v>
      </c>
    </row>
    <row r="88" spans="2:69" s="4" customFormat="1" outlineLevel="1">
      <c r="B88" s="13" t="s">
        <v>49</v>
      </c>
      <c r="C88" s="444" t="s">
        <v>48</v>
      </c>
      <c r="D88" s="33">
        <v>131541.34399999998</v>
      </c>
      <c r="E88" s="33">
        <v>5495.6</v>
      </c>
      <c r="F88" s="33">
        <v>2198.4</v>
      </c>
      <c r="G88" s="33">
        <f>D88-E88-F88-H88</f>
        <v>118778.71607826713</v>
      </c>
      <c r="H88" s="33">
        <v>5068.627921732862</v>
      </c>
      <c r="J88" s="33">
        <f t="shared" si="254"/>
        <v>10961.778666666665</v>
      </c>
      <c r="K88" s="33">
        <f t="shared" si="233"/>
        <v>457.9666666666667</v>
      </c>
      <c r="L88" s="33">
        <f t="shared" si="234"/>
        <v>183.20000000000002</v>
      </c>
      <c r="M88" s="33">
        <f t="shared" si="235"/>
        <v>9898.2263398555933</v>
      </c>
      <c r="N88" s="33">
        <f t="shared" si="236"/>
        <v>422.38566014440516</v>
      </c>
      <c r="P88" s="33">
        <f t="shared" ref="P88:P96" si="282">J88*5</f>
        <v>54808.893333333326</v>
      </c>
      <c r="Q88" s="33">
        <f t="shared" ref="Q88:Q96" si="283">K88*5</f>
        <v>2289.8333333333335</v>
      </c>
      <c r="R88" s="33">
        <f t="shared" ref="R88:R96" si="284">L88*5</f>
        <v>916.00000000000011</v>
      </c>
      <c r="S88" s="33">
        <f t="shared" ref="S88:S96" si="285">M88*5</f>
        <v>49491.131699277968</v>
      </c>
      <c r="T88" s="33">
        <f t="shared" ref="T88:T96" si="286">N88*5</f>
        <v>2111.9283007220256</v>
      </c>
      <c r="V88" s="33">
        <f t="shared" ref="V88:V91" si="287">W88+X88+Y88+Z88</f>
        <v>18729.151999999998</v>
      </c>
      <c r="W88" s="33">
        <v>1755.2582806816663</v>
      </c>
      <c r="X88" s="33">
        <v>2420.4520384938214</v>
      </c>
      <c r="Y88" s="33">
        <v>13305.05254323589</v>
      </c>
      <c r="Z88" s="33">
        <v>1248.3891375886203</v>
      </c>
      <c r="AB88" s="33">
        <f t="shared" ref="AB88:AB91" si="288">AC88+AD88+AE88+AF88</f>
        <v>7403.3869999999997</v>
      </c>
      <c r="AC88" s="33">
        <v>693.83047010569408</v>
      </c>
      <c r="AD88" s="33">
        <v>956.77279761030593</v>
      </c>
      <c r="AE88" s="33">
        <v>5259.3119556565898</v>
      </c>
      <c r="AF88" s="33">
        <v>493.47177662740967</v>
      </c>
      <c r="AH88" s="33">
        <f t="shared" ref="AH88:AH91" si="289">AI88+AJ88+AK88+AL88</f>
        <v>8546.33</v>
      </c>
      <c r="AI88" s="33">
        <v>800.94477859639062</v>
      </c>
      <c r="AJ88" s="33">
        <v>1104.4804308353578</v>
      </c>
      <c r="AK88" s="33">
        <v>6071.2503001648547</v>
      </c>
      <c r="AL88" s="33">
        <v>569.65449040339649</v>
      </c>
      <c r="AN88" s="33">
        <f t="shared" ref="AN88:AN91" si="290">AO88+AP88+AQ88+AR88</f>
        <v>7917.3159999999989</v>
      </c>
      <c r="AO88" s="33">
        <v>741.99485752336511</v>
      </c>
      <c r="AP88" s="33">
        <v>1023.1901397137334</v>
      </c>
      <c r="AQ88" s="33">
        <v>5624.4033569380081</v>
      </c>
      <c r="AR88" s="33">
        <v>527.72764582489287</v>
      </c>
      <c r="AS88" s="451"/>
      <c r="AT88" s="33">
        <f>AU88+AV88+AW88+AX88+AY88</f>
        <v>14532.49893</v>
      </c>
      <c r="AU88" s="33">
        <v>1361.9564348604761</v>
      </c>
      <c r="AV88" s="33">
        <v>1878.0998018237974</v>
      </c>
      <c r="AW88" s="33">
        <v>10323.780908402547</v>
      </c>
      <c r="AX88" s="33">
        <v>968.66178491317964</v>
      </c>
      <c r="AY88" s="33">
        <v>0</v>
      </c>
      <c r="BA88" s="33">
        <f t="shared" ref="BA88:BA91" si="291">BB88+BC88+BD88+BE88</f>
        <v>57128.683929999992</v>
      </c>
      <c r="BB88" s="33">
        <f t="shared" ref="BB88:BC91" si="292">W88+AC88+AI88+AO88+AU88</f>
        <v>5353.9848217675926</v>
      </c>
      <c r="BC88" s="33">
        <f t="shared" si="292"/>
        <v>7382.9952084770157</v>
      </c>
      <c r="BD88" s="33">
        <f>Y88+AE88+AK88+AQ88+AW88+AY88</f>
        <v>40583.799064397885</v>
      </c>
      <c r="BE88" s="33">
        <f>Z88+AF88+AL88+AR88+AX88</f>
        <v>3807.904835357499</v>
      </c>
      <c r="BG88" s="396">
        <f t="shared" si="275"/>
        <v>1.0423250763805485</v>
      </c>
      <c r="BH88" s="396">
        <f t="shared" si="276"/>
        <v>2.33815480970999</v>
      </c>
      <c r="BI88" s="396">
        <f t="shared" si="277"/>
        <v>8.0600384372019818</v>
      </c>
      <c r="BJ88" s="396">
        <f t="shared" si="278"/>
        <v>0.8200216416750471</v>
      </c>
      <c r="BK88" s="396">
        <f t="shared" si="279"/>
        <v>1.8030464547757863</v>
      </c>
      <c r="BM88" s="396">
        <f t="shared" ref="BM88:BM96" si="293">BA88/D88</f>
        <v>0.43430211515856187</v>
      </c>
      <c r="BN88" s="396">
        <f t="shared" ref="BN88:BN96" si="294">BB88/E88</f>
        <v>0.97423117071249588</v>
      </c>
      <c r="BO88" s="396">
        <f t="shared" ref="BO88:BO96" si="295">BC88/F88</f>
        <v>3.3583493488341589</v>
      </c>
      <c r="BP88" s="396">
        <f t="shared" ref="BP88:BP96" si="296">BD88/G88</f>
        <v>0.34167568403126963</v>
      </c>
      <c r="BQ88" s="396">
        <f t="shared" ref="BQ88:BQ96" si="297">BE88/H88</f>
        <v>0.75126935615657753</v>
      </c>
    </row>
    <row r="89" spans="2:69" s="4" customFormat="1" outlineLevel="1">
      <c r="B89" s="13" t="s">
        <v>50</v>
      </c>
      <c r="C89" s="444" t="s">
        <v>20</v>
      </c>
      <c r="D89" s="33">
        <v>13022.593056</v>
      </c>
      <c r="E89" s="33">
        <v>544</v>
      </c>
      <c r="F89" s="33">
        <v>1683.3</v>
      </c>
      <c r="G89" s="33">
        <f>D89-E89-F89-H89</f>
        <v>10293.498891748448</v>
      </c>
      <c r="H89" s="33">
        <v>501.79416425155341</v>
      </c>
      <c r="J89" s="33">
        <f t="shared" si="254"/>
        <v>1085.2160879999999</v>
      </c>
      <c r="K89" s="33">
        <f t="shared" si="233"/>
        <v>45.333333333333336</v>
      </c>
      <c r="L89" s="33">
        <f t="shared" si="234"/>
        <v>140.27500000000001</v>
      </c>
      <c r="M89" s="33">
        <f t="shared" si="235"/>
        <v>857.7915743123707</v>
      </c>
      <c r="N89" s="33">
        <f t="shared" si="236"/>
        <v>41.816180354296115</v>
      </c>
      <c r="P89" s="33">
        <f t="shared" si="282"/>
        <v>5426.0804399999997</v>
      </c>
      <c r="Q89" s="33">
        <f t="shared" si="283"/>
        <v>226.66666666666669</v>
      </c>
      <c r="R89" s="33">
        <f t="shared" si="284"/>
        <v>701.375</v>
      </c>
      <c r="S89" s="33">
        <f t="shared" si="285"/>
        <v>4288.9578715618536</v>
      </c>
      <c r="T89" s="33">
        <f t="shared" si="286"/>
        <v>209.08090177148057</v>
      </c>
      <c r="V89" s="33">
        <f t="shared" si="287"/>
        <v>1898.8630000000003</v>
      </c>
      <c r="W89" s="33">
        <v>177.9576034531639</v>
      </c>
      <c r="X89" s="33">
        <v>245.39855403867156</v>
      </c>
      <c r="Y89" s="33">
        <v>1348.938381588581</v>
      </c>
      <c r="Z89" s="33">
        <v>126.56846091958357</v>
      </c>
      <c r="AB89" s="33">
        <f t="shared" si="288"/>
        <v>732.93599999999992</v>
      </c>
      <c r="AC89" s="33">
        <v>68.689280924715547</v>
      </c>
      <c r="AD89" s="33">
        <v>94.72059574750142</v>
      </c>
      <c r="AE89" s="33">
        <v>520.67237164977576</v>
      </c>
      <c r="AF89" s="33">
        <v>48.853751678007264</v>
      </c>
      <c r="AH89" s="33">
        <f t="shared" si="289"/>
        <v>786.81299999999999</v>
      </c>
      <c r="AI89" s="33">
        <v>73.738524499026113</v>
      </c>
      <c r="AJ89" s="33">
        <v>101.6833613055967</v>
      </c>
      <c r="AK89" s="33">
        <v>558.94619824224083</v>
      </c>
      <c r="AL89" s="33">
        <v>52.444915953136324</v>
      </c>
      <c r="AN89" s="33">
        <f t="shared" si="290"/>
        <v>702.61500000000001</v>
      </c>
      <c r="AO89" s="33">
        <v>65.847658072354221</v>
      </c>
      <c r="AP89" s="33">
        <v>90.802077372554635</v>
      </c>
      <c r="AQ89" s="33">
        <v>499.13255510263815</v>
      </c>
      <c r="AR89" s="33">
        <v>46.832709452452974</v>
      </c>
      <c r="AS89" s="451"/>
      <c r="AT89" s="33">
        <f>AU89+AV89+AW89+AX89+AY89</f>
        <v>1381.114</v>
      </c>
      <c r="AU89" s="33">
        <v>129.43521335431413</v>
      </c>
      <c r="AV89" s="33">
        <v>178.48753625857464</v>
      </c>
      <c r="AW89" s="33">
        <v>981.13328025736007</v>
      </c>
      <c r="AX89" s="33">
        <v>92.057970129751197</v>
      </c>
      <c r="AY89" s="33">
        <v>0</v>
      </c>
      <c r="BA89" s="33">
        <f t="shared" si="291"/>
        <v>5502.3409999999994</v>
      </c>
      <c r="BB89" s="33">
        <f t="shared" si="292"/>
        <v>515.66828030357385</v>
      </c>
      <c r="BC89" s="33">
        <f t="shared" si="292"/>
        <v>711.09212472289903</v>
      </c>
      <c r="BD89" s="33">
        <f>Y89+AE89+AK89+AQ89+AW89+AY89</f>
        <v>3908.8227868405957</v>
      </c>
      <c r="BE89" s="33">
        <f>Z89+AF89+AL89+AR89+AX89</f>
        <v>366.75780813293136</v>
      </c>
      <c r="BG89" s="396">
        <f t="shared" si="275"/>
        <v>1.0140544470070554</v>
      </c>
      <c r="BH89" s="396">
        <f t="shared" si="276"/>
        <v>2.275007118986355</v>
      </c>
      <c r="BI89" s="396">
        <f t="shared" si="277"/>
        <v>1.0138543927612176</v>
      </c>
      <c r="BJ89" s="396">
        <f t="shared" si="278"/>
        <v>0.91136889283950251</v>
      </c>
      <c r="BK89" s="396">
        <f t="shared" si="279"/>
        <v>1.7541430375778038</v>
      </c>
      <c r="BM89" s="396">
        <f t="shared" si="293"/>
        <v>0.42252268625293971</v>
      </c>
      <c r="BN89" s="396">
        <f t="shared" si="294"/>
        <v>0.94791963291098136</v>
      </c>
      <c r="BO89" s="396">
        <f t="shared" si="295"/>
        <v>0.42243933031717401</v>
      </c>
      <c r="BP89" s="396">
        <f t="shared" si="296"/>
        <v>0.37973703868312608</v>
      </c>
      <c r="BQ89" s="396">
        <f t="shared" si="297"/>
        <v>0.73089293232408492</v>
      </c>
    </row>
    <row r="90" spans="2:69" s="4" customFormat="1" outlineLevel="1">
      <c r="B90" s="365" t="s">
        <v>51</v>
      </c>
      <c r="C90" s="444" t="s">
        <v>161</v>
      </c>
      <c r="D90" s="33">
        <v>623.15316000000007</v>
      </c>
      <c r="E90" s="61">
        <v>42</v>
      </c>
      <c r="F90" s="61">
        <v>68</v>
      </c>
      <c r="G90" s="33">
        <f>D90-E90-F90-H90</f>
        <v>489.1414583536183</v>
      </c>
      <c r="H90" s="61">
        <v>24.011701646381738</v>
      </c>
      <c r="J90" s="33">
        <f t="shared" si="254"/>
        <v>51.929430000000004</v>
      </c>
      <c r="K90" s="61">
        <f t="shared" si="233"/>
        <v>3.5</v>
      </c>
      <c r="L90" s="61">
        <f t="shared" si="234"/>
        <v>5.666666666666667</v>
      </c>
      <c r="M90" s="33">
        <f t="shared" si="235"/>
        <v>40.761788196134859</v>
      </c>
      <c r="N90" s="61">
        <f t="shared" si="236"/>
        <v>2.0009751371984783</v>
      </c>
      <c r="P90" s="33">
        <f t="shared" si="282"/>
        <v>259.64715000000001</v>
      </c>
      <c r="Q90" s="33">
        <f t="shared" si="283"/>
        <v>17.5</v>
      </c>
      <c r="R90" s="33">
        <f t="shared" si="284"/>
        <v>28.333333333333336</v>
      </c>
      <c r="S90" s="33">
        <f t="shared" si="285"/>
        <v>203.80894098067429</v>
      </c>
      <c r="T90" s="33">
        <f t="shared" si="286"/>
        <v>10.004875685992392</v>
      </c>
      <c r="V90" s="33">
        <f t="shared" si="287"/>
        <v>43.941000000000003</v>
      </c>
      <c r="W90" s="61">
        <v>4.1180617313284182</v>
      </c>
      <c r="X90" s="61">
        <v>5.6786918608732</v>
      </c>
      <c r="Y90" s="33">
        <v>31.215364892245432</v>
      </c>
      <c r="Z90" s="61">
        <v>2.9288815155529502</v>
      </c>
      <c r="AB90" s="33">
        <f t="shared" si="288"/>
        <v>38.280999999999992</v>
      </c>
      <c r="AC90" s="61">
        <v>3.5876179681159548</v>
      </c>
      <c r="AD90" s="61">
        <v>4.9472247587921752</v>
      </c>
      <c r="AE90" s="33">
        <v>27.194542305365086</v>
      </c>
      <c r="AF90" s="61">
        <v>2.5516149677267808</v>
      </c>
      <c r="AH90" s="33">
        <f t="shared" si="289"/>
        <v>42.957999999999998</v>
      </c>
      <c r="AI90" s="61">
        <v>4.0259369576114832</v>
      </c>
      <c r="AJ90" s="61">
        <v>5.5516543765365132</v>
      </c>
      <c r="AK90" s="33">
        <v>30.517048884665329</v>
      </c>
      <c r="AL90" s="61">
        <v>2.8633597811866736</v>
      </c>
      <c r="AN90" s="33">
        <f t="shared" si="290"/>
        <v>38.244999999999997</v>
      </c>
      <c r="AO90" s="61">
        <v>3.5842441208587728</v>
      </c>
      <c r="AP90" s="61">
        <v>4.9425723178602103</v>
      </c>
      <c r="AQ90" s="33">
        <v>27.168968168770089</v>
      </c>
      <c r="AR90" s="61">
        <v>2.5492153925109253</v>
      </c>
      <c r="AS90" s="451"/>
      <c r="AT90" s="33">
        <f>AU90+AV90+AW90+AX90+AY90</f>
        <v>46.784999999999997</v>
      </c>
      <c r="AU90" s="61">
        <v>4.3845956646457758</v>
      </c>
      <c r="AV90" s="61">
        <v>6.0462346944983647</v>
      </c>
      <c r="AW90" s="33">
        <v>33.235721683250325</v>
      </c>
      <c r="AX90" s="61">
        <v>3.1184479576055337</v>
      </c>
      <c r="AY90" s="61">
        <v>0</v>
      </c>
      <c r="BA90" s="33">
        <f t="shared" si="291"/>
        <v>210.20999999999998</v>
      </c>
      <c r="BB90" s="33">
        <f t="shared" si="292"/>
        <v>19.700456442560405</v>
      </c>
      <c r="BC90" s="33">
        <f t="shared" si="292"/>
        <v>27.166378008560464</v>
      </c>
      <c r="BD90" s="33">
        <f>Y90+AE90+AK90+AQ90+AW90+AY90</f>
        <v>149.33164593429626</v>
      </c>
      <c r="BE90" s="33">
        <f>Z90+AF90+AL90+AR90+AX90</f>
        <v>14.011519614582864</v>
      </c>
      <c r="BG90" s="396">
        <f t="shared" si="275"/>
        <v>0.80959871887675239</v>
      </c>
      <c r="BH90" s="396">
        <f t="shared" si="276"/>
        <v>1.125740368146309</v>
      </c>
      <c r="BI90" s="396">
        <f t="shared" si="277"/>
        <v>0.95881334147860453</v>
      </c>
      <c r="BJ90" s="396">
        <f t="shared" si="278"/>
        <v>0.73270409637453682</v>
      </c>
      <c r="BK90" s="396">
        <f t="shared" si="279"/>
        <v>1.4004691366830362</v>
      </c>
      <c r="BM90" s="396">
        <f t="shared" si="293"/>
        <v>0.33733279953198014</v>
      </c>
      <c r="BN90" s="396">
        <f t="shared" si="294"/>
        <v>0.46905848672762868</v>
      </c>
      <c r="BO90" s="396">
        <f t="shared" si="295"/>
        <v>0.39950555894941858</v>
      </c>
      <c r="BP90" s="396">
        <f t="shared" si="296"/>
        <v>0.30529337348939034</v>
      </c>
      <c r="BQ90" s="396">
        <f t="shared" si="297"/>
        <v>0.58352880695126519</v>
      </c>
    </row>
    <row r="91" spans="2:69" s="4" customFormat="1" outlineLevel="1">
      <c r="B91" s="13" t="s">
        <v>51</v>
      </c>
      <c r="C91" s="444" t="s">
        <v>22</v>
      </c>
      <c r="D91" s="33">
        <v>5232.0325435000004</v>
      </c>
      <c r="E91" s="371">
        <v>2291</v>
      </c>
      <c r="F91" s="371">
        <v>1809</v>
      </c>
      <c r="G91" s="33">
        <f>D91-E91-F91-H91</f>
        <v>1112.3974632173199</v>
      </c>
      <c r="H91" s="371">
        <v>19.635080282680551</v>
      </c>
      <c r="J91" s="33">
        <f t="shared" si="254"/>
        <v>436.00271195833335</v>
      </c>
      <c r="K91" s="371">
        <f t="shared" si="233"/>
        <v>190.91666666666666</v>
      </c>
      <c r="L91" s="371">
        <f t="shared" si="234"/>
        <v>150.75</v>
      </c>
      <c r="M91" s="33">
        <f t="shared" si="235"/>
        <v>92.699788601443331</v>
      </c>
      <c r="N91" s="371">
        <f t="shared" si="236"/>
        <v>1.6362566902233793</v>
      </c>
      <c r="P91" s="33">
        <f t="shared" si="282"/>
        <v>2180.0135597916669</v>
      </c>
      <c r="Q91" s="33">
        <f t="shared" si="283"/>
        <v>954.58333333333326</v>
      </c>
      <c r="R91" s="33">
        <f t="shared" si="284"/>
        <v>753.75</v>
      </c>
      <c r="S91" s="33">
        <f t="shared" si="285"/>
        <v>463.49894300721667</v>
      </c>
      <c r="T91" s="33">
        <f t="shared" si="286"/>
        <v>8.1812834511168973</v>
      </c>
      <c r="V91" s="33">
        <f t="shared" si="287"/>
        <v>1322.5499999999997</v>
      </c>
      <c r="W91" s="371">
        <v>584.37241446905898</v>
      </c>
      <c r="X91" s="371">
        <v>444.81845049943581</v>
      </c>
      <c r="Y91" s="33">
        <v>266.07163680287732</v>
      </c>
      <c r="Z91" s="371">
        <v>27.287498228627861</v>
      </c>
      <c r="AB91" s="33">
        <f t="shared" si="288"/>
        <v>1324.682</v>
      </c>
      <c r="AC91" s="371">
        <v>585.31444462871127</v>
      </c>
      <c r="AD91" s="371">
        <v>445.53551445653744</v>
      </c>
      <c r="AE91" s="33">
        <v>266.50055421973394</v>
      </c>
      <c r="AF91" s="371">
        <v>27.331486695017364</v>
      </c>
      <c r="AH91" s="33">
        <f t="shared" si="289"/>
        <v>1326.932</v>
      </c>
      <c r="AI91" s="371">
        <v>586.30861341821287</v>
      </c>
      <c r="AJ91" s="371">
        <v>446.2922658183943</v>
      </c>
      <c r="AK91" s="33">
        <v>266.95321096829275</v>
      </c>
      <c r="AL91" s="371">
        <v>27.377909795100091</v>
      </c>
      <c r="AN91" s="33">
        <f t="shared" si="290"/>
        <v>1326.932</v>
      </c>
      <c r="AO91" s="371">
        <v>586.30861341821287</v>
      </c>
      <c r="AP91" s="371">
        <v>446.2922658183943</v>
      </c>
      <c r="AQ91" s="33">
        <v>266.95321096829275</v>
      </c>
      <c r="AR91" s="371">
        <v>27.377909795100091</v>
      </c>
      <c r="AS91" s="455"/>
      <c r="AT91" s="33">
        <f>AU91+AV91+AW91+AX91+AY91</f>
        <v>1326.931</v>
      </c>
      <c r="AU91" s="371">
        <v>586.30817156541752</v>
      </c>
      <c r="AV91" s="371">
        <v>446.29192948445569</v>
      </c>
      <c r="AW91" s="33">
        <v>266.95300978751567</v>
      </c>
      <c r="AX91" s="371">
        <v>27.377889162611169</v>
      </c>
      <c r="AY91" s="371">
        <v>0</v>
      </c>
      <c r="BA91" s="33">
        <f t="shared" si="291"/>
        <v>6628.027</v>
      </c>
      <c r="BB91" s="33">
        <f t="shared" si="292"/>
        <v>2928.6122574996134</v>
      </c>
      <c r="BC91" s="33">
        <f t="shared" si="292"/>
        <v>2229.2304260772175</v>
      </c>
      <c r="BD91" s="33">
        <f>Y91+AE91+AK91+AQ91+AW91+AY91</f>
        <v>1333.4316227467123</v>
      </c>
      <c r="BE91" s="33">
        <f>Z91+AF91+AL91+AR91+AX91</f>
        <v>136.7526936764566</v>
      </c>
      <c r="BG91" s="396">
        <f t="shared" si="275"/>
        <v>3.0403604464888776</v>
      </c>
      <c r="BH91" s="396">
        <f t="shared" si="276"/>
        <v>3.0679482400694336</v>
      </c>
      <c r="BI91" s="396">
        <f t="shared" si="277"/>
        <v>2.95751963658669</v>
      </c>
      <c r="BJ91" s="396">
        <f t="shared" si="278"/>
        <v>2.8768816905930912</v>
      </c>
      <c r="BK91" s="396">
        <f t="shared" si="279"/>
        <v>16.71531056142387</v>
      </c>
      <c r="BM91" s="396">
        <f t="shared" si="293"/>
        <v>1.2668168527036991</v>
      </c>
      <c r="BN91" s="396">
        <f t="shared" si="294"/>
        <v>1.2783117666955972</v>
      </c>
      <c r="BO91" s="396">
        <f t="shared" si="295"/>
        <v>1.2322998485777874</v>
      </c>
      <c r="BP91" s="396">
        <f t="shared" si="296"/>
        <v>1.1987007044137881</v>
      </c>
      <c r="BQ91" s="396">
        <f t="shared" si="297"/>
        <v>6.9647127339266133</v>
      </c>
    </row>
    <row r="92" spans="2:69" s="4" customFormat="1" outlineLevel="1">
      <c r="B92" s="13" t="s">
        <v>54</v>
      </c>
      <c r="C92" s="444" t="s">
        <v>39</v>
      </c>
      <c r="D92" s="33">
        <f>SUM(D93:D96)</f>
        <v>25588.812061714285</v>
      </c>
      <c r="E92" s="33">
        <f>SUM(E93:E96)</f>
        <v>2398.131760804275</v>
      </c>
      <c r="F92" s="33">
        <f t="shared" ref="F92:H92" si="298">SUM(F93:F96)</f>
        <v>3306.9565732293504</v>
      </c>
      <c r="G92" s="33">
        <f t="shared" si="298"/>
        <v>18897.720670725583</v>
      </c>
      <c r="H92" s="33">
        <f t="shared" si="298"/>
        <v>986.0030569550795</v>
      </c>
      <c r="J92" s="33">
        <f t="shared" si="254"/>
        <v>2132.4010051428572</v>
      </c>
      <c r="K92" s="33">
        <f t="shared" si="233"/>
        <v>199.84431340035624</v>
      </c>
      <c r="L92" s="33">
        <f t="shared" si="234"/>
        <v>275.57971443577918</v>
      </c>
      <c r="M92" s="33">
        <f t="shared" si="235"/>
        <v>1574.8100558937986</v>
      </c>
      <c r="N92" s="33">
        <f t="shared" si="236"/>
        <v>82.166921412923287</v>
      </c>
      <c r="P92" s="33">
        <f t="shared" si="282"/>
        <v>10662.005025714287</v>
      </c>
      <c r="Q92" s="33">
        <f t="shared" si="283"/>
        <v>999.22156700178118</v>
      </c>
      <c r="R92" s="33">
        <f t="shared" si="284"/>
        <v>1377.8985721788958</v>
      </c>
      <c r="S92" s="33">
        <f t="shared" si="285"/>
        <v>7874.0502794689928</v>
      </c>
      <c r="T92" s="33">
        <f t="shared" si="286"/>
        <v>410.83460706461642</v>
      </c>
      <c r="V92" s="33">
        <f>SUM(V93:V96)</f>
        <v>453.04074000000003</v>
      </c>
      <c r="W92" s="33">
        <f>SUM(W93:W96)</f>
        <v>42.458062723349663</v>
      </c>
      <c r="X92" s="33">
        <f t="shared" ref="X92:Z92" si="299">SUM(X93:X96)</f>
        <v>58.548480072869786</v>
      </c>
      <c r="Y92" s="33">
        <f t="shared" si="299"/>
        <v>321.83682688497964</v>
      </c>
      <c r="Z92" s="33">
        <f t="shared" si="299"/>
        <v>30.197370318800893</v>
      </c>
      <c r="AB92" s="33">
        <f>SUM(AB93:AB96)</f>
        <v>386.10010999999997</v>
      </c>
      <c r="AC92" s="33">
        <f>SUM(AC93:AC96)</f>
        <v>36.184522142251943</v>
      </c>
      <c r="AD92" s="33">
        <f t="shared" ref="AD92:AF92" si="300">SUM(AD93:AD96)</f>
        <v>49.897443211106875</v>
      </c>
      <c r="AE92" s="33">
        <f t="shared" si="300"/>
        <v>274.28269312455564</v>
      </c>
      <c r="AF92" s="33">
        <f t="shared" si="300"/>
        <v>25.73545152208554</v>
      </c>
      <c r="AH92" s="33">
        <f>SUM(AH93:AH96)</f>
        <v>390.08499999999998</v>
      </c>
      <c r="AI92" s="33">
        <f>SUM(AI93:AI96)</f>
        <v>36.55797798104836</v>
      </c>
      <c r="AJ92" s="33">
        <f t="shared" ref="AJ92:AL92" si="301">SUM(AJ93:AJ96)</f>
        <v>50.412428359589491</v>
      </c>
      <c r="AK92" s="33">
        <f t="shared" si="301"/>
        <v>277.11352982389019</v>
      </c>
      <c r="AL92" s="33">
        <f t="shared" si="301"/>
        <v>26.001063835471943</v>
      </c>
      <c r="AN92" s="33">
        <f>SUM(AN93:AN96)</f>
        <v>471.28278999999998</v>
      </c>
      <c r="AO92" s="33">
        <f>SUM(AO93:AO96)</f>
        <v>44.167670788846117</v>
      </c>
      <c r="AP92" s="33">
        <f t="shared" ref="AP92:AR92" si="302">SUM(AP93:AP96)</f>
        <v>60.905981742395795</v>
      </c>
      <c r="AQ92" s="33">
        <f t="shared" si="302"/>
        <v>334.79584573144615</v>
      </c>
      <c r="AR92" s="33">
        <f t="shared" si="302"/>
        <v>31.413291737311916</v>
      </c>
      <c r="AS92" s="451"/>
      <c r="AT92" s="33">
        <f>SUM(AT93:AT96)</f>
        <v>667.96061999999995</v>
      </c>
      <c r="AU92" s="33">
        <f>SUM(AU93:AU96)</f>
        <v>62.599919602567155</v>
      </c>
      <c r="AV92" s="33">
        <f t="shared" ref="AV92:AX92" si="303">SUM(AV93:AV96)</f>
        <v>86.323536928559122</v>
      </c>
      <c r="AW92" s="33">
        <f t="shared" si="303"/>
        <v>474.51433710999953</v>
      </c>
      <c r="AX92" s="33">
        <f t="shared" si="303"/>
        <v>44.522826358874127</v>
      </c>
      <c r="AY92" s="33">
        <f t="shared" ref="AY92" si="304">SUM(AY93:AY96)</f>
        <v>0</v>
      </c>
      <c r="BA92" s="33">
        <f>SUM(BA93:BA96)</f>
        <v>2368.4692599999998</v>
      </c>
      <c r="BB92" s="33">
        <f>SUM(BB93:BB96)</f>
        <v>221.96815323806325</v>
      </c>
      <c r="BC92" s="33">
        <f t="shared" ref="BC92:BE92" si="305">SUM(BC93:BC96)</f>
        <v>306.08787031452107</v>
      </c>
      <c r="BD92" s="33">
        <f t="shared" si="305"/>
        <v>1682.5432326748712</v>
      </c>
      <c r="BE92" s="33">
        <f t="shared" si="305"/>
        <v>157.87000377254441</v>
      </c>
      <c r="BG92" s="396">
        <f t="shared" si="275"/>
        <v>0.2221410751812441</v>
      </c>
      <c r="BH92" s="396">
        <f t="shared" si="276"/>
        <v>0.22214107518124415</v>
      </c>
      <c r="BI92" s="396">
        <f t="shared" si="277"/>
        <v>0.22214107518124415</v>
      </c>
      <c r="BJ92" s="396">
        <f t="shared" si="278"/>
        <v>0.2136820534486526</v>
      </c>
      <c r="BK92" s="396">
        <f t="shared" si="279"/>
        <v>0.3842665662966277</v>
      </c>
      <c r="BM92" s="396">
        <f t="shared" si="293"/>
        <v>9.2558781325518383E-2</v>
      </c>
      <c r="BN92" s="396">
        <f t="shared" si="294"/>
        <v>9.2558781325518383E-2</v>
      </c>
      <c r="BO92" s="396">
        <f t="shared" si="295"/>
        <v>9.2558781325518383E-2</v>
      </c>
      <c r="BP92" s="396">
        <f t="shared" si="296"/>
        <v>8.9034188936938582E-2</v>
      </c>
      <c r="BQ92" s="396">
        <f t="shared" si="297"/>
        <v>0.1601110692902615</v>
      </c>
    </row>
    <row r="93" spans="2:69" s="4" customFormat="1" hidden="1" outlineLevel="1">
      <c r="B93" s="9"/>
      <c r="C93" s="445" t="s">
        <v>52</v>
      </c>
      <c r="D93" s="29">
        <v>18023.565714285716</v>
      </c>
      <c r="E93" s="29">
        <v>1689.13215971605</v>
      </c>
      <c r="F93" s="29">
        <v>2329.2659685857752</v>
      </c>
      <c r="G93" s="29">
        <f>D93-E93-F93-H93</f>
        <v>13310.673021380569</v>
      </c>
      <c r="H93" s="29">
        <v>694.49456460332112</v>
      </c>
      <c r="J93" s="29">
        <f t="shared" si="254"/>
        <v>1501.9638095238097</v>
      </c>
      <c r="K93" s="29">
        <f t="shared" si="233"/>
        <v>140.76101330967083</v>
      </c>
      <c r="L93" s="29">
        <f t="shared" si="234"/>
        <v>194.10549738214795</v>
      </c>
      <c r="M93" s="29">
        <f t="shared" si="235"/>
        <v>1109.2227517817141</v>
      </c>
      <c r="N93" s="29">
        <f t="shared" si="236"/>
        <v>57.87454705027676</v>
      </c>
      <c r="P93" s="29">
        <f t="shared" si="282"/>
        <v>7509.8190476190484</v>
      </c>
      <c r="Q93" s="29">
        <f t="shared" si="283"/>
        <v>703.80506654835415</v>
      </c>
      <c r="R93" s="29">
        <f t="shared" si="284"/>
        <v>970.52748691073975</v>
      </c>
      <c r="S93" s="29">
        <f t="shared" si="285"/>
        <v>5546.1137589085702</v>
      </c>
      <c r="T93" s="29">
        <f t="shared" si="286"/>
        <v>289.3727352513838</v>
      </c>
      <c r="V93" s="29">
        <f t="shared" ref="V93:V98" si="306">W93+X93+Y93+Z93</f>
        <v>164.45454000000001</v>
      </c>
      <c r="W93" s="29">
        <v>15.412347186391266</v>
      </c>
      <c r="X93" s="29">
        <v>21.253195370648054</v>
      </c>
      <c r="Y93" s="29">
        <v>116.82730193410191</v>
      </c>
      <c r="Z93" s="29">
        <v>10.961695508858771</v>
      </c>
      <c r="AB93" s="29">
        <f t="shared" ref="AB93:AB98" si="307">AC93+AD93+AE93+AF93</f>
        <v>164.45454000000001</v>
      </c>
      <c r="AC93" s="29">
        <v>15.412347186391266</v>
      </c>
      <c r="AD93" s="29">
        <v>21.253195370648054</v>
      </c>
      <c r="AE93" s="29">
        <v>116.82730193410191</v>
      </c>
      <c r="AF93" s="29">
        <v>10.961695508858771</v>
      </c>
      <c r="AH93" s="29">
        <f t="shared" ref="AH93" si="308">AI93+AJ93+AK93+AL93</f>
        <v>164.45500000000001</v>
      </c>
      <c r="AI93" s="29">
        <v>15.412390296661775</v>
      </c>
      <c r="AJ93" s="29">
        <v>21.253254818504406</v>
      </c>
      <c r="AK93" s="29">
        <v>116.82762871473619</v>
      </c>
      <c r="AL93" s="29">
        <v>10.961726170097641</v>
      </c>
      <c r="AN93" s="29">
        <f t="shared" ref="AN93:AN98" si="309">AO93+AP93+AQ93+AR93</f>
        <v>164.55600000000001</v>
      </c>
      <c r="AO93" s="29">
        <v>15.421855812577757</v>
      </c>
      <c r="AP93" s="29">
        <v>21.266307500007972</v>
      </c>
      <c r="AQ93" s="29">
        <v>116.89937837573882</v>
      </c>
      <c r="AR93" s="29">
        <v>10.968458311675457</v>
      </c>
      <c r="AS93" s="452"/>
      <c r="AT93" s="29">
        <f t="shared" ref="AT93:AT96" si="310">AU93+AV93+AW93+AX93+AY93</f>
        <v>167.83301999999998</v>
      </c>
      <c r="AU93" s="29">
        <v>15.728971505320246</v>
      </c>
      <c r="AV93" s="29">
        <v>21.689811443976442</v>
      </c>
      <c r="AW93" s="29">
        <v>119.22734940642053</v>
      </c>
      <c r="AX93" s="29">
        <v>11.186887644282754</v>
      </c>
      <c r="AY93" s="29">
        <v>0</v>
      </c>
      <c r="BA93" s="29">
        <f t="shared" ref="BA93:BA98" si="311">BB93+BC93+BD93+BE93</f>
        <v>825.75310000000002</v>
      </c>
      <c r="BB93" s="29">
        <f t="shared" ref="BB93:BB96" si="312">W93+AC93+AI93+AO93+AU93</f>
        <v>77.387911987342306</v>
      </c>
      <c r="BC93" s="29">
        <f t="shared" ref="BC93:BC96" si="313">X93+AD93+AJ93+AP93+AV93</f>
        <v>106.71576450378492</v>
      </c>
      <c r="BD93" s="29">
        <f t="shared" ref="BD93:BD96" si="314">Y93+AE93+AK93+AQ93+AW93+AY93</f>
        <v>586.60896036509939</v>
      </c>
      <c r="BE93" s="29">
        <f t="shared" ref="BE93:BE96" si="315">Z93+AF93+AL93+AR93+AX93</f>
        <v>55.040463143773394</v>
      </c>
      <c r="BG93" s="395">
        <f t="shared" si="275"/>
        <v>0.10995645764085368</v>
      </c>
      <c r="BH93" s="395">
        <f t="shared" si="276"/>
        <v>0.10995645764085368</v>
      </c>
      <c r="BI93" s="395">
        <f t="shared" si="277"/>
        <v>0.10995645764085367</v>
      </c>
      <c r="BJ93" s="395">
        <f t="shared" si="278"/>
        <v>0.10576937038531629</v>
      </c>
      <c r="BK93" s="395">
        <f t="shared" si="279"/>
        <v>0.19020611287362182</v>
      </c>
      <c r="BM93" s="395">
        <f t="shared" si="293"/>
        <v>4.5815190683689035E-2</v>
      </c>
      <c r="BN93" s="395">
        <f t="shared" si="294"/>
        <v>4.5815190683689035E-2</v>
      </c>
      <c r="BO93" s="395">
        <f t="shared" si="295"/>
        <v>4.5815190683689035E-2</v>
      </c>
      <c r="BP93" s="395">
        <f t="shared" si="296"/>
        <v>4.4070570993881786E-2</v>
      </c>
      <c r="BQ93" s="395">
        <f t="shared" si="297"/>
        <v>7.925254703067576E-2</v>
      </c>
    </row>
    <row r="94" spans="2:69" s="4" customFormat="1" hidden="1" outlineLevel="1">
      <c r="B94" s="9"/>
      <c r="C94" s="445" t="s">
        <v>53</v>
      </c>
      <c r="D94" s="29">
        <v>4719.92</v>
      </c>
      <c r="E94" s="29">
        <v>442.34136516992385</v>
      </c>
      <c r="F94" s="29">
        <v>609.97636121100174</v>
      </c>
      <c r="G94" s="29">
        <f>D94-E94-F94-H94</f>
        <v>3485.7315585050083</v>
      </c>
      <c r="H94" s="29">
        <v>181.87071511406614</v>
      </c>
      <c r="J94" s="29">
        <f t="shared" si="254"/>
        <v>393.32666666666665</v>
      </c>
      <c r="K94" s="29">
        <f t="shared" si="233"/>
        <v>36.86178043082699</v>
      </c>
      <c r="L94" s="29">
        <f t="shared" si="234"/>
        <v>50.831363434250143</v>
      </c>
      <c r="M94" s="29">
        <f t="shared" si="235"/>
        <v>290.47762987541734</v>
      </c>
      <c r="N94" s="29">
        <f t="shared" si="236"/>
        <v>15.155892926172179</v>
      </c>
      <c r="P94" s="29">
        <f t="shared" si="282"/>
        <v>1966.6333333333332</v>
      </c>
      <c r="Q94" s="29">
        <f t="shared" si="283"/>
        <v>184.30890215413496</v>
      </c>
      <c r="R94" s="29">
        <f t="shared" si="284"/>
        <v>254.15681717125071</v>
      </c>
      <c r="S94" s="29">
        <f t="shared" si="285"/>
        <v>1452.3881493770866</v>
      </c>
      <c r="T94" s="29">
        <f t="shared" si="286"/>
        <v>75.7794646308609</v>
      </c>
      <c r="V94" s="29">
        <f t="shared" si="306"/>
        <v>181.24420000000001</v>
      </c>
      <c r="W94" s="29">
        <v>16.985840195836101</v>
      </c>
      <c r="X94" s="29">
        <v>23.422998187808069</v>
      </c>
      <c r="Y94" s="29">
        <v>128.75455355142373</v>
      </c>
      <c r="Z94" s="29">
        <v>12.080808064932114</v>
      </c>
      <c r="AB94" s="29">
        <f t="shared" si="307"/>
        <v>127.70499999999998</v>
      </c>
      <c r="AC94" s="29">
        <v>11.96825455495541</v>
      </c>
      <c r="AD94" s="29">
        <v>16.503888033791036</v>
      </c>
      <c r="AE94" s="29">
        <v>90.72069760734172</v>
      </c>
      <c r="AF94" s="29">
        <v>8.5121598039118247</v>
      </c>
      <c r="AH94" s="29">
        <f t="shared" ref="AH94:AH98" si="316">AI94+AJ94+AK94+AL94</f>
        <v>131.55099999999999</v>
      </c>
      <c r="AI94" s="29">
        <v>12.328693903597658</v>
      </c>
      <c r="AJ94" s="29">
        <v>17.000923806689201</v>
      </c>
      <c r="AK94" s="29">
        <v>93.452867866907411</v>
      </c>
      <c r="AL94" s="29">
        <v>8.768514422805719</v>
      </c>
      <c r="AN94" s="29">
        <f t="shared" si="309"/>
        <v>168.62799999999999</v>
      </c>
      <c r="AO94" s="29">
        <v>15.803475424556757</v>
      </c>
      <c r="AP94" s="29">
        <v>21.792550263201242</v>
      </c>
      <c r="AQ94" s="29">
        <v>119.79209738170643</v>
      </c>
      <c r="AR94" s="29">
        <v>11.239876930535555</v>
      </c>
      <c r="AS94" s="452"/>
      <c r="AT94" s="29">
        <f t="shared" si="310"/>
        <v>369.8186</v>
      </c>
      <c r="AU94" s="29">
        <v>34.658651924022024</v>
      </c>
      <c r="AV94" s="29">
        <v>47.793310890046236</v>
      </c>
      <c r="AW94" s="29">
        <v>262.71642754919907</v>
      </c>
      <c r="AX94" s="29">
        <v>24.650209636732669</v>
      </c>
      <c r="AY94" s="29">
        <v>0</v>
      </c>
      <c r="BA94" s="29">
        <f t="shared" si="311"/>
        <v>978.94679999999994</v>
      </c>
      <c r="BB94" s="29">
        <f t="shared" si="312"/>
        <v>91.744916002967955</v>
      </c>
      <c r="BC94" s="29">
        <f t="shared" si="313"/>
        <v>126.51367118153578</v>
      </c>
      <c r="BD94" s="29">
        <f t="shared" si="314"/>
        <v>695.43664395657834</v>
      </c>
      <c r="BE94" s="29">
        <f t="shared" si="315"/>
        <v>65.251568858917878</v>
      </c>
      <c r="BG94" s="395">
        <f t="shared" si="275"/>
        <v>0.49777799623722435</v>
      </c>
      <c r="BH94" s="395">
        <f t="shared" si="276"/>
        <v>0.49777799623722441</v>
      </c>
      <c r="BI94" s="395">
        <f t="shared" si="277"/>
        <v>0.49777799623722446</v>
      </c>
      <c r="BJ94" s="395">
        <f t="shared" si="278"/>
        <v>0.47882285755005882</v>
      </c>
      <c r="BK94" s="395">
        <f t="shared" si="279"/>
        <v>0.86107191673592831</v>
      </c>
      <c r="BM94" s="395">
        <f t="shared" si="293"/>
        <v>0.20740749843217679</v>
      </c>
      <c r="BN94" s="395">
        <f t="shared" si="294"/>
        <v>0.20740749843217687</v>
      </c>
      <c r="BO94" s="395">
        <f t="shared" si="295"/>
        <v>0.20740749843217685</v>
      </c>
      <c r="BP94" s="395">
        <f t="shared" si="296"/>
        <v>0.19950952397919117</v>
      </c>
      <c r="BQ94" s="395">
        <f t="shared" si="297"/>
        <v>0.35877996530663681</v>
      </c>
    </row>
    <row r="95" spans="2:69" s="4" customFormat="1" hidden="1" outlineLevel="1">
      <c r="B95" s="9"/>
      <c r="C95" s="445" t="s">
        <v>42</v>
      </c>
      <c r="D95" s="29">
        <v>0</v>
      </c>
      <c r="E95" s="29">
        <v>0</v>
      </c>
      <c r="F95" s="29">
        <v>0</v>
      </c>
      <c r="G95" s="29">
        <f>D95-E95-F95-H95</f>
        <v>0</v>
      </c>
      <c r="H95" s="29"/>
      <c r="J95" s="29">
        <f t="shared" si="254"/>
        <v>0</v>
      </c>
      <c r="K95" s="29">
        <f t="shared" si="233"/>
        <v>0</v>
      </c>
      <c r="L95" s="29">
        <f t="shared" si="234"/>
        <v>0</v>
      </c>
      <c r="M95" s="29">
        <f t="shared" si="235"/>
        <v>0</v>
      </c>
      <c r="N95" s="29">
        <f t="shared" si="236"/>
        <v>0</v>
      </c>
      <c r="P95" s="29">
        <f t="shared" si="282"/>
        <v>0</v>
      </c>
      <c r="Q95" s="29">
        <f t="shared" si="283"/>
        <v>0</v>
      </c>
      <c r="R95" s="29">
        <f t="shared" si="284"/>
        <v>0</v>
      </c>
      <c r="S95" s="29">
        <f t="shared" si="285"/>
        <v>0</v>
      </c>
      <c r="T95" s="29">
        <f t="shared" si="286"/>
        <v>0</v>
      </c>
      <c r="V95" s="29">
        <f t="shared" si="306"/>
        <v>0</v>
      </c>
      <c r="W95" s="29">
        <v>0</v>
      </c>
      <c r="X95" s="29">
        <v>0</v>
      </c>
      <c r="Y95" s="29">
        <v>0</v>
      </c>
      <c r="Z95" s="29">
        <v>0</v>
      </c>
      <c r="AB95" s="29">
        <f t="shared" si="307"/>
        <v>0</v>
      </c>
      <c r="AC95" s="29">
        <v>0</v>
      </c>
      <c r="AD95" s="29">
        <v>0</v>
      </c>
      <c r="AE95" s="29">
        <v>0</v>
      </c>
      <c r="AF95" s="29">
        <v>0</v>
      </c>
      <c r="AH95" s="29">
        <f t="shared" si="316"/>
        <v>0</v>
      </c>
      <c r="AI95" s="29">
        <v>0</v>
      </c>
      <c r="AJ95" s="29">
        <v>0</v>
      </c>
      <c r="AK95" s="29">
        <v>0</v>
      </c>
      <c r="AL95" s="29">
        <v>0</v>
      </c>
      <c r="AN95" s="29">
        <f t="shared" si="309"/>
        <v>0</v>
      </c>
      <c r="AO95" s="29">
        <v>0</v>
      </c>
      <c r="AP95" s="29">
        <v>0</v>
      </c>
      <c r="AQ95" s="29">
        <v>0</v>
      </c>
      <c r="AR95" s="29">
        <v>0</v>
      </c>
      <c r="AS95" s="452"/>
      <c r="AT95" s="29">
        <f t="shared" si="310"/>
        <v>0</v>
      </c>
      <c r="AU95" s="29">
        <v>0</v>
      </c>
      <c r="AV95" s="29">
        <v>0</v>
      </c>
      <c r="AW95" s="29">
        <v>0</v>
      </c>
      <c r="AX95" s="29">
        <v>0</v>
      </c>
      <c r="AY95" s="29">
        <v>0</v>
      </c>
      <c r="BA95" s="29">
        <f t="shared" si="311"/>
        <v>0</v>
      </c>
      <c r="BB95" s="29">
        <f t="shared" si="312"/>
        <v>0</v>
      </c>
      <c r="BC95" s="29">
        <f t="shared" si="313"/>
        <v>0</v>
      </c>
      <c r="BD95" s="29">
        <f t="shared" si="314"/>
        <v>0</v>
      </c>
      <c r="BE95" s="29">
        <f t="shared" si="315"/>
        <v>0</v>
      </c>
      <c r="BG95" s="395"/>
      <c r="BH95" s="395"/>
      <c r="BI95" s="395"/>
      <c r="BJ95" s="395"/>
      <c r="BK95" s="395"/>
      <c r="BM95" s="395"/>
      <c r="BN95" s="395"/>
      <c r="BO95" s="395"/>
      <c r="BP95" s="395"/>
      <c r="BQ95" s="395"/>
    </row>
    <row r="96" spans="2:69" s="4" customFormat="1" hidden="1" outlineLevel="1">
      <c r="B96" s="9"/>
      <c r="C96" s="445" t="s">
        <v>28</v>
      </c>
      <c r="D96" s="29">
        <v>2845.3263474285718</v>
      </c>
      <c r="E96" s="29">
        <v>266.65823591830105</v>
      </c>
      <c r="F96" s="29">
        <v>367.7142434325732</v>
      </c>
      <c r="G96" s="29">
        <f>D96-E96-F96-H96</f>
        <v>2101.316090840005</v>
      </c>
      <c r="H96" s="29">
        <v>109.63777723769221</v>
      </c>
      <c r="J96" s="29">
        <f t="shared" si="254"/>
        <v>237.11052895238097</v>
      </c>
      <c r="K96" s="29">
        <f t="shared" si="233"/>
        <v>22.221519659858419</v>
      </c>
      <c r="L96" s="29">
        <f t="shared" si="234"/>
        <v>30.6428536193811</v>
      </c>
      <c r="M96" s="29">
        <f t="shared" si="235"/>
        <v>175.10967423666708</v>
      </c>
      <c r="N96" s="29">
        <f t="shared" si="236"/>
        <v>9.1364814364743498</v>
      </c>
      <c r="P96" s="29">
        <f t="shared" si="282"/>
        <v>1185.552644761905</v>
      </c>
      <c r="Q96" s="29">
        <f t="shared" si="283"/>
        <v>111.10759829929209</v>
      </c>
      <c r="R96" s="29">
        <f t="shared" si="284"/>
        <v>153.2142680969055</v>
      </c>
      <c r="S96" s="29">
        <f t="shared" si="285"/>
        <v>875.54837118333535</v>
      </c>
      <c r="T96" s="29">
        <f t="shared" si="286"/>
        <v>45.682407182371747</v>
      </c>
      <c r="V96" s="29">
        <f t="shared" si="306"/>
        <v>107.342</v>
      </c>
      <c r="W96" s="29">
        <v>10.059875341122302</v>
      </c>
      <c r="X96" s="29">
        <v>13.872286514413668</v>
      </c>
      <c r="Y96" s="29">
        <v>76.254971399454021</v>
      </c>
      <c r="Z96" s="29">
        <v>7.1548667450100076</v>
      </c>
      <c r="AB96" s="29">
        <f t="shared" si="307"/>
        <v>93.940570000000008</v>
      </c>
      <c r="AC96" s="29">
        <v>8.8039204009052714</v>
      </c>
      <c r="AD96" s="29">
        <v>12.140359806667785</v>
      </c>
      <c r="AE96" s="29">
        <v>66.734693583112005</v>
      </c>
      <c r="AF96" s="29">
        <v>6.2615962093149458</v>
      </c>
      <c r="AH96" s="29">
        <f t="shared" si="316"/>
        <v>94.079000000000008</v>
      </c>
      <c r="AI96" s="29">
        <v>8.8168937807889272</v>
      </c>
      <c r="AJ96" s="29">
        <v>12.15824973439589</v>
      </c>
      <c r="AK96" s="29">
        <v>66.833033242246614</v>
      </c>
      <c r="AL96" s="29">
        <v>6.2708232425685813</v>
      </c>
      <c r="AN96" s="29">
        <f t="shared" si="309"/>
        <v>138.09879000000001</v>
      </c>
      <c r="AO96" s="29">
        <v>12.942339551711607</v>
      </c>
      <c r="AP96" s="29">
        <v>17.847123979186573</v>
      </c>
      <c r="AQ96" s="29">
        <v>98.104369974000932</v>
      </c>
      <c r="AR96" s="29">
        <v>9.2049564951009</v>
      </c>
      <c r="AS96" s="452"/>
      <c r="AT96" s="29">
        <f t="shared" si="310"/>
        <v>130.309</v>
      </c>
      <c r="AU96" s="29">
        <v>12.212296173224889</v>
      </c>
      <c r="AV96" s="29">
        <v>16.840414594536441</v>
      </c>
      <c r="AW96" s="29">
        <v>92.570560154379962</v>
      </c>
      <c r="AX96" s="29">
        <v>8.6857290778587046</v>
      </c>
      <c r="AY96" s="29">
        <v>0</v>
      </c>
      <c r="BA96" s="29">
        <f t="shared" si="311"/>
        <v>563.76936000000001</v>
      </c>
      <c r="BB96" s="29">
        <f t="shared" si="312"/>
        <v>52.835325247752991</v>
      </c>
      <c r="BC96" s="29">
        <f t="shared" si="313"/>
        <v>72.85843462920036</v>
      </c>
      <c r="BD96" s="29">
        <f t="shared" si="314"/>
        <v>400.49762835319353</v>
      </c>
      <c r="BE96" s="29">
        <f t="shared" si="315"/>
        <v>37.577971769853136</v>
      </c>
      <c r="BG96" s="395">
        <f t="shared" ref="BG96:BK97" si="317">BA96/P96</f>
        <v>0.47553296135003947</v>
      </c>
      <c r="BH96" s="395">
        <f t="shared" si="317"/>
        <v>0.47553296135003958</v>
      </c>
      <c r="BI96" s="395">
        <f t="shared" si="317"/>
        <v>0.47553296135003953</v>
      </c>
      <c r="BJ96" s="395">
        <f t="shared" si="317"/>
        <v>0.45742490253497531</v>
      </c>
      <c r="BK96" s="395">
        <f t="shared" si="317"/>
        <v>0.82259176097782327</v>
      </c>
      <c r="BM96" s="395">
        <f t="shared" si="293"/>
        <v>0.19813873389584977</v>
      </c>
      <c r="BN96" s="395">
        <f t="shared" si="294"/>
        <v>0.19813873389584982</v>
      </c>
      <c r="BO96" s="395">
        <f t="shared" si="295"/>
        <v>0.19813873389584982</v>
      </c>
      <c r="BP96" s="395">
        <f t="shared" si="296"/>
        <v>0.19059370938957301</v>
      </c>
      <c r="BQ96" s="395">
        <f t="shared" si="297"/>
        <v>0.34274656707409296</v>
      </c>
    </row>
    <row r="97" spans="2:69" s="4" customFormat="1" outlineLevel="1">
      <c r="B97" s="13" t="s">
        <v>55</v>
      </c>
      <c r="C97" s="444" t="s">
        <v>32</v>
      </c>
      <c r="D97" s="33">
        <v>11410.545</v>
      </c>
      <c r="E97" s="33">
        <v>835</v>
      </c>
      <c r="F97" s="33">
        <v>1354</v>
      </c>
      <c r="G97" s="33">
        <f>D97-E97-F97-H97</f>
        <v>8781.8672133020827</v>
      </c>
      <c r="H97" s="33">
        <v>439.67778669791687</v>
      </c>
      <c r="J97" s="33">
        <f t="shared" si="254"/>
        <v>950.87874999999997</v>
      </c>
      <c r="K97" s="33">
        <f t="shared" si="233"/>
        <v>69.583333333333329</v>
      </c>
      <c r="L97" s="33">
        <f t="shared" si="234"/>
        <v>112.83333333333333</v>
      </c>
      <c r="M97" s="33">
        <f t="shared" si="235"/>
        <v>731.8222677751736</v>
      </c>
      <c r="N97" s="33">
        <f t="shared" si="236"/>
        <v>36.639815558159739</v>
      </c>
      <c r="P97" s="33">
        <f t="shared" ref="P97:T98" si="318">J97*5</f>
        <v>4754.3937500000002</v>
      </c>
      <c r="Q97" s="33">
        <f t="shared" si="318"/>
        <v>347.91666666666663</v>
      </c>
      <c r="R97" s="33">
        <f t="shared" si="318"/>
        <v>564.16666666666663</v>
      </c>
      <c r="S97" s="33">
        <f t="shared" si="318"/>
        <v>3659.1113388758681</v>
      </c>
      <c r="T97" s="33">
        <f t="shared" si="318"/>
        <v>183.1990777907987</v>
      </c>
      <c r="V97" s="33">
        <f t="shared" si="306"/>
        <v>200.10999999999999</v>
      </c>
      <c r="W97" s="33">
        <v>18.753904850962194</v>
      </c>
      <c r="X97" s="33">
        <v>25.861109858203868</v>
      </c>
      <c r="Y97" s="33">
        <v>142.15667983403276</v>
      </c>
      <c r="Z97" s="33">
        <v>13.338305456801185</v>
      </c>
      <c r="AB97" s="33">
        <f t="shared" si="307"/>
        <v>496.27300000000002</v>
      </c>
      <c r="AC97" s="33">
        <v>46.509702773982113</v>
      </c>
      <c r="AD97" s="33">
        <v>64.135578295239654</v>
      </c>
      <c r="AE97" s="33">
        <v>352.54870806693788</v>
      </c>
      <c r="AF97" s="33">
        <v>33.079010863840359</v>
      </c>
      <c r="AH97" s="33">
        <f t="shared" si="316"/>
        <v>341.85500000000002</v>
      </c>
      <c r="AI97" s="33">
        <v>32.037959836218484</v>
      </c>
      <c r="AJ97" s="33">
        <v>44.179449855460909</v>
      </c>
      <c r="AK97" s="33">
        <v>242.85129071342396</v>
      </c>
      <c r="AL97" s="33">
        <v>22.786299594896651</v>
      </c>
      <c r="AN97" s="33">
        <f t="shared" si="309"/>
        <v>211.11099999999999</v>
      </c>
      <c r="AO97" s="33">
        <v>19.784896341969315</v>
      </c>
      <c r="AP97" s="33">
        <v>27.282818266329897</v>
      </c>
      <c r="AQ97" s="33">
        <v>149.97170974185443</v>
      </c>
      <c r="AR97" s="33">
        <v>14.071575649846357</v>
      </c>
      <c r="AS97" s="451"/>
      <c r="AT97" s="33">
        <f>AU97+AV97+AW97+AX97+AY97</f>
        <v>180.99099999999999</v>
      </c>
      <c r="AU97" s="33">
        <v>16.96211080346059</v>
      </c>
      <c r="AV97" s="33">
        <v>23.390276019919924</v>
      </c>
      <c r="AW97" s="33">
        <v>128.5746821240389</v>
      </c>
      <c r="AX97" s="33">
        <v>12.063931052580598</v>
      </c>
      <c r="AY97" s="33">
        <v>0</v>
      </c>
      <c r="BA97" s="33">
        <f t="shared" si="311"/>
        <v>1430.3400000000001</v>
      </c>
      <c r="BB97" s="33">
        <f>W97+AC97+AI97+AO97+AU97</f>
        <v>134.04857460659269</v>
      </c>
      <c r="BC97" s="33">
        <f>X97+AD97+AJ97+AP97+AV97</f>
        <v>184.84923229515428</v>
      </c>
      <c r="BD97" s="33">
        <f>Y97+AE97+AK97+AQ97+AW97+AY97</f>
        <v>1016.1030704802879</v>
      </c>
      <c r="BE97" s="33">
        <f>Z97+AF97+AL97+AR97+AX97</f>
        <v>95.339122617965145</v>
      </c>
      <c r="BG97" s="396">
        <f t="shared" si="317"/>
        <v>0.30084592804287613</v>
      </c>
      <c r="BH97" s="396">
        <f t="shared" si="317"/>
        <v>0.38528931623451795</v>
      </c>
      <c r="BI97" s="396">
        <f t="shared" si="317"/>
        <v>0.32765004247294705</v>
      </c>
      <c r="BJ97" s="396">
        <f t="shared" si="317"/>
        <v>0.27769121417126635</v>
      </c>
      <c r="BK97" s="396">
        <f t="shared" si="317"/>
        <v>0.52041267766007071</v>
      </c>
      <c r="BM97" s="396">
        <f t="shared" ref="BM97:BM101" si="319">BA97/D97</f>
        <v>0.12535247001786506</v>
      </c>
      <c r="BN97" s="396">
        <f t="shared" ref="BN97:BN101" si="320">BB97/E97</f>
        <v>0.16053721509771579</v>
      </c>
      <c r="BO97" s="396">
        <f t="shared" ref="BO97:BO101" si="321">BC97/F97</f>
        <v>0.1365208510303946</v>
      </c>
      <c r="BP97" s="396">
        <f t="shared" ref="BP97:BP101" si="322">BD97/G97</f>
        <v>0.11570467257136099</v>
      </c>
      <c r="BQ97" s="396">
        <f t="shared" ref="BQ97:BQ101" si="323">BE97/H97</f>
        <v>0.21683861569169613</v>
      </c>
    </row>
    <row r="98" spans="2:69" s="4" customFormat="1" outlineLevel="1">
      <c r="B98" s="13" t="s">
        <v>57</v>
      </c>
      <c r="C98" s="444" t="s">
        <v>56</v>
      </c>
      <c r="D98" s="33">
        <f>'[53]Свод АУП'!$C$23</f>
        <v>0</v>
      </c>
      <c r="E98" s="33">
        <v>0</v>
      </c>
      <c r="F98" s="33">
        <v>0</v>
      </c>
      <c r="G98" s="33">
        <v>0</v>
      </c>
      <c r="H98" s="33">
        <v>0</v>
      </c>
      <c r="J98" s="33">
        <f t="shared" si="254"/>
        <v>0</v>
      </c>
      <c r="K98" s="33">
        <f t="shared" si="233"/>
        <v>0</v>
      </c>
      <c r="L98" s="33">
        <f t="shared" si="234"/>
        <v>0</v>
      </c>
      <c r="M98" s="33">
        <f t="shared" si="235"/>
        <v>0</v>
      </c>
      <c r="N98" s="33">
        <f t="shared" si="236"/>
        <v>0</v>
      </c>
      <c r="P98" s="33">
        <f t="shared" si="318"/>
        <v>0</v>
      </c>
      <c r="Q98" s="33">
        <f t="shared" si="318"/>
        <v>0</v>
      </c>
      <c r="R98" s="33">
        <f t="shared" si="318"/>
        <v>0</v>
      </c>
      <c r="S98" s="33">
        <f t="shared" si="318"/>
        <v>0</v>
      </c>
      <c r="T98" s="33">
        <f t="shared" si="318"/>
        <v>0</v>
      </c>
      <c r="V98" s="33">
        <f t="shared" si="306"/>
        <v>0</v>
      </c>
      <c r="W98" s="33">
        <v>0</v>
      </c>
      <c r="X98" s="33"/>
      <c r="Y98" s="33"/>
      <c r="Z98" s="33"/>
      <c r="AB98" s="33">
        <f t="shared" si="307"/>
        <v>0</v>
      </c>
      <c r="AC98" s="33">
        <v>0</v>
      </c>
      <c r="AD98" s="33"/>
      <c r="AE98" s="33"/>
      <c r="AF98" s="33"/>
      <c r="AH98" s="33">
        <f t="shared" si="316"/>
        <v>0</v>
      </c>
      <c r="AI98" s="33">
        <v>0</v>
      </c>
      <c r="AJ98" s="33"/>
      <c r="AK98" s="33"/>
      <c r="AL98" s="33"/>
      <c r="AN98" s="33">
        <f t="shared" si="309"/>
        <v>0</v>
      </c>
      <c r="AO98" s="33"/>
      <c r="AP98" s="33"/>
      <c r="AQ98" s="33"/>
      <c r="AR98" s="33"/>
      <c r="AS98" s="451"/>
      <c r="AT98" s="33">
        <f>AU98+AV98+AW98+AX98+AY98</f>
        <v>0</v>
      </c>
      <c r="AU98" s="33"/>
      <c r="AV98" s="33"/>
      <c r="AW98" s="33"/>
      <c r="AX98" s="33"/>
      <c r="AY98" s="33"/>
      <c r="BA98" s="33">
        <f t="shared" si="311"/>
        <v>0</v>
      </c>
      <c r="BB98" s="33">
        <f>W98+AC98+AI98+AO98+AU98</f>
        <v>0</v>
      </c>
      <c r="BC98" s="33">
        <f>X98+AD98+AJ98+AP98+AV98</f>
        <v>0</v>
      </c>
      <c r="BD98" s="33">
        <f>Y98+AE98+AK98+AQ98+AW98+AY98</f>
        <v>0</v>
      </c>
      <c r="BE98" s="33">
        <f>Z98+AF98+AL98+AR98+AX98</f>
        <v>0</v>
      </c>
      <c r="BG98" s="396"/>
      <c r="BH98" s="396"/>
      <c r="BI98" s="396"/>
      <c r="BJ98" s="396"/>
      <c r="BK98" s="396"/>
      <c r="BM98" s="396"/>
      <c r="BN98" s="396"/>
      <c r="BO98" s="396"/>
      <c r="BP98" s="396"/>
      <c r="BQ98" s="396"/>
    </row>
    <row r="99" spans="2:69" s="4" customFormat="1" outlineLevel="1">
      <c r="B99" s="13" t="s">
        <v>109</v>
      </c>
      <c r="C99" s="444" t="s">
        <v>34</v>
      </c>
      <c r="D99" s="33">
        <f>E99+F99+G99+H99</f>
        <v>14.456618799999999</v>
      </c>
      <c r="E99" s="33">
        <f>E100+E101</f>
        <v>6.3876974278588996</v>
      </c>
      <c r="F99" s="33">
        <f t="shared" ref="F99:H99" si="324">F100+F101</f>
        <v>4.7549899603638757</v>
      </c>
      <c r="G99" s="33">
        <f t="shared" si="324"/>
        <v>3.2596777601811997</v>
      </c>
      <c r="H99" s="372">
        <f t="shared" si="324"/>
        <v>5.4253651596024126E-2</v>
      </c>
      <c r="J99" s="33">
        <f t="shared" si="254"/>
        <v>1.2047182333333333</v>
      </c>
      <c r="K99" s="33">
        <f t="shared" si="233"/>
        <v>0.5323081189882416</v>
      </c>
      <c r="L99" s="33">
        <f t="shared" si="234"/>
        <v>0.39624916336365629</v>
      </c>
      <c r="M99" s="33">
        <f t="shared" si="235"/>
        <v>0.27163981334843329</v>
      </c>
      <c r="N99" s="372">
        <f t="shared" si="236"/>
        <v>4.5211376330020108E-3</v>
      </c>
      <c r="P99" s="29">
        <f t="shared" ref="P99:P101" si="325">J99*5</f>
        <v>6.0235911666666659</v>
      </c>
      <c r="Q99" s="29">
        <f t="shared" ref="Q99:Q101" si="326">K99*5</f>
        <v>2.6615405949412079</v>
      </c>
      <c r="R99" s="29">
        <f t="shared" ref="R99:R101" si="327">L99*5</f>
        <v>1.9812458168182814</v>
      </c>
      <c r="S99" s="29">
        <f t="shared" ref="S99:S101" si="328">M99*5</f>
        <v>1.3581990667421664</v>
      </c>
      <c r="T99" s="29">
        <f t="shared" ref="T99:T101" si="329">N99*5</f>
        <v>2.2605688165010053E-2</v>
      </c>
      <c r="V99" s="33">
        <f>W99+X99+Y99+Z99</f>
        <v>0</v>
      </c>
      <c r="W99" s="33">
        <f>W100+W101</f>
        <v>0</v>
      </c>
      <c r="X99" s="33">
        <f t="shared" ref="X99:Z99" si="330">X100+X101</f>
        <v>0</v>
      </c>
      <c r="Y99" s="33">
        <f t="shared" si="330"/>
        <v>0</v>
      </c>
      <c r="Z99" s="372">
        <f t="shared" si="330"/>
        <v>0</v>
      </c>
      <c r="AB99" s="33">
        <f>AC99+AD99+AE99+AF99</f>
        <v>0</v>
      </c>
      <c r="AC99" s="33">
        <f>AC100+AC101</f>
        <v>0</v>
      </c>
      <c r="AD99" s="33">
        <f t="shared" ref="AD99:AF99" si="331">AD100+AD101</f>
        <v>0</v>
      </c>
      <c r="AE99" s="33">
        <f t="shared" si="331"/>
        <v>0</v>
      </c>
      <c r="AF99" s="372">
        <f t="shared" si="331"/>
        <v>0</v>
      </c>
      <c r="AH99" s="33">
        <f>AI99+AJ99+AK99+AL99</f>
        <v>0</v>
      </c>
      <c r="AI99" s="33">
        <f>AI100+AI101</f>
        <v>0</v>
      </c>
      <c r="AJ99" s="33">
        <f t="shared" ref="AJ99:AL99" si="332">AJ100+AJ101</f>
        <v>0</v>
      </c>
      <c r="AK99" s="33">
        <f t="shared" si="332"/>
        <v>0</v>
      </c>
      <c r="AL99" s="372">
        <f t="shared" si="332"/>
        <v>0</v>
      </c>
      <c r="AN99" s="33">
        <f>AO99+AP99+AQ99+AR99</f>
        <v>0</v>
      </c>
      <c r="AO99" s="33">
        <f>AO100+AO101</f>
        <v>0</v>
      </c>
      <c r="AP99" s="33">
        <f t="shared" ref="AP99:AR99" si="333">AP100+AP101</f>
        <v>0</v>
      </c>
      <c r="AQ99" s="33">
        <f t="shared" si="333"/>
        <v>0</v>
      </c>
      <c r="AR99" s="372">
        <f t="shared" si="333"/>
        <v>0</v>
      </c>
      <c r="AS99" s="456"/>
      <c r="AT99" s="33">
        <f>AU99+AV99+AW99+AX99+AY99</f>
        <v>4.4744999999999999</v>
      </c>
      <c r="AU99" s="33">
        <f>AU100+AU101</f>
        <v>1.9770703327222447</v>
      </c>
      <c r="AV99" s="33">
        <f t="shared" ref="AV99:AX99" si="334">AV100+AV101</f>
        <v>1.5049262082792525</v>
      </c>
      <c r="AW99" s="33">
        <f t="shared" si="334"/>
        <v>0.90018338730064995</v>
      </c>
      <c r="AX99" s="372">
        <f t="shared" si="334"/>
        <v>9.2320071697852918E-2</v>
      </c>
      <c r="AY99" s="372">
        <f t="shared" ref="AY99" si="335">AY100+AY101</f>
        <v>0</v>
      </c>
      <c r="BA99" s="33">
        <f>BB99+BC99+BD99+BE99</f>
        <v>4.4744999999999999</v>
      </c>
      <c r="BB99" s="33">
        <f>BB100+BB101</f>
        <v>1.9770703327222447</v>
      </c>
      <c r="BC99" s="33">
        <f t="shared" ref="BC99:BE99" si="336">BC100+BC101</f>
        <v>1.5049262082792525</v>
      </c>
      <c r="BD99" s="33">
        <f t="shared" si="336"/>
        <v>0.90018338730064995</v>
      </c>
      <c r="BE99" s="372">
        <f t="shared" si="336"/>
        <v>9.2320071697852918E-2</v>
      </c>
      <c r="BG99" s="396">
        <f t="shared" ref="BG99:BK101" si="337">BA99/P99</f>
        <v>0.74282929836954692</v>
      </c>
      <c r="BH99" s="396">
        <f t="shared" si="337"/>
        <v>0.74282929836954725</v>
      </c>
      <c r="BI99" s="396">
        <f t="shared" si="337"/>
        <v>0.75958580984970392</v>
      </c>
      <c r="BJ99" s="396">
        <f t="shared" si="337"/>
        <v>0.66277720942620566</v>
      </c>
      <c r="BK99" s="396">
        <f t="shared" si="337"/>
        <v>4.0839310453175877</v>
      </c>
      <c r="BM99" s="396">
        <f t="shared" si="319"/>
        <v>0.30951220765397786</v>
      </c>
      <c r="BN99" s="396">
        <f t="shared" si="320"/>
        <v>0.30951220765397797</v>
      </c>
      <c r="BO99" s="396">
        <f t="shared" si="321"/>
        <v>0.31649408743737661</v>
      </c>
      <c r="BP99" s="396">
        <f t="shared" si="322"/>
        <v>0.27615717059425232</v>
      </c>
      <c r="BQ99" s="396">
        <f t="shared" si="323"/>
        <v>1.7016379355489948</v>
      </c>
    </row>
    <row r="100" spans="2:69" s="4" customFormat="1" hidden="1" outlineLevel="1">
      <c r="B100" s="13"/>
      <c r="C100" s="445" t="s">
        <v>112</v>
      </c>
      <c r="D100" s="29">
        <v>6.3196188000000006</v>
      </c>
      <c r="E100" s="45">
        <v>2.7923412322256671</v>
      </c>
      <c r="F100" s="45">
        <v>2.054989960363875</v>
      </c>
      <c r="G100" s="29">
        <f>D100-E100-F100-H100</f>
        <v>1.4485709692851672</v>
      </c>
      <c r="H100" s="45">
        <v>2.371663812529138E-2</v>
      </c>
      <c r="J100" s="29">
        <f t="shared" si="254"/>
        <v>0.52663490000000002</v>
      </c>
      <c r="K100" s="45">
        <f t="shared" si="233"/>
        <v>0.23269510268547225</v>
      </c>
      <c r="L100" s="45">
        <f t="shared" si="234"/>
        <v>0.17124916336365625</v>
      </c>
      <c r="M100" s="29">
        <f t="shared" si="235"/>
        <v>0.12071424744043059</v>
      </c>
      <c r="N100" s="45">
        <f t="shared" si="236"/>
        <v>1.9763865104409483E-3</v>
      </c>
      <c r="P100" s="29">
        <f t="shared" si="325"/>
        <v>2.6331745</v>
      </c>
      <c r="Q100" s="29">
        <f t="shared" si="326"/>
        <v>1.1634755134273613</v>
      </c>
      <c r="R100" s="29">
        <f t="shared" si="327"/>
        <v>0.85624581681828127</v>
      </c>
      <c r="S100" s="29">
        <f t="shared" si="328"/>
        <v>0.603571237202153</v>
      </c>
      <c r="T100" s="29">
        <f t="shared" si="329"/>
        <v>9.8819325522047415E-3</v>
      </c>
      <c r="V100" s="29">
        <f t="shared" ref="V100:V103" si="338">W100+X100+Y100+Z100</f>
        <v>0</v>
      </c>
      <c r="W100" s="45">
        <v>0</v>
      </c>
      <c r="X100" s="45">
        <v>0</v>
      </c>
      <c r="Y100" s="29">
        <v>0</v>
      </c>
      <c r="Z100" s="45">
        <v>0</v>
      </c>
      <c r="AB100" s="29">
        <f t="shared" ref="AB100:AB103" si="339">AC100+AD100+AE100+AF100</f>
        <v>0</v>
      </c>
      <c r="AC100" s="45"/>
      <c r="AD100" s="45"/>
      <c r="AE100" s="29"/>
      <c r="AF100" s="45"/>
      <c r="AH100" s="29">
        <f t="shared" ref="AH100:AH102" si="340">AI100+AJ100+AK100+AL100</f>
        <v>0</v>
      </c>
      <c r="AI100" s="45">
        <v>0</v>
      </c>
      <c r="AJ100" s="45">
        <v>0</v>
      </c>
      <c r="AK100" s="29">
        <v>0</v>
      </c>
      <c r="AL100" s="45">
        <v>0</v>
      </c>
      <c r="AN100" s="29">
        <f t="shared" ref="AN100:AN103" si="341">AO100+AP100+AQ100+AR100</f>
        <v>0</v>
      </c>
      <c r="AO100" s="45">
        <v>0</v>
      </c>
      <c r="AP100" s="45">
        <v>0</v>
      </c>
      <c r="AQ100" s="29">
        <v>0</v>
      </c>
      <c r="AR100" s="45">
        <v>0</v>
      </c>
      <c r="AS100" s="457"/>
      <c r="AT100" s="533">
        <f t="shared" ref="AT100:AT101" si="342">AU100+AV100+AW100+AX100+AY100</f>
        <v>1.071</v>
      </c>
      <c r="AU100" s="533">
        <v>0.47322434380277661</v>
      </c>
      <c r="AV100" s="533">
        <v>0.36021364824384389</v>
      </c>
      <c r="AW100" s="533">
        <v>0.21546461231400069</v>
      </c>
      <c r="AX100" s="533">
        <v>2.2097395639378806E-2</v>
      </c>
      <c r="AY100" s="29">
        <v>0</v>
      </c>
      <c r="BA100" s="29">
        <f t="shared" ref="BA100:BA103" si="343">BB100+BC100+BD100+BE100</f>
        <v>1.071</v>
      </c>
      <c r="BB100" s="29">
        <f t="shared" ref="BB100:BB101" si="344">W100+AC100+AI100+AO100+AU100</f>
        <v>0.47322434380277661</v>
      </c>
      <c r="BC100" s="29">
        <f t="shared" ref="BC100:BC101" si="345">X100+AD100+AJ100+AP100+AV100</f>
        <v>0.36021364824384389</v>
      </c>
      <c r="BD100" s="29">
        <f t="shared" ref="BD100:BD101" si="346">Y100+AE100+AK100+AQ100+AW100+AY100</f>
        <v>0.21546461231400069</v>
      </c>
      <c r="BE100" s="29">
        <f t="shared" ref="BE100:BE101" si="347">Z100+AF100+AL100+AR100+AX100</f>
        <v>2.2097395639378806E-2</v>
      </c>
      <c r="BG100" s="395">
        <f t="shared" si="337"/>
        <v>0.40673339347620141</v>
      </c>
      <c r="BH100" s="395">
        <f t="shared" si="337"/>
        <v>0.40673339347620158</v>
      </c>
      <c r="BI100" s="395">
        <f t="shared" si="337"/>
        <v>0.42068952766666895</v>
      </c>
      <c r="BJ100" s="443">
        <f t="shared" si="337"/>
        <v>0.35698290281820622</v>
      </c>
      <c r="BK100" s="395">
        <f t="shared" si="337"/>
        <v>2.2361411113303635</v>
      </c>
      <c r="BM100" s="395">
        <f t="shared" si="319"/>
        <v>0.16947224728175059</v>
      </c>
      <c r="BN100" s="395">
        <f t="shared" si="320"/>
        <v>0.16947224728175067</v>
      </c>
      <c r="BO100" s="395">
        <f t="shared" si="321"/>
        <v>0.17528730319444538</v>
      </c>
      <c r="BP100" s="395">
        <f t="shared" si="322"/>
        <v>0.14874287617425261</v>
      </c>
      <c r="BQ100" s="395">
        <f t="shared" si="323"/>
        <v>0.93172546305431814</v>
      </c>
    </row>
    <row r="101" spans="2:69" s="4" customFormat="1" hidden="1" outlineLevel="1">
      <c r="B101" s="13"/>
      <c r="C101" s="445" t="s">
        <v>201</v>
      </c>
      <c r="D101" s="29">
        <v>8.1369999999999987</v>
      </c>
      <c r="E101" s="45">
        <v>3.5953561956332325</v>
      </c>
      <c r="F101" s="45">
        <v>2.7</v>
      </c>
      <c r="G101" s="29">
        <f>D101-E101-F101-H101</f>
        <v>1.8111067908960328</v>
      </c>
      <c r="H101" s="45">
        <v>3.0537013470732746E-2</v>
      </c>
      <c r="J101" s="29">
        <f t="shared" si="254"/>
        <v>0.67808333333333326</v>
      </c>
      <c r="K101" s="45">
        <f t="shared" si="233"/>
        <v>0.29961301630276937</v>
      </c>
      <c r="L101" s="45">
        <f t="shared" si="234"/>
        <v>0.22500000000000001</v>
      </c>
      <c r="M101" s="29">
        <f t="shared" si="235"/>
        <v>0.15092556590800274</v>
      </c>
      <c r="N101" s="45">
        <f t="shared" si="236"/>
        <v>2.544751122561062E-3</v>
      </c>
      <c r="P101" s="29">
        <f t="shared" si="325"/>
        <v>3.3904166666666664</v>
      </c>
      <c r="Q101" s="29">
        <f t="shared" si="326"/>
        <v>1.4980650815138468</v>
      </c>
      <c r="R101" s="29">
        <f t="shared" si="327"/>
        <v>1.125</v>
      </c>
      <c r="S101" s="29">
        <f t="shared" si="328"/>
        <v>0.75462782954001373</v>
      </c>
      <c r="T101" s="29">
        <f t="shared" si="329"/>
        <v>1.272375561280531E-2</v>
      </c>
      <c r="V101" s="29">
        <f t="shared" si="338"/>
        <v>0</v>
      </c>
      <c r="W101" s="45">
        <v>0</v>
      </c>
      <c r="X101" s="45">
        <v>0</v>
      </c>
      <c r="Y101" s="29">
        <v>0</v>
      </c>
      <c r="Z101" s="45">
        <v>0</v>
      </c>
      <c r="AB101" s="29">
        <f t="shared" si="339"/>
        <v>0</v>
      </c>
      <c r="AC101" s="45"/>
      <c r="AD101" s="45"/>
      <c r="AE101" s="29">
        <v>0</v>
      </c>
      <c r="AF101" s="45"/>
      <c r="AH101" s="29">
        <f t="shared" si="340"/>
        <v>0</v>
      </c>
      <c r="AI101" s="45">
        <v>0</v>
      </c>
      <c r="AJ101" s="45">
        <v>0</v>
      </c>
      <c r="AK101" s="29">
        <v>0</v>
      </c>
      <c r="AL101" s="45">
        <v>0</v>
      </c>
      <c r="AN101" s="29">
        <f t="shared" si="341"/>
        <v>0</v>
      </c>
      <c r="AO101" s="45">
        <v>0</v>
      </c>
      <c r="AP101" s="45">
        <v>0</v>
      </c>
      <c r="AQ101" s="29">
        <v>0</v>
      </c>
      <c r="AR101" s="45">
        <v>0</v>
      </c>
      <c r="AS101" s="457"/>
      <c r="AT101" s="533">
        <f t="shared" si="342"/>
        <v>3.4035000000000002</v>
      </c>
      <c r="AU101" s="533">
        <v>1.5038459889194682</v>
      </c>
      <c r="AV101" s="533">
        <v>1.1447125600354087</v>
      </c>
      <c r="AW101" s="533">
        <v>0.68471877498664924</v>
      </c>
      <c r="AX101" s="533">
        <v>7.0222676058474112E-2</v>
      </c>
      <c r="AY101" s="29">
        <v>0</v>
      </c>
      <c r="BA101" s="29">
        <f t="shared" si="343"/>
        <v>3.4035000000000002</v>
      </c>
      <c r="BB101" s="29">
        <f t="shared" si="344"/>
        <v>1.5038459889194682</v>
      </c>
      <c r="BC101" s="29">
        <f t="shared" si="345"/>
        <v>1.1447125600354087</v>
      </c>
      <c r="BD101" s="29">
        <f t="shared" si="346"/>
        <v>0.68471877498664924</v>
      </c>
      <c r="BE101" s="29">
        <f t="shared" si="347"/>
        <v>7.0222676058474112E-2</v>
      </c>
      <c r="BG101" s="395">
        <f t="shared" si="337"/>
        <v>1.0038589160624309</v>
      </c>
      <c r="BH101" s="395">
        <f t="shared" si="337"/>
        <v>1.0038589160624314</v>
      </c>
      <c r="BI101" s="395">
        <f t="shared" si="337"/>
        <v>1.0175222755870299</v>
      </c>
      <c r="BJ101" s="395">
        <f t="shared" si="337"/>
        <v>0.90735955948513347</v>
      </c>
      <c r="BK101" s="395">
        <f t="shared" si="337"/>
        <v>5.5190211283059645</v>
      </c>
      <c r="BM101" s="395">
        <f t="shared" si="319"/>
        <v>0.4182745483593463</v>
      </c>
      <c r="BN101" s="395">
        <f t="shared" si="320"/>
        <v>0.41827454835934641</v>
      </c>
      <c r="BO101" s="395">
        <f t="shared" si="321"/>
        <v>0.42396761482792911</v>
      </c>
      <c r="BP101" s="395">
        <f t="shared" si="322"/>
        <v>0.37806648311880564</v>
      </c>
      <c r="BQ101" s="395">
        <f t="shared" si="323"/>
        <v>2.2995921367941516</v>
      </c>
    </row>
    <row r="102" spans="2:69" s="4" customFormat="1" outlineLevel="1">
      <c r="B102" s="13" t="s">
        <v>58</v>
      </c>
      <c r="C102" s="444" t="s">
        <v>59</v>
      </c>
      <c r="D102" s="33">
        <v>0</v>
      </c>
      <c r="E102" s="33"/>
      <c r="F102" s="33"/>
      <c r="G102" s="33"/>
      <c r="H102" s="33"/>
      <c r="J102" s="33">
        <f t="shared" si="254"/>
        <v>0</v>
      </c>
      <c r="K102" s="33">
        <f t="shared" si="233"/>
        <v>0</v>
      </c>
      <c r="L102" s="33">
        <f t="shared" si="234"/>
        <v>0</v>
      </c>
      <c r="M102" s="33">
        <f t="shared" si="235"/>
        <v>0</v>
      </c>
      <c r="N102" s="33">
        <f t="shared" si="236"/>
        <v>0</v>
      </c>
      <c r="P102" s="33">
        <f>J102*5</f>
        <v>0</v>
      </c>
      <c r="Q102" s="33">
        <f>K102*5</f>
        <v>0</v>
      </c>
      <c r="R102" s="33">
        <f>L102*5</f>
        <v>0</v>
      </c>
      <c r="S102" s="33">
        <f>M102*5</f>
        <v>0</v>
      </c>
      <c r="T102" s="33">
        <f>N102*5</f>
        <v>0</v>
      </c>
      <c r="V102" s="29">
        <f t="shared" si="338"/>
        <v>0</v>
      </c>
      <c r="W102" s="33"/>
      <c r="X102" s="33"/>
      <c r="Y102" s="33"/>
      <c r="Z102" s="33"/>
      <c r="AB102" s="29">
        <f t="shared" si="339"/>
        <v>0</v>
      </c>
      <c r="AC102" s="33"/>
      <c r="AD102" s="33"/>
      <c r="AE102" s="33"/>
      <c r="AF102" s="33"/>
      <c r="AH102" s="29">
        <f t="shared" si="340"/>
        <v>0</v>
      </c>
      <c r="AI102" s="33"/>
      <c r="AJ102" s="33"/>
      <c r="AK102" s="33"/>
      <c r="AL102" s="33"/>
      <c r="AN102" s="29">
        <f t="shared" si="341"/>
        <v>0</v>
      </c>
      <c r="AO102" s="33"/>
      <c r="AP102" s="33"/>
      <c r="AQ102" s="33"/>
      <c r="AR102" s="33"/>
      <c r="AS102" s="451"/>
      <c r="AT102" s="29">
        <f>AU102+AV102+AW102+AX102+AY102</f>
        <v>0</v>
      </c>
      <c r="AU102" s="33"/>
      <c r="AV102" s="33"/>
      <c r="AW102" s="33"/>
      <c r="AX102" s="33"/>
      <c r="AY102" s="33"/>
      <c r="BA102" s="29">
        <f t="shared" si="343"/>
        <v>0</v>
      </c>
      <c r="BB102" s="33">
        <f t="shared" ref="BB102:BE103" si="348">W102+AC102+AI102+AO102</f>
        <v>0</v>
      </c>
      <c r="BC102" s="33">
        <f t="shared" si="348"/>
        <v>0</v>
      </c>
      <c r="BD102" s="33">
        <f t="shared" si="348"/>
        <v>0</v>
      </c>
      <c r="BE102" s="33">
        <f t="shared" si="348"/>
        <v>0</v>
      </c>
      <c r="BG102" s="396"/>
      <c r="BH102" s="396"/>
      <c r="BI102" s="396"/>
      <c r="BJ102" s="396"/>
      <c r="BK102" s="396"/>
      <c r="BM102" s="396"/>
      <c r="BN102" s="396"/>
      <c r="BO102" s="396"/>
      <c r="BP102" s="396"/>
      <c r="BQ102" s="396"/>
    </row>
    <row r="103" spans="2:69" s="4" customFormat="1" outlineLevel="1">
      <c r="B103" s="13" t="s">
        <v>60</v>
      </c>
      <c r="C103" s="444" t="s">
        <v>30</v>
      </c>
      <c r="D103" s="33">
        <v>903.125</v>
      </c>
      <c r="E103" s="33">
        <v>65.980066527090543</v>
      </c>
      <c r="F103" s="33">
        <v>107.2</v>
      </c>
      <c r="G103" s="33">
        <f>D103-E103-F103-H103</f>
        <v>695.14519331049326</v>
      </c>
      <c r="H103" s="33">
        <v>34.7997401624161</v>
      </c>
      <c r="J103" s="33">
        <f t="shared" si="254"/>
        <v>75.260416666666671</v>
      </c>
      <c r="K103" s="33">
        <f t="shared" si="233"/>
        <v>5.4983388772575452</v>
      </c>
      <c r="L103" s="33">
        <f t="shared" si="234"/>
        <v>8.9333333333333336</v>
      </c>
      <c r="M103" s="33">
        <f t="shared" si="235"/>
        <v>57.928766109207771</v>
      </c>
      <c r="N103" s="33">
        <f t="shared" si="236"/>
        <v>2.8999783468680085</v>
      </c>
      <c r="P103" s="33">
        <f t="shared" ref="P103:P106" si="349">J103*5</f>
        <v>376.30208333333337</v>
      </c>
      <c r="Q103" s="33">
        <f t="shared" ref="Q103:Q106" si="350">K103*5</f>
        <v>27.491694386287726</v>
      </c>
      <c r="R103" s="33">
        <f t="shared" ref="R103:R106" si="351">L103*5</f>
        <v>44.666666666666671</v>
      </c>
      <c r="S103" s="33">
        <f t="shared" ref="S103:S106" si="352">M103*5</f>
        <v>289.64383054603888</v>
      </c>
      <c r="T103" s="33">
        <f t="shared" ref="T103:T106" si="353">N103*5</f>
        <v>14.499891734340043</v>
      </c>
      <c r="V103" s="33">
        <f t="shared" si="338"/>
        <v>0</v>
      </c>
      <c r="W103" s="33">
        <v>0</v>
      </c>
      <c r="X103" s="33">
        <v>0</v>
      </c>
      <c r="Y103" s="33">
        <v>0</v>
      </c>
      <c r="Z103" s="33">
        <v>0</v>
      </c>
      <c r="AB103" s="33">
        <f t="shared" si="339"/>
        <v>0</v>
      </c>
      <c r="AC103" s="33">
        <v>0</v>
      </c>
      <c r="AD103" s="33">
        <v>0</v>
      </c>
      <c r="AE103" s="33">
        <v>0</v>
      </c>
      <c r="AF103" s="33">
        <v>0</v>
      </c>
      <c r="AH103" s="33">
        <f>AI103+AJ103+AK103+AL103</f>
        <v>0</v>
      </c>
      <c r="AI103" s="33">
        <v>0</v>
      </c>
      <c r="AJ103" s="33">
        <v>0</v>
      </c>
      <c r="AK103" s="33">
        <v>0</v>
      </c>
      <c r="AL103" s="33">
        <v>0</v>
      </c>
      <c r="AN103" s="33">
        <f t="shared" si="341"/>
        <v>44.642999999999994</v>
      </c>
      <c r="AO103" s="33">
        <v>4.183851752843462</v>
      </c>
      <c r="AP103" s="33">
        <v>5.7694144590464997</v>
      </c>
      <c r="AQ103" s="33">
        <v>31.714060555847905</v>
      </c>
      <c r="AR103" s="33">
        <v>2.9756732322621322</v>
      </c>
      <c r="AS103" s="451"/>
      <c r="AT103" s="29">
        <f>AU103+AV103+AW103+AX103+AY103</f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BA103" s="29">
        <f t="shared" si="343"/>
        <v>44.642999999999994</v>
      </c>
      <c r="BB103" s="33">
        <f t="shared" si="348"/>
        <v>4.183851752843462</v>
      </c>
      <c r="BC103" s="33">
        <f t="shared" si="348"/>
        <v>5.7694144590464997</v>
      </c>
      <c r="BD103" s="33">
        <f t="shared" si="348"/>
        <v>31.714060555847905</v>
      </c>
      <c r="BE103" s="33">
        <f t="shared" si="348"/>
        <v>2.9756732322621322</v>
      </c>
      <c r="BG103" s="396">
        <f t="shared" ref="BG103:BG121" si="354">BA103/P103</f>
        <v>0.11863606920415222</v>
      </c>
      <c r="BH103" s="396">
        <f t="shared" ref="BH103:BH122" si="355">BB103/Q103</f>
        <v>0.15218602731631845</v>
      </c>
      <c r="BI103" s="396">
        <f t="shared" ref="BI103:BI122" si="356">BC103/R103</f>
        <v>0.1291659953517873</v>
      </c>
      <c r="BJ103" s="396">
        <f t="shared" ref="BJ103:BJ122" si="357">BD103/S103</f>
        <v>0.10949330595462814</v>
      </c>
      <c r="BK103" s="396">
        <f t="shared" ref="BK103:BK122" si="358">BE103/T103</f>
        <v>0.20522037590217695</v>
      </c>
      <c r="BM103" s="396">
        <f t="shared" ref="BM103:BM106" si="359">BA103/D103</f>
        <v>4.94316955017301E-2</v>
      </c>
      <c r="BN103" s="396">
        <f t="shared" ref="BN103:BN106" si="360">BB103/E103</f>
        <v>6.3410844715132683E-2</v>
      </c>
      <c r="BO103" s="396">
        <f t="shared" ref="BO103:BO106" si="361">BC103/F103</f>
        <v>5.3819164729911377E-2</v>
      </c>
      <c r="BP103" s="396">
        <f t="shared" ref="BP103:BP106" si="362">BD103/G103</f>
        <v>4.5622210814428396E-2</v>
      </c>
      <c r="BQ103" s="396">
        <f t="shared" ref="BQ103:BQ106" si="363">BE103/H103</f>
        <v>8.5508489959240402E-2</v>
      </c>
    </row>
    <row r="104" spans="2:69" s="4" customFormat="1" outlineLevel="1">
      <c r="B104" s="13" t="s">
        <v>61</v>
      </c>
      <c r="C104" s="444" t="s">
        <v>62</v>
      </c>
      <c r="D104" s="33">
        <f>SUM(D105:D106)</f>
        <v>296.57707597200005</v>
      </c>
      <c r="E104" s="33">
        <f>SUM(E105:E106)</f>
        <v>27.794604286419837</v>
      </c>
      <c r="F104" s="33">
        <f>SUM(F105:F106)</f>
        <v>38.327981325954553</v>
      </c>
      <c r="G104" s="33">
        <f>SUM(G105:G106)</f>
        <v>219.02660918929516</v>
      </c>
      <c r="H104" s="33">
        <f>SUM(H105:H106)</f>
        <v>11.427881170330508</v>
      </c>
      <c r="J104" s="33">
        <f t="shared" si="254"/>
        <v>24.714756331000004</v>
      </c>
      <c r="K104" s="33">
        <f t="shared" si="233"/>
        <v>2.3162170238683197</v>
      </c>
      <c r="L104" s="33">
        <f t="shared" si="234"/>
        <v>3.1939984438295461</v>
      </c>
      <c r="M104" s="33">
        <f t="shared" si="235"/>
        <v>18.252217432441263</v>
      </c>
      <c r="N104" s="33">
        <f t="shared" si="236"/>
        <v>0.95232343086087567</v>
      </c>
      <c r="P104" s="33">
        <f t="shared" si="349"/>
        <v>123.57378165500002</v>
      </c>
      <c r="Q104" s="33">
        <f t="shared" si="350"/>
        <v>11.581085119341598</v>
      </c>
      <c r="R104" s="33">
        <f t="shared" si="351"/>
        <v>15.969992219147731</v>
      </c>
      <c r="S104" s="33">
        <f t="shared" si="352"/>
        <v>91.261087162206309</v>
      </c>
      <c r="T104" s="33">
        <f t="shared" si="353"/>
        <v>4.7616171543043784</v>
      </c>
      <c r="V104" s="33">
        <f>SUM(V105:V106)</f>
        <v>13.84947</v>
      </c>
      <c r="W104" s="33">
        <f>SUM(W105:W106)</f>
        <v>1.2979443436922462</v>
      </c>
      <c r="X104" s="33">
        <f>SUM(X105:X106)</f>
        <v>1.7898289198335848</v>
      </c>
      <c r="Y104" s="33">
        <f>SUM(Y105:Y106)</f>
        <v>9.8385621541204422</v>
      </c>
      <c r="Z104" s="33">
        <f>SUM(Z105:Z106)</f>
        <v>0.92313458235372692</v>
      </c>
      <c r="AB104" s="33">
        <f>SUM(AB105:AB106)</f>
        <v>10.273</v>
      </c>
      <c r="AC104" s="33">
        <f>SUM(AC105:AC106)</f>
        <v>0.9627648020285573</v>
      </c>
      <c r="AD104" s="33">
        <f>SUM(AD105:AD106)</f>
        <v>1.3276257137240932</v>
      </c>
      <c r="AE104" s="33">
        <f>SUM(AE105:AE106)</f>
        <v>7.2978640344561416</v>
      </c>
      <c r="AF104" s="33">
        <f>SUM(AF105:AF106)</f>
        <v>0.68474544979120766</v>
      </c>
      <c r="AH104" s="33">
        <f>SUM(AH105:AH106)</f>
        <v>2.427</v>
      </c>
      <c r="AI104" s="33">
        <v>0.17731058431695362</v>
      </c>
      <c r="AJ104" s="33">
        <v>0.2878845356872502</v>
      </c>
      <c r="AK104" s="33">
        <v>1.8682862979897794</v>
      </c>
      <c r="AL104" s="33">
        <v>9.3518582006016746E-2</v>
      </c>
      <c r="AN104" s="33">
        <f>SUM(AN105:AN106)</f>
        <v>20.672089999999997</v>
      </c>
      <c r="AO104" s="33">
        <f>SUM(AO105:AO106)</f>
        <v>1.9373465040753939</v>
      </c>
      <c r="AP104" s="33">
        <f>SUM(AP105:AP106)</f>
        <v>2.6715466018123908</v>
      </c>
      <c r="AQ104" s="33">
        <f>SUM(AQ105:AQ106)</f>
        <v>14.685301482336264</v>
      </c>
      <c r="AR104" s="33">
        <f>SUM(AR105:AR106)</f>
        <v>1.377895411775949</v>
      </c>
      <c r="AS104" s="451"/>
      <c r="AT104" s="33">
        <f t="shared" ref="AT104:AY104" si="364">SUM(AT105:AT106)</f>
        <v>16.869019999999999</v>
      </c>
      <c r="AU104" s="33">
        <f t="shared" si="364"/>
        <v>1.5809304682873333</v>
      </c>
      <c r="AV104" s="33">
        <f t="shared" si="364"/>
        <v>2.1800588647255918</v>
      </c>
      <c r="AW104" s="33">
        <f t="shared" si="364"/>
        <v>11.983628380660113</v>
      </c>
      <c r="AX104" s="33">
        <f t="shared" si="364"/>
        <v>1.1244022863269616</v>
      </c>
      <c r="AY104" s="33">
        <f t="shared" si="364"/>
        <v>0</v>
      </c>
      <c r="BA104" s="33">
        <f>SUM(BA105:BA106)</f>
        <v>64.090579999999989</v>
      </c>
      <c r="BB104" s="33">
        <f>SUM(BB105:BB106)</f>
        <v>6.0064396540051996</v>
      </c>
      <c r="BC104" s="33">
        <f>SUM(BC105:BC106)</f>
        <v>8.2827121595922417</v>
      </c>
      <c r="BD104" s="33">
        <f>SUM(BD105:BD106)</f>
        <v>45.529479093685794</v>
      </c>
      <c r="BE104" s="33">
        <f>SUM(BE105:BE106)</f>
        <v>4.2719490927167696</v>
      </c>
      <c r="BG104" s="396">
        <f t="shared" si="354"/>
        <v>0.51864221634757079</v>
      </c>
      <c r="BH104" s="396">
        <f t="shared" si="355"/>
        <v>0.51864221634757102</v>
      </c>
      <c r="BI104" s="396">
        <f t="shared" si="356"/>
        <v>0.51864221634757091</v>
      </c>
      <c r="BJ104" s="396">
        <f t="shared" si="357"/>
        <v>0.49889257852870272</v>
      </c>
      <c r="BK104" s="396">
        <f t="shared" si="358"/>
        <v>0.89716349598897061</v>
      </c>
      <c r="BM104" s="396">
        <f t="shared" si="359"/>
        <v>0.21610092347815449</v>
      </c>
      <c r="BN104" s="396">
        <f t="shared" si="360"/>
        <v>0.21610092347815454</v>
      </c>
      <c r="BO104" s="396">
        <f t="shared" si="361"/>
        <v>0.21610092347815454</v>
      </c>
      <c r="BP104" s="396">
        <f t="shared" si="362"/>
        <v>0.20787190772029279</v>
      </c>
      <c r="BQ104" s="396">
        <f t="shared" si="363"/>
        <v>0.37381812332873776</v>
      </c>
    </row>
    <row r="105" spans="2:69" s="4" customFormat="1" hidden="1" outlineLevel="1">
      <c r="B105" s="13"/>
      <c r="C105" s="445" t="s">
        <v>63</v>
      </c>
      <c r="D105" s="29">
        <v>29.084922371999994</v>
      </c>
      <c r="E105" s="29">
        <v>2.7257801547254488</v>
      </c>
      <c r="F105" s="29">
        <v>3.7587745374025445</v>
      </c>
      <c r="G105" s="29">
        <f>D105-E105-F105-H105</f>
        <v>21.479650457793504</v>
      </c>
      <c r="H105" s="29">
        <v>1.1207172220784971</v>
      </c>
      <c r="J105" s="29">
        <f t="shared" si="254"/>
        <v>2.4237435309999995</v>
      </c>
      <c r="K105" s="29">
        <f t="shared" si="233"/>
        <v>0.22714834622712074</v>
      </c>
      <c r="L105" s="29">
        <f t="shared" si="234"/>
        <v>0.31323121145021204</v>
      </c>
      <c r="M105" s="29">
        <f t="shared" si="235"/>
        <v>1.789970871482792</v>
      </c>
      <c r="N105" s="29">
        <f t="shared" si="236"/>
        <v>9.3393101839874759E-2</v>
      </c>
      <c r="P105" s="29">
        <f t="shared" si="349"/>
        <v>12.118717654999998</v>
      </c>
      <c r="Q105" s="29">
        <f t="shared" si="350"/>
        <v>1.1357417311356037</v>
      </c>
      <c r="R105" s="29">
        <f t="shared" si="351"/>
        <v>1.5661560572510602</v>
      </c>
      <c r="S105" s="29">
        <f t="shared" si="352"/>
        <v>8.94985435741396</v>
      </c>
      <c r="T105" s="29">
        <f t="shared" si="353"/>
        <v>0.4669655091993738</v>
      </c>
      <c r="V105" s="29">
        <f t="shared" ref="V105:V106" si="365">W105+X105+Y105+Z105</f>
        <v>13.84947</v>
      </c>
      <c r="W105" s="29">
        <v>1.2979443436922462</v>
      </c>
      <c r="X105" s="29">
        <v>1.7898289198335848</v>
      </c>
      <c r="Y105" s="29">
        <v>9.8385621541204422</v>
      </c>
      <c r="Z105" s="29">
        <v>0.92313458235372692</v>
      </c>
      <c r="AB105" s="29">
        <f t="shared" ref="AB105:AB106" si="366">AC105+AD105+AE105+AF105</f>
        <v>10.273</v>
      </c>
      <c r="AC105" s="29">
        <v>0.9627648020285573</v>
      </c>
      <c r="AD105" s="29">
        <v>1.3276257137240932</v>
      </c>
      <c r="AE105" s="29">
        <v>7.2978640344561416</v>
      </c>
      <c r="AF105" s="29">
        <v>0.68474544979120766</v>
      </c>
      <c r="AH105" s="29">
        <f t="shared" ref="AH105:AH106" si="367">AI105+AJ105+AK105+AL105</f>
        <v>2.427</v>
      </c>
      <c r="AI105" s="29">
        <v>0.22745353592166931</v>
      </c>
      <c r="AJ105" s="29">
        <v>0.31365205949658076</v>
      </c>
      <c r="AK105" s="29">
        <v>1.7241230421128255</v>
      </c>
      <c r="AL105" s="29">
        <v>0.16177136246892446</v>
      </c>
      <c r="AN105" s="29">
        <f t="shared" ref="AN105:AN106" si="368">AO105+AP105+AQ105+AR105</f>
        <v>2.4267699999999994</v>
      </c>
      <c r="AO105" s="29">
        <v>0.22743198078641508</v>
      </c>
      <c r="AP105" s="29">
        <v>0.3136223355684043</v>
      </c>
      <c r="AQ105" s="29">
        <v>1.7239596517956906</v>
      </c>
      <c r="AR105" s="29">
        <v>0.16175603184948983</v>
      </c>
      <c r="AS105" s="452"/>
      <c r="AT105" s="29">
        <f t="shared" ref="AT105:AT106" si="369">AU105+AV105+AW105+AX105+AY105</f>
        <v>2.4267699999999994</v>
      </c>
      <c r="AU105" s="29">
        <v>0.22743198078641508</v>
      </c>
      <c r="AV105" s="29">
        <v>0.3136223355684043</v>
      </c>
      <c r="AW105" s="29">
        <v>1.7239596517956906</v>
      </c>
      <c r="AX105" s="29">
        <v>0.16175603184948983</v>
      </c>
      <c r="AY105" s="29">
        <v>0</v>
      </c>
      <c r="BA105" s="29">
        <f t="shared" ref="BA105:BA106" si="370">BB105+BC105+BD105+BE105</f>
        <v>31.403010000000002</v>
      </c>
      <c r="BB105" s="29">
        <f t="shared" ref="BB105:BB106" si="371">W105+AC105+AI105+AO105+AU105</f>
        <v>2.9430266432153029</v>
      </c>
      <c r="BC105" s="29">
        <f t="shared" ref="BC105:BC106" si="372">X105+AD105+AJ105+AP105+AV105</f>
        <v>4.0583513641910676</v>
      </c>
      <c r="BD105" s="29">
        <f t="shared" ref="BD105:BD106" si="373">Y105+AE105+AK105+AQ105+AW105+AY105</f>
        <v>22.308468534280795</v>
      </c>
      <c r="BE105" s="29">
        <f t="shared" ref="BE105:BE106" si="374">Z105+AF105+AL105+AR105+AX105</f>
        <v>2.0931634583128385</v>
      </c>
      <c r="BG105" s="395">
        <f t="shared" si="354"/>
        <v>2.5912815938115035</v>
      </c>
      <c r="BH105" s="395">
        <f t="shared" si="355"/>
        <v>2.591281593811503</v>
      </c>
      <c r="BI105" s="395">
        <f t="shared" si="356"/>
        <v>2.5912815938115035</v>
      </c>
      <c r="BJ105" s="395">
        <f t="shared" si="357"/>
        <v>2.4926068786583895</v>
      </c>
      <c r="BK105" s="395">
        <f t="shared" si="358"/>
        <v>4.4824797914981538</v>
      </c>
      <c r="BM105" s="395">
        <f t="shared" si="359"/>
        <v>1.0797006640881266</v>
      </c>
      <c r="BN105" s="395">
        <f t="shared" si="360"/>
        <v>1.0797006640881264</v>
      </c>
      <c r="BO105" s="395">
        <f t="shared" si="361"/>
        <v>1.0797006640881264</v>
      </c>
      <c r="BP105" s="395">
        <f t="shared" si="362"/>
        <v>1.0385861994409955</v>
      </c>
      <c r="BQ105" s="395">
        <f t="shared" si="363"/>
        <v>1.8676999131242309</v>
      </c>
    </row>
    <row r="106" spans="2:69" s="4" customFormat="1" hidden="1" outlineLevel="1">
      <c r="B106" s="13"/>
      <c r="C106" s="445" t="s">
        <v>64</v>
      </c>
      <c r="D106" s="29">
        <v>267.49215360000005</v>
      </c>
      <c r="E106" s="29">
        <v>25.068824131694388</v>
      </c>
      <c r="F106" s="29">
        <v>34.569206788552009</v>
      </c>
      <c r="G106" s="29">
        <f>D106-E106-F106-H106</f>
        <v>197.54695873150166</v>
      </c>
      <c r="H106" s="29">
        <v>10.307163948252011</v>
      </c>
      <c r="J106" s="29">
        <f t="shared" si="254"/>
        <v>22.291012800000004</v>
      </c>
      <c r="K106" s="29">
        <f t="shared" si="233"/>
        <v>2.0890686776411989</v>
      </c>
      <c r="L106" s="29">
        <f t="shared" si="234"/>
        <v>2.8807672323793341</v>
      </c>
      <c r="M106" s="29">
        <f t="shared" si="235"/>
        <v>16.462246560958473</v>
      </c>
      <c r="N106" s="29">
        <f t="shared" si="236"/>
        <v>0.85893032902100097</v>
      </c>
      <c r="P106" s="29">
        <f t="shared" si="349"/>
        <v>111.45506400000002</v>
      </c>
      <c r="Q106" s="29">
        <f t="shared" si="350"/>
        <v>10.445343388205995</v>
      </c>
      <c r="R106" s="29">
        <f t="shared" si="351"/>
        <v>14.40383616189667</v>
      </c>
      <c r="S106" s="29">
        <f t="shared" si="352"/>
        <v>82.311232804792368</v>
      </c>
      <c r="T106" s="29">
        <f t="shared" si="353"/>
        <v>4.294651645105005</v>
      </c>
      <c r="V106" s="29">
        <f t="shared" si="365"/>
        <v>0</v>
      </c>
      <c r="W106" s="29">
        <v>0</v>
      </c>
      <c r="X106" s="29">
        <v>0</v>
      </c>
      <c r="Y106" s="29">
        <v>0</v>
      </c>
      <c r="Z106" s="29">
        <v>0</v>
      </c>
      <c r="AB106" s="29">
        <f t="shared" si="366"/>
        <v>0</v>
      </c>
      <c r="AC106" s="29">
        <v>0</v>
      </c>
      <c r="AD106" s="29">
        <v>0</v>
      </c>
      <c r="AE106" s="29">
        <v>0</v>
      </c>
      <c r="AF106" s="29">
        <v>0</v>
      </c>
      <c r="AH106" s="29">
        <f t="shared" si="367"/>
        <v>0</v>
      </c>
      <c r="AI106" s="29">
        <v>0</v>
      </c>
      <c r="AJ106" s="29">
        <v>0</v>
      </c>
      <c r="AK106" s="29">
        <v>0</v>
      </c>
      <c r="AL106" s="29">
        <v>0</v>
      </c>
      <c r="AN106" s="29">
        <f t="shared" si="368"/>
        <v>18.24532</v>
      </c>
      <c r="AO106" s="29">
        <v>1.7099145232889787</v>
      </c>
      <c r="AP106" s="29">
        <v>2.3579242662439865</v>
      </c>
      <c r="AQ106" s="29">
        <v>12.961341830540574</v>
      </c>
      <c r="AR106" s="29">
        <v>1.2161393799264593</v>
      </c>
      <c r="AS106" s="452"/>
      <c r="AT106" s="29">
        <f t="shared" si="369"/>
        <v>14.44225</v>
      </c>
      <c r="AU106" s="29">
        <v>1.3534984875009182</v>
      </c>
      <c r="AV106" s="29">
        <v>1.8664365291571874</v>
      </c>
      <c r="AW106" s="29">
        <v>10.259668728864423</v>
      </c>
      <c r="AX106" s="29">
        <v>0.96264625447747187</v>
      </c>
      <c r="AY106" s="29">
        <v>0</v>
      </c>
      <c r="BA106" s="29">
        <f t="shared" si="370"/>
        <v>32.687569999999994</v>
      </c>
      <c r="BB106" s="29">
        <f t="shared" si="371"/>
        <v>3.0634130107898967</v>
      </c>
      <c r="BC106" s="29">
        <f t="shared" si="372"/>
        <v>4.2243607954011742</v>
      </c>
      <c r="BD106" s="29">
        <f t="shared" si="373"/>
        <v>23.221010559404995</v>
      </c>
      <c r="BE106" s="29">
        <f t="shared" si="374"/>
        <v>2.1787856344039311</v>
      </c>
      <c r="BG106" s="395">
        <f t="shared" si="354"/>
        <v>0.2932802586699873</v>
      </c>
      <c r="BH106" s="395">
        <f t="shared" si="355"/>
        <v>0.29328025866998741</v>
      </c>
      <c r="BI106" s="395">
        <f t="shared" si="356"/>
        <v>0.29328025866998741</v>
      </c>
      <c r="BJ106" s="395">
        <f t="shared" si="357"/>
        <v>0.28211229218830275</v>
      </c>
      <c r="BK106" s="395">
        <f t="shared" si="358"/>
        <v>0.50732534660576867</v>
      </c>
      <c r="BM106" s="395">
        <f t="shared" si="359"/>
        <v>0.12220010777916136</v>
      </c>
      <c r="BN106" s="395">
        <f t="shared" si="360"/>
        <v>0.1222001077791614</v>
      </c>
      <c r="BO106" s="395">
        <f t="shared" si="361"/>
        <v>0.12220010777916142</v>
      </c>
      <c r="BP106" s="395">
        <f t="shared" si="362"/>
        <v>0.11754678841179282</v>
      </c>
      <c r="BQ106" s="395">
        <f t="shared" si="363"/>
        <v>0.21138556108573694</v>
      </c>
    </row>
    <row r="107" spans="2:69" s="4" customFormat="1" outlineLevel="1">
      <c r="B107" s="13" t="s">
        <v>120</v>
      </c>
      <c r="C107" s="444" t="s">
        <v>65</v>
      </c>
      <c r="D107" s="33">
        <f>SUM(D108:D124)</f>
        <v>16767.959742622967</v>
      </c>
      <c r="E107" s="33">
        <f>SUM(E108:E124)</f>
        <v>1574.0092885226488</v>
      </c>
      <c r="F107" s="33">
        <f>SUM(F108:F124)</f>
        <v>2152.5265232623533</v>
      </c>
      <c r="G107" s="33">
        <f>SUM(G108:G124)</f>
        <v>12446.364916674036</v>
      </c>
      <c r="H107" s="33">
        <f>SUM(H108:H124)</f>
        <v>595.05901416393147</v>
      </c>
      <c r="J107" s="33">
        <f t="shared" si="254"/>
        <v>1397.3299785519139</v>
      </c>
      <c r="K107" s="33">
        <f t="shared" si="233"/>
        <v>131.16744071022075</v>
      </c>
      <c r="L107" s="33">
        <f t="shared" si="234"/>
        <v>179.37721027186277</v>
      </c>
      <c r="M107" s="33">
        <f t="shared" si="235"/>
        <v>1037.1970763895031</v>
      </c>
      <c r="N107" s="33">
        <f t="shared" si="236"/>
        <v>49.588251180327624</v>
      </c>
      <c r="P107" s="33">
        <f>J107*5</f>
        <v>6986.6498927595694</v>
      </c>
      <c r="Q107" s="33">
        <f>K107*5</f>
        <v>655.8372035511037</v>
      </c>
      <c r="R107" s="33">
        <f>L107*5</f>
        <v>896.8860513593138</v>
      </c>
      <c r="S107" s="33">
        <f>M107*5</f>
        <v>5185.9853819475156</v>
      </c>
      <c r="T107" s="33">
        <f>N107*5</f>
        <v>247.94125590163813</v>
      </c>
      <c r="V107" s="33">
        <f>SUM(V108:V124)</f>
        <v>169.87844000000001</v>
      </c>
      <c r="W107" s="33">
        <f>SUM(W108:W124)</f>
        <v>38.534559250386167</v>
      </c>
      <c r="X107" s="33">
        <f>SUM(X108:X124)</f>
        <v>34.933626917161</v>
      </c>
      <c r="Y107" s="33">
        <f>SUM(Y108:Y124)</f>
        <v>89.265450188114642</v>
      </c>
      <c r="Z107" s="33">
        <f>SUM(Z108:Z124)</f>
        <v>7.1448036443381842</v>
      </c>
      <c r="AB107" s="33">
        <f>SUM(AB108:AB124)</f>
        <v>231.29408000000001</v>
      </c>
      <c r="AC107" s="33">
        <f>SUM(AC108:AC124)</f>
        <v>32.275089930240505</v>
      </c>
      <c r="AD107" s="33">
        <f>SUM(AD108:AD124)</f>
        <v>35.974386621839372</v>
      </c>
      <c r="AE107" s="33">
        <f>SUM(AE108:AE124)</f>
        <v>149.5860689448466</v>
      </c>
      <c r="AF107" s="33">
        <f>SUM(AF108:AF124)</f>
        <v>13.45853450307351</v>
      </c>
      <c r="AH107" s="33">
        <f>SUM(AH108:AH124)</f>
        <v>825.75207999999998</v>
      </c>
      <c r="AI107" s="33">
        <f>SUM(AI108:AI124)</f>
        <v>88.883661393593457</v>
      </c>
      <c r="AJ107" s="33">
        <f>SUM(AJ108:AJ124)</f>
        <v>113.31379065677513</v>
      </c>
      <c r="AK107" s="33">
        <f>SUM(AK108:AK124)</f>
        <v>570.6383464057327</v>
      </c>
      <c r="AL107" s="33">
        <f>SUM(AL108:AL124)</f>
        <v>52.916281543898691</v>
      </c>
      <c r="AN107" s="33">
        <f>SUM(AN108:AN124)</f>
        <v>318.48613999999998</v>
      </c>
      <c r="AO107" s="33">
        <f>SUM(AO108:AO124)</f>
        <v>43.467421533363819</v>
      </c>
      <c r="AP107" s="33">
        <f>SUM(AP108:AP124)</f>
        <v>48.976464395970382</v>
      </c>
      <c r="AQ107" s="33">
        <f>SUM(AQ108:AQ124)</f>
        <v>207.33011708103237</v>
      </c>
      <c r="AR107" s="33">
        <f>SUM(AR108:AR124)</f>
        <v>18.712136989633443</v>
      </c>
      <c r="AS107" s="451"/>
      <c r="AT107" s="33">
        <f t="shared" ref="AT107" si="375">SUM(AT108:AT124)</f>
        <v>850.10718999999995</v>
      </c>
      <c r="AU107" s="33">
        <f>SUM(AU108:AU124)</f>
        <v>106.34861949023373</v>
      </c>
      <c r="AV107" s="33">
        <f>SUM(AV108:AV124)</f>
        <v>122.91210871285941</v>
      </c>
      <c r="AW107" s="33">
        <f>SUM(AW108:AW124)</f>
        <v>571.63122961425665</v>
      </c>
      <c r="AX107" s="33">
        <f>SUM(AX108:AX124)</f>
        <v>49.215232182650155</v>
      </c>
      <c r="AY107" s="33">
        <f>SUM(AY108:AY124)</f>
        <v>0</v>
      </c>
      <c r="BA107" s="33">
        <f>SUM(BA108:BA124)</f>
        <v>2395.51793</v>
      </c>
      <c r="BB107" s="33">
        <f>SUM(BB108:BB124)</f>
        <v>309.50935159781767</v>
      </c>
      <c r="BC107" s="33">
        <f>SUM(BC108:BC124)</f>
        <v>356.11037730460532</v>
      </c>
      <c r="BD107" s="33">
        <f>SUM(BD108:BD124)</f>
        <v>1588.4512122339827</v>
      </c>
      <c r="BE107" s="33">
        <f>SUM(BE108:BE124)</f>
        <v>141.44698886359399</v>
      </c>
      <c r="BG107" s="396">
        <f t="shared" si="354"/>
        <v>0.34287075590871269</v>
      </c>
      <c r="BH107" s="396">
        <f t="shared" si="355"/>
        <v>0.47193015266890131</v>
      </c>
      <c r="BI107" s="396">
        <f t="shared" si="356"/>
        <v>0.39705197417764176</v>
      </c>
      <c r="BJ107" s="396">
        <f t="shared" si="357"/>
        <v>0.30629689350135897</v>
      </c>
      <c r="BK107" s="396">
        <f t="shared" si="358"/>
        <v>0.57048589331864985</v>
      </c>
      <c r="BM107" s="396">
        <f t="shared" ref="BM107:BM122" si="376">BA107/D107</f>
        <v>0.14286281496196362</v>
      </c>
      <c r="BN107" s="396">
        <f t="shared" ref="BN107:BN122" si="377">BB107/E107</f>
        <v>0.19663756361204221</v>
      </c>
      <c r="BO107" s="396">
        <f t="shared" ref="BO107:BO122" si="378">BC107/F107</f>
        <v>0.16543832257401739</v>
      </c>
      <c r="BP107" s="396">
        <f t="shared" ref="BP107:BP122" si="379">BD107/G107</f>
        <v>0.12762370562556627</v>
      </c>
      <c r="BQ107" s="396">
        <f t="shared" ref="BQ107:BQ122" si="380">BE107/H107</f>
        <v>0.23770245554943745</v>
      </c>
    </row>
    <row r="108" spans="2:69" s="4" customFormat="1" hidden="1" outlineLevel="1">
      <c r="B108" s="13"/>
      <c r="C108" s="445" t="s">
        <v>297</v>
      </c>
      <c r="D108" s="29">
        <v>1089.1200000000001</v>
      </c>
      <c r="E108" s="29">
        <v>102.07012568727171</v>
      </c>
      <c r="F108" s="29">
        <v>140.75184632835436</v>
      </c>
      <c r="G108" s="29">
        <f t="shared" ref="G108:G122" si="381">D108-E108-F108-H108</f>
        <v>804.3314198119831</v>
      </c>
      <c r="H108" s="29">
        <v>41.966608172391005</v>
      </c>
      <c r="J108" s="29">
        <f t="shared" si="254"/>
        <v>90.76</v>
      </c>
      <c r="K108" s="29">
        <f t="shared" si="233"/>
        <v>8.5058438072726421</v>
      </c>
      <c r="L108" s="29">
        <f t="shared" si="234"/>
        <v>11.729320527362864</v>
      </c>
      <c r="M108" s="29">
        <f t="shared" si="235"/>
        <v>67.027618317665258</v>
      </c>
      <c r="N108" s="29">
        <f t="shared" si="236"/>
        <v>3.4972173476992503</v>
      </c>
      <c r="P108" s="29">
        <f t="shared" ref="P108:P124" si="382">J108*5</f>
        <v>453.8</v>
      </c>
      <c r="Q108" s="29">
        <f t="shared" ref="Q108:Q124" si="383">K108*5</f>
        <v>42.529219036363209</v>
      </c>
      <c r="R108" s="29">
        <f t="shared" ref="R108:R124" si="384">L108*5</f>
        <v>58.646602636814322</v>
      </c>
      <c r="S108" s="29">
        <f t="shared" ref="S108:S124" si="385">M108*5</f>
        <v>335.13809158832629</v>
      </c>
      <c r="T108" s="29">
        <f t="shared" ref="T108:T124" si="386">N108*5</f>
        <v>17.486086738496251</v>
      </c>
      <c r="V108" s="29">
        <f t="shared" ref="V108:V124" si="387">W108+X108+Y108+Z108</f>
        <v>2.3159999999999998</v>
      </c>
      <c r="W108" s="28">
        <v>0.21705084021202559</v>
      </c>
      <c r="X108" s="29">
        <v>0.29930703328969138</v>
      </c>
      <c r="Y108" s="29">
        <v>1.6452694542782462</v>
      </c>
      <c r="Z108" s="29">
        <v>0.15437267222003667</v>
      </c>
      <c r="AB108" s="29">
        <f t="shared" ref="AB108:AB124" si="388">AC108+AD108+AE108+AF108</f>
        <v>8.5379999999999985</v>
      </c>
      <c r="AC108" s="29">
        <v>0.80016410782827052</v>
      </c>
      <c r="AD108" s="29">
        <v>1.1034039076974893</v>
      </c>
      <c r="AE108" s="29">
        <v>6.0653327291138455</v>
      </c>
      <c r="AF108" s="29">
        <v>0.56909925536039441</v>
      </c>
      <c r="AH108" s="29">
        <f>AI108+AJ108+AK108+AL108</f>
        <v>0</v>
      </c>
      <c r="AI108" s="29">
        <v>0</v>
      </c>
      <c r="AJ108" s="29">
        <v>0</v>
      </c>
      <c r="AK108" s="29">
        <v>0</v>
      </c>
      <c r="AL108" s="29">
        <v>0</v>
      </c>
      <c r="AN108" s="29">
        <f t="shared" ref="AN108:AN124" si="389">AO108+AP108+AQ108+AR108</f>
        <v>0</v>
      </c>
      <c r="AO108" s="29">
        <v>0</v>
      </c>
      <c r="AP108" s="29">
        <v>0</v>
      </c>
      <c r="AQ108" s="29">
        <v>0</v>
      </c>
      <c r="AR108" s="29">
        <v>0</v>
      </c>
      <c r="AS108" s="452"/>
      <c r="AT108" s="29">
        <f t="shared" ref="AT108:AT124" si="390">AU108+AV108+AW108+AX108+AY108</f>
        <v>68.989999999999995</v>
      </c>
      <c r="AU108" s="29">
        <v>6.4656033964713489</v>
      </c>
      <c r="AV108" s="29">
        <v>8.9158861082278964</v>
      </c>
      <c r="AW108" s="29">
        <v>49.009991213582126</v>
      </c>
      <c r="AX108" s="29">
        <v>4.5985192817186231</v>
      </c>
      <c r="AY108" s="29">
        <v>0</v>
      </c>
      <c r="BA108" s="29">
        <f t="shared" ref="BA108:BA124" si="391">BB108+BC108+BD108+BE108</f>
        <v>79.843999999999994</v>
      </c>
      <c r="BB108" s="29">
        <f t="shared" ref="BB108:BB124" si="392">W108+AC108+AI108+AO108+AU108</f>
        <v>7.482818344511645</v>
      </c>
      <c r="BC108" s="29">
        <f t="shared" ref="BC108:BC124" si="393">X108+AD108+AJ108+AP108+AV108</f>
        <v>10.318597049215077</v>
      </c>
      <c r="BD108" s="29">
        <f t="shared" ref="BD108:BD124" si="394">Y108+AE108+AK108+AQ108+AW108+AY108</f>
        <v>56.720593396974216</v>
      </c>
      <c r="BE108" s="29">
        <f t="shared" ref="BE108:BE124" si="395">Z108+AF108+AL108+AR108+AX108</f>
        <v>5.3219912092990542</v>
      </c>
      <c r="BG108" s="395">
        <f t="shared" si="354"/>
        <v>0.17594535037461434</v>
      </c>
      <c r="BH108" s="395">
        <f t="shared" si="355"/>
        <v>0.1759453503746144</v>
      </c>
      <c r="BI108" s="395">
        <f t="shared" si="356"/>
        <v>0.17594535037461434</v>
      </c>
      <c r="BJ108" s="395">
        <f t="shared" si="357"/>
        <v>0.16924543888209553</v>
      </c>
      <c r="BK108" s="395">
        <f t="shared" si="358"/>
        <v>0.30435575946117771</v>
      </c>
      <c r="BM108" s="395">
        <f t="shared" si="376"/>
        <v>7.3310562656089304E-2</v>
      </c>
      <c r="BN108" s="395">
        <f t="shared" si="377"/>
        <v>7.3310562656089318E-2</v>
      </c>
      <c r="BO108" s="395">
        <f t="shared" si="378"/>
        <v>7.3310562656089318E-2</v>
      </c>
      <c r="BP108" s="395">
        <f t="shared" si="379"/>
        <v>7.051893286753981E-2</v>
      </c>
      <c r="BQ108" s="395">
        <f t="shared" si="380"/>
        <v>0.12681489977549071</v>
      </c>
    </row>
    <row r="109" spans="2:69" s="4" customFormat="1" hidden="1" outlineLevel="1">
      <c r="B109" s="13"/>
      <c r="C109" s="445" t="s">
        <v>99</v>
      </c>
      <c r="D109" s="29">
        <v>158</v>
      </c>
      <c r="E109" s="29">
        <v>14.807440739853213</v>
      </c>
      <c r="F109" s="29">
        <v>20.419046312509174</v>
      </c>
      <c r="G109" s="29">
        <f t="shared" si="381"/>
        <v>116.68536463410211</v>
      </c>
      <c r="H109" s="29">
        <v>6.0881483135354957</v>
      </c>
      <c r="J109" s="29">
        <f t="shared" si="254"/>
        <v>13.166666666666666</v>
      </c>
      <c r="K109" s="29">
        <f t="shared" si="233"/>
        <v>1.2339533949877677</v>
      </c>
      <c r="L109" s="29">
        <f t="shared" si="234"/>
        <v>1.7015871927090978</v>
      </c>
      <c r="M109" s="29">
        <f t="shared" si="235"/>
        <v>9.7237803861751768</v>
      </c>
      <c r="N109" s="29">
        <f t="shared" si="236"/>
        <v>0.5073456927946246</v>
      </c>
      <c r="P109" s="29">
        <f t="shared" si="382"/>
        <v>65.833333333333329</v>
      </c>
      <c r="Q109" s="29">
        <f t="shared" si="383"/>
        <v>6.1697669749388382</v>
      </c>
      <c r="R109" s="29">
        <f t="shared" si="384"/>
        <v>8.5079359635454885</v>
      </c>
      <c r="S109" s="29">
        <f t="shared" si="385"/>
        <v>48.618901930875886</v>
      </c>
      <c r="T109" s="29">
        <f t="shared" si="386"/>
        <v>2.5367284639731231</v>
      </c>
      <c r="V109" s="29">
        <f t="shared" si="387"/>
        <v>0</v>
      </c>
      <c r="W109" s="28">
        <v>0</v>
      </c>
      <c r="X109" s="29">
        <v>0</v>
      </c>
      <c r="Y109" s="29">
        <v>0</v>
      </c>
      <c r="Z109" s="29">
        <v>0</v>
      </c>
      <c r="AB109" s="29">
        <f t="shared" si="388"/>
        <v>0</v>
      </c>
      <c r="AC109" s="29">
        <v>0</v>
      </c>
      <c r="AD109" s="29">
        <v>0</v>
      </c>
      <c r="AE109" s="29">
        <v>0</v>
      </c>
      <c r="AF109" s="29">
        <v>0</v>
      </c>
      <c r="AH109" s="29">
        <f t="shared" ref="AH109:AH124" si="396">AI109+AJ109+AK109+AL109</f>
        <v>0</v>
      </c>
      <c r="AI109" s="29">
        <v>0</v>
      </c>
      <c r="AJ109" s="29">
        <v>0</v>
      </c>
      <c r="AK109" s="29">
        <v>0</v>
      </c>
      <c r="AL109" s="29">
        <v>0</v>
      </c>
      <c r="AN109" s="29">
        <f t="shared" si="389"/>
        <v>0</v>
      </c>
      <c r="AO109" s="29">
        <v>0</v>
      </c>
      <c r="AP109" s="29">
        <v>0</v>
      </c>
      <c r="AQ109" s="29">
        <v>0</v>
      </c>
      <c r="AR109" s="29">
        <v>0</v>
      </c>
      <c r="AS109" s="452"/>
      <c r="AT109" s="29">
        <f t="shared" si="390"/>
        <v>51.786000000000001</v>
      </c>
      <c r="AU109" s="29">
        <v>4.8532792794559398</v>
      </c>
      <c r="AV109" s="29">
        <v>6.6925362806303799</v>
      </c>
      <c r="AW109" s="29">
        <v>36.788395491905554</v>
      </c>
      <c r="AX109" s="29">
        <v>3.4517889480081263</v>
      </c>
      <c r="AY109" s="29">
        <v>0</v>
      </c>
      <c r="BA109" s="29">
        <f t="shared" si="391"/>
        <v>51.786000000000001</v>
      </c>
      <c r="BB109" s="29">
        <f t="shared" si="392"/>
        <v>4.8532792794559398</v>
      </c>
      <c r="BC109" s="29">
        <f t="shared" si="393"/>
        <v>6.6925362806303799</v>
      </c>
      <c r="BD109" s="29">
        <f t="shared" si="394"/>
        <v>36.788395491905554</v>
      </c>
      <c r="BE109" s="29">
        <f t="shared" si="395"/>
        <v>3.4517889480081263</v>
      </c>
      <c r="BG109" s="395">
        <f t="shared" si="354"/>
        <v>0.78662278481012671</v>
      </c>
      <c r="BH109" s="395">
        <f t="shared" si="355"/>
        <v>0.78662278481012671</v>
      </c>
      <c r="BI109" s="395">
        <f t="shared" si="356"/>
        <v>0.7866227848101266</v>
      </c>
      <c r="BJ109" s="395">
        <f t="shared" si="357"/>
        <v>0.75666858013802119</v>
      </c>
      <c r="BK109" s="395">
        <f t="shared" si="358"/>
        <v>1.3607246487082814</v>
      </c>
      <c r="BM109" s="395">
        <f t="shared" si="376"/>
        <v>0.32775949367088608</v>
      </c>
      <c r="BN109" s="395">
        <f t="shared" si="377"/>
        <v>0.32775949367088608</v>
      </c>
      <c r="BO109" s="395">
        <f t="shared" si="378"/>
        <v>0.32775949367088608</v>
      </c>
      <c r="BP109" s="395">
        <f t="shared" si="379"/>
        <v>0.31527857505750889</v>
      </c>
      <c r="BQ109" s="395">
        <f t="shared" si="380"/>
        <v>0.56696860362845058</v>
      </c>
    </row>
    <row r="110" spans="2:69" s="4" customFormat="1" hidden="1" outlineLevel="1">
      <c r="B110" s="13"/>
      <c r="C110" s="445" t="s">
        <v>162</v>
      </c>
      <c r="D110" s="29">
        <v>463.51599999999996</v>
      </c>
      <c r="E110" s="29">
        <v>43.439782923884827</v>
      </c>
      <c r="F110" s="29">
        <v>59.902244750563305</v>
      </c>
      <c r="G110" s="29">
        <f t="shared" si="381"/>
        <v>342.31350299835742</v>
      </c>
      <c r="H110" s="29">
        <v>17.860469327194419</v>
      </c>
      <c r="J110" s="29">
        <f t="shared" si="254"/>
        <v>38.626333333333328</v>
      </c>
      <c r="K110" s="29">
        <f t="shared" si="233"/>
        <v>3.6199819103237356</v>
      </c>
      <c r="L110" s="29">
        <f t="shared" si="234"/>
        <v>4.9918537292136085</v>
      </c>
      <c r="M110" s="29">
        <f t="shared" si="235"/>
        <v>28.526125249863117</v>
      </c>
      <c r="N110" s="29">
        <f t="shared" si="236"/>
        <v>1.4883724439328683</v>
      </c>
      <c r="P110" s="29">
        <f t="shared" si="382"/>
        <v>193.13166666666663</v>
      </c>
      <c r="Q110" s="29">
        <f t="shared" si="383"/>
        <v>18.09990955161868</v>
      </c>
      <c r="R110" s="29">
        <f t="shared" si="384"/>
        <v>24.959268646068043</v>
      </c>
      <c r="S110" s="29">
        <f t="shared" si="385"/>
        <v>142.63062624931558</v>
      </c>
      <c r="T110" s="29">
        <f t="shared" si="386"/>
        <v>7.4418622196643414</v>
      </c>
      <c r="V110" s="29">
        <f t="shared" si="387"/>
        <v>0</v>
      </c>
      <c r="W110" s="28">
        <v>0</v>
      </c>
      <c r="X110" s="29">
        <v>0</v>
      </c>
      <c r="Y110" s="29">
        <v>0</v>
      </c>
      <c r="Z110" s="29">
        <v>0</v>
      </c>
      <c r="AB110" s="29">
        <f t="shared" si="388"/>
        <v>0</v>
      </c>
      <c r="AC110" s="29">
        <v>0</v>
      </c>
      <c r="AD110" s="29">
        <v>0</v>
      </c>
      <c r="AE110" s="29">
        <v>0</v>
      </c>
      <c r="AF110" s="29">
        <v>0</v>
      </c>
      <c r="AH110" s="29">
        <f t="shared" si="396"/>
        <v>0</v>
      </c>
      <c r="AI110" s="29">
        <v>0</v>
      </c>
      <c r="AJ110" s="29">
        <v>0</v>
      </c>
      <c r="AK110" s="29">
        <v>0</v>
      </c>
      <c r="AL110" s="29">
        <v>0</v>
      </c>
      <c r="AN110" s="29">
        <f t="shared" si="389"/>
        <v>0</v>
      </c>
      <c r="AO110" s="29">
        <v>0</v>
      </c>
      <c r="AP110" s="29">
        <v>0</v>
      </c>
      <c r="AQ110" s="29">
        <v>0</v>
      </c>
      <c r="AR110" s="29">
        <v>0</v>
      </c>
      <c r="AS110" s="452"/>
      <c r="AT110" s="29">
        <f t="shared" si="390"/>
        <v>207.91660000000002</v>
      </c>
      <c r="AU110" s="29">
        <v>19.485523628682056</v>
      </c>
      <c r="AV110" s="29">
        <v>26.869991674300284</v>
      </c>
      <c r="AW110" s="29">
        <v>147.70243135465822</v>
      </c>
      <c r="AX110" s="29">
        <v>13.85865334235945</v>
      </c>
      <c r="AY110" s="29">
        <v>0</v>
      </c>
      <c r="BA110" s="29">
        <f t="shared" si="391"/>
        <v>207.91660000000002</v>
      </c>
      <c r="BB110" s="29">
        <f t="shared" si="392"/>
        <v>19.485523628682056</v>
      </c>
      <c r="BC110" s="29">
        <f t="shared" si="393"/>
        <v>26.869991674300284</v>
      </c>
      <c r="BD110" s="29">
        <f t="shared" si="394"/>
        <v>147.70243135465822</v>
      </c>
      <c r="BE110" s="29">
        <f t="shared" si="395"/>
        <v>13.85865334235945</v>
      </c>
      <c r="BG110" s="395">
        <f t="shared" si="354"/>
        <v>1.0765536464760659</v>
      </c>
      <c r="BH110" s="395">
        <f t="shared" si="355"/>
        <v>1.0765536464760654</v>
      </c>
      <c r="BI110" s="395">
        <f t="shared" si="356"/>
        <v>1.0765536464760657</v>
      </c>
      <c r="BJ110" s="395">
        <f t="shared" si="357"/>
        <v>1.0355590186954464</v>
      </c>
      <c r="BK110" s="395">
        <f t="shared" si="358"/>
        <v>1.862256103820279</v>
      </c>
      <c r="BM110" s="395">
        <f t="shared" si="376"/>
        <v>0.44856401936502738</v>
      </c>
      <c r="BN110" s="395">
        <f t="shared" si="377"/>
        <v>0.44856401936502732</v>
      </c>
      <c r="BO110" s="395">
        <f t="shared" si="378"/>
        <v>0.44856401936502732</v>
      </c>
      <c r="BP110" s="395">
        <f t="shared" si="379"/>
        <v>0.43148292445643593</v>
      </c>
      <c r="BQ110" s="395">
        <f t="shared" si="380"/>
        <v>0.77594004325844956</v>
      </c>
    </row>
    <row r="111" spans="2:69" s="4" customFormat="1" hidden="1" outlineLevel="1">
      <c r="B111" s="13"/>
      <c r="C111" s="445" t="s">
        <v>100</v>
      </c>
      <c r="D111" s="29">
        <v>2749.6089285714284</v>
      </c>
      <c r="E111" s="29">
        <v>257.68779283286528</v>
      </c>
      <c r="F111" s="29">
        <v>355.34425350499191</v>
      </c>
      <c r="G111" s="29">
        <f t="shared" si="381"/>
        <v>2030.6273445034176</v>
      </c>
      <c r="H111" s="29">
        <v>105.94953773015366</v>
      </c>
      <c r="J111" s="29">
        <f t="shared" si="254"/>
        <v>229.13407738095236</v>
      </c>
      <c r="K111" s="29">
        <f t="shared" si="233"/>
        <v>21.473982736072106</v>
      </c>
      <c r="L111" s="29">
        <f t="shared" si="234"/>
        <v>29.612021125415993</v>
      </c>
      <c r="M111" s="29">
        <f t="shared" si="235"/>
        <v>169.21894537528479</v>
      </c>
      <c r="N111" s="29">
        <f t="shared" si="236"/>
        <v>8.8291281441794727</v>
      </c>
      <c r="P111" s="29">
        <f t="shared" si="382"/>
        <v>1145.6703869047619</v>
      </c>
      <c r="Q111" s="29">
        <f t="shared" si="383"/>
        <v>107.36991368036053</v>
      </c>
      <c r="R111" s="29">
        <f t="shared" si="384"/>
        <v>148.06010562707996</v>
      </c>
      <c r="S111" s="29">
        <f t="shared" si="385"/>
        <v>846.09472687642392</v>
      </c>
      <c r="T111" s="29">
        <f t="shared" si="386"/>
        <v>44.145640720897362</v>
      </c>
      <c r="V111" s="29">
        <f t="shared" si="387"/>
        <v>32.096530000000001</v>
      </c>
      <c r="W111" s="28">
        <v>3.008021936265322</v>
      </c>
      <c r="X111" s="29">
        <v>4.1479780540559501</v>
      </c>
      <c r="Y111" s="29">
        <v>22.801140067929776</v>
      </c>
      <c r="Z111" s="29">
        <v>2.1393899417489526</v>
      </c>
      <c r="AB111" s="29">
        <f t="shared" si="388"/>
        <v>29.774080000000001</v>
      </c>
      <c r="AC111" s="29">
        <v>2.7903666150863846</v>
      </c>
      <c r="AD111" s="29">
        <v>3.8478374584326147</v>
      </c>
      <c r="AE111" s="29">
        <v>21.151288580844927</v>
      </c>
      <c r="AF111" s="29">
        <v>1.9845873456360752</v>
      </c>
      <c r="AH111" s="29">
        <f t="shared" si="396"/>
        <v>65.896000000000001</v>
      </c>
      <c r="AI111" s="29">
        <v>6.1756399683124519</v>
      </c>
      <c r="AJ111" s="29">
        <v>8.5160346570196488</v>
      </c>
      <c r="AK111" s="29">
        <v>46.812036251778636</v>
      </c>
      <c r="AL111" s="29">
        <v>4.3922891228892649</v>
      </c>
      <c r="AN111" s="29">
        <f t="shared" si="389"/>
        <v>17.780139999999999</v>
      </c>
      <c r="AO111" s="29">
        <v>1.6663187936474286</v>
      </c>
      <c r="AP111" s="29">
        <v>2.2978069753347903</v>
      </c>
      <c r="AQ111" s="29">
        <v>12.6308813621722</v>
      </c>
      <c r="AR111" s="29">
        <v>1.18513286884558</v>
      </c>
      <c r="AS111" s="452"/>
      <c r="AT111" s="29">
        <f t="shared" si="390"/>
        <v>28.00067</v>
      </c>
      <c r="AU111" s="29">
        <v>2.6241662132986434</v>
      </c>
      <c r="AV111" s="29">
        <v>3.6186517564005456</v>
      </c>
      <c r="AW111" s="29">
        <v>19.891471092541131</v>
      </c>
      <c r="AX111" s="29">
        <v>1.8663809377596783</v>
      </c>
      <c r="AY111" s="29">
        <v>0</v>
      </c>
      <c r="BA111" s="29">
        <f t="shared" si="391"/>
        <v>173.54741999999999</v>
      </c>
      <c r="BB111" s="29">
        <f t="shared" si="392"/>
        <v>16.26451352661023</v>
      </c>
      <c r="BC111" s="29">
        <f t="shared" si="393"/>
        <v>22.42830890124355</v>
      </c>
      <c r="BD111" s="29">
        <f t="shared" si="394"/>
        <v>123.28681735526666</v>
      </c>
      <c r="BE111" s="29">
        <f t="shared" si="395"/>
        <v>11.567780216879552</v>
      </c>
      <c r="BG111" s="395">
        <f t="shared" si="354"/>
        <v>0.15148110833943268</v>
      </c>
      <c r="BH111" s="395">
        <f t="shared" si="355"/>
        <v>0.15148110833943271</v>
      </c>
      <c r="BI111" s="395">
        <f t="shared" si="356"/>
        <v>0.15148110833943271</v>
      </c>
      <c r="BJ111" s="395">
        <f t="shared" si="357"/>
        <v>0.14571278302420301</v>
      </c>
      <c r="BK111" s="395">
        <f t="shared" si="358"/>
        <v>0.2620367499027752</v>
      </c>
      <c r="BM111" s="395">
        <f t="shared" si="376"/>
        <v>6.3117128474763626E-2</v>
      </c>
      <c r="BN111" s="395">
        <f t="shared" si="377"/>
        <v>6.3117128474763626E-2</v>
      </c>
      <c r="BO111" s="395">
        <f t="shared" si="378"/>
        <v>6.3117128474763626E-2</v>
      </c>
      <c r="BP111" s="395">
        <f t="shared" si="379"/>
        <v>6.0713659593417915E-2</v>
      </c>
      <c r="BQ111" s="395">
        <f t="shared" si="380"/>
        <v>0.10918197912615635</v>
      </c>
    </row>
    <row r="112" spans="2:69" s="4" customFormat="1" hidden="1" outlineLevel="1">
      <c r="B112" s="13"/>
      <c r="C112" s="445" t="s">
        <v>95</v>
      </c>
      <c r="D112" s="29">
        <v>69.399999999999991</v>
      </c>
      <c r="E112" s="29">
        <v>11.158977475419155</v>
      </c>
      <c r="F112" s="29">
        <v>10.781153548771671</v>
      </c>
      <c r="G112" s="29">
        <f t="shared" si="381"/>
        <v>46.666346719502883</v>
      </c>
      <c r="H112" s="29">
        <v>0.79352225630628381</v>
      </c>
      <c r="J112" s="29">
        <f t="shared" si="254"/>
        <v>5.7833333333333323</v>
      </c>
      <c r="K112" s="29">
        <f t="shared" si="233"/>
        <v>0.9299147896182629</v>
      </c>
      <c r="L112" s="29">
        <f t="shared" si="234"/>
        <v>0.89842946239763932</v>
      </c>
      <c r="M112" s="29">
        <f t="shared" si="235"/>
        <v>3.8888622266252404</v>
      </c>
      <c r="N112" s="29">
        <f t="shared" si="236"/>
        <v>6.6126854692190318E-2</v>
      </c>
      <c r="P112" s="29">
        <f t="shared" si="382"/>
        <v>28.916666666666661</v>
      </c>
      <c r="Q112" s="29">
        <f t="shared" si="383"/>
        <v>4.6495739480913141</v>
      </c>
      <c r="R112" s="29">
        <f t="shared" si="384"/>
        <v>4.4921473119881963</v>
      </c>
      <c r="S112" s="29">
        <f t="shared" si="385"/>
        <v>19.444311133126202</v>
      </c>
      <c r="T112" s="29">
        <f t="shared" si="386"/>
        <v>0.33063427346095159</v>
      </c>
      <c r="V112" s="29">
        <f t="shared" si="387"/>
        <v>0</v>
      </c>
      <c r="W112" s="28">
        <v>0</v>
      </c>
      <c r="X112" s="29">
        <v>0</v>
      </c>
      <c r="Y112" s="29">
        <v>0</v>
      </c>
      <c r="Z112" s="29">
        <v>0</v>
      </c>
      <c r="AB112" s="29">
        <f t="shared" si="388"/>
        <v>0</v>
      </c>
      <c r="AC112" s="29">
        <v>0</v>
      </c>
      <c r="AD112" s="29">
        <v>0</v>
      </c>
      <c r="AE112" s="29">
        <v>0</v>
      </c>
      <c r="AF112" s="29">
        <v>0</v>
      </c>
      <c r="AH112" s="29">
        <f t="shared" si="396"/>
        <v>0</v>
      </c>
      <c r="AI112" s="29">
        <v>0</v>
      </c>
      <c r="AJ112" s="29">
        <v>0</v>
      </c>
      <c r="AK112" s="29">
        <v>0</v>
      </c>
      <c r="AL112" s="29">
        <v>0</v>
      </c>
      <c r="AN112" s="29">
        <f t="shared" si="389"/>
        <v>0</v>
      </c>
      <c r="AO112" s="29">
        <v>0</v>
      </c>
      <c r="AP112" s="29">
        <v>0</v>
      </c>
      <c r="AQ112" s="29">
        <v>0</v>
      </c>
      <c r="AR112" s="29">
        <v>0</v>
      </c>
      <c r="AS112" s="452"/>
      <c r="AT112" s="29">
        <f t="shared" si="390"/>
        <v>0</v>
      </c>
      <c r="AU112" s="29">
        <v>0</v>
      </c>
      <c r="AV112" s="29">
        <v>0</v>
      </c>
      <c r="AW112" s="29">
        <v>0</v>
      </c>
      <c r="AX112" s="29">
        <v>0</v>
      </c>
      <c r="AY112" s="29">
        <v>0</v>
      </c>
      <c r="BA112" s="29">
        <f t="shared" si="391"/>
        <v>0</v>
      </c>
      <c r="BB112" s="29">
        <f t="shared" si="392"/>
        <v>0</v>
      </c>
      <c r="BC112" s="29">
        <f t="shared" si="393"/>
        <v>0</v>
      </c>
      <c r="BD112" s="29">
        <f t="shared" si="394"/>
        <v>0</v>
      </c>
      <c r="BE112" s="29">
        <f t="shared" si="395"/>
        <v>0</v>
      </c>
      <c r="BG112" s="395">
        <f t="shared" si="354"/>
        <v>0</v>
      </c>
      <c r="BH112" s="395">
        <f t="shared" si="355"/>
        <v>0</v>
      </c>
      <c r="BI112" s="395">
        <f t="shared" si="356"/>
        <v>0</v>
      </c>
      <c r="BJ112" s="395">
        <f t="shared" si="357"/>
        <v>0</v>
      </c>
      <c r="BK112" s="395">
        <f t="shared" si="358"/>
        <v>0</v>
      </c>
      <c r="BM112" s="395">
        <f t="shared" si="376"/>
        <v>0</v>
      </c>
      <c r="BN112" s="395">
        <f t="shared" si="377"/>
        <v>0</v>
      </c>
      <c r="BO112" s="395">
        <f t="shared" si="378"/>
        <v>0</v>
      </c>
      <c r="BP112" s="395">
        <f t="shared" si="379"/>
        <v>0</v>
      </c>
      <c r="BQ112" s="395">
        <f t="shared" si="380"/>
        <v>0</v>
      </c>
    </row>
    <row r="113" spans="2:80" s="4" customFormat="1" hidden="1" outlineLevel="1">
      <c r="B113" s="13"/>
      <c r="C113" s="445" t="s">
        <v>121</v>
      </c>
      <c r="D113" s="29">
        <v>1457.6374999999998</v>
      </c>
      <c r="E113" s="29">
        <v>136.60684114834044</v>
      </c>
      <c r="F113" s="29">
        <v>188.37701024905121</v>
      </c>
      <c r="G113" s="29">
        <f t="shared" si="381"/>
        <v>1076.4871088091202</v>
      </c>
      <c r="H113" s="29">
        <v>56.166539793487935</v>
      </c>
      <c r="J113" s="29">
        <f t="shared" si="254"/>
        <v>121.46979166666665</v>
      </c>
      <c r="K113" s="29">
        <f t="shared" si="233"/>
        <v>11.38390342902837</v>
      </c>
      <c r="L113" s="29">
        <f t="shared" si="234"/>
        <v>15.698084187420934</v>
      </c>
      <c r="M113" s="29">
        <f t="shared" si="235"/>
        <v>89.707259067426676</v>
      </c>
      <c r="N113" s="29">
        <f t="shared" si="236"/>
        <v>4.6805449827906616</v>
      </c>
      <c r="P113" s="29">
        <f t="shared" si="382"/>
        <v>607.34895833333326</v>
      </c>
      <c r="Q113" s="29">
        <f t="shared" si="383"/>
        <v>56.919517145141853</v>
      </c>
      <c r="R113" s="29">
        <f t="shared" si="384"/>
        <v>78.490420937104673</v>
      </c>
      <c r="S113" s="29">
        <f t="shared" si="385"/>
        <v>448.53629533713337</v>
      </c>
      <c r="T113" s="29">
        <f t="shared" si="386"/>
        <v>23.402724913953307</v>
      </c>
      <c r="V113" s="29">
        <f t="shared" si="387"/>
        <v>0</v>
      </c>
      <c r="W113" s="28">
        <v>0</v>
      </c>
      <c r="X113" s="29">
        <v>0</v>
      </c>
      <c r="Y113" s="29">
        <v>0</v>
      </c>
      <c r="Z113" s="29">
        <v>0</v>
      </c>
      <c r="AB113" s="29">
        <f t="shared" si="388"/>
        <v>0</v>
      </c>
      <c r="AC113" s="29">
        <v>0</v>
      </c>
      <c r="AD113" s="29">
        <v>0</v>
      </c>
      <c r="AE113" s="29">
        <v>0</v>
      </c>
      <c r="AF113" s="29">
        <v>0</v>
      </c>
      <c r="AH113" s="29">
        <f t="shared" si="396"/>
        <v>365.18607999999995</v>
      </c>
      <c r="AI113" s="29">
        <v>34.2245015102487</v>
      </c>
      <c r="AJ113" s="29">
        <v>47.194629621542276</v>
      </c>
      <c r="AK113" s="29">
        <v>259.42551923644731</v>
      </c>
      <c r="AL113" s="29">
        <v>24.341429631761702</v>
      </c>
      <c r="AN113" s="29">
        <f t="shared" si="389"/>
        <v>0</v>
      </c>
      <c r="AO113" s="29">
        <v>0</v>
      </c>
      <c r="AP113" s="29">
        <v>0</v>
      </c>
      <c r="AQ113" s="29">
        <v>0</v>
      </c>
      <c r="AR113" s="29">
        <v>0</v>
      </c>
      <c r="AS113" s="452"/>
      <c r="AT113" s="29">
        <f t="shared" si="390"/>
        <v>35.058030000000002</v>
      </c>
      <c r="AU113" s="29">
        <v>3.2855677321582037</v>
      </c>
      <c r="AV113" s="29">
        <v>4.5307059379451644</v>
      </c>
      <c r="AW113" s="29">
        <v>24.904967999210012</v>
      </c>
      <c r="AX113" s="29">
        <v>2.3367883306866206</v>
      </c>
      <c r="AY113" s="29">
        <v>0</v>
      </c>
      <c r="BA113" s="29">
        <f t="shared" si="391"/>
        <v>400.24410999999998</v>
      </c>
      <c r="BB113" s="29">
        <f t="shared" si="392"/>
        <v>37.510069242406907</v>
      </c>
      <c r="BC113" s="29">
        <f t="shared" si="393"/>
        <v>51.725335559487441</v>
      </c>
      <c r="BD113" s="29">
        <f t="shared" si="394"/>
        <v>284.3304872356573</v>
      </c>
      <c r="BE113" s="29">
        <f t="shared" si="395"/>
        <v>26.678217962448322</v>
      </c>
      <c r="BG113" s="395">
        <f t="shared" si="354"/>
        <v>0.65900188764353285</v>
      </c>
      <c r="BH113" s="395">
        <f t="shared" si="355"/>
        <v>0.65900188764353274</v>
      </c>
      <c r="BI113" s="395">
        <f t="shared" si="356"/>
        <v>0.65900188764353274</v>
      </c>
      <c r="BJ113" s="395">
        <f t="shared" si="357"/>
        <v>0.63390742330438599</v>
      </c>
      <c r="BK113" s="395">
        <f t="shared" si="358"/>
        <v>1.13996203692255</v>
      </c>
      <c r="BM113" s="395">
        <f t="shared" si="376"/>
        <v>0.27458411985147202</v>
      </c>
      <c r="BN113" s="395">
        <f t="shared" si="377"/>
        <v>0.27458411985147202</v>
      </c>
      <c r="BO113" s="395">
        <f t="shared" si="378"/>
        <v>0.27458411985147196</v>
      </c>
      <c r="BP113" s="395">
        <f t="shared" si="379"/>
        <v>0.26412809304349416</v>
      </c>
      <c r="BQ113" s="395">
        <f t="shared" si="380"/>
        <v>0.47498418205106252</v>
      </c>
    </row>
    <row r="114" spans="2:80" s="4" customFormat="1" hidden="1" outlineLevel="1">
      <c r="B114" s="13"/>
      <c r="C114" s="445" t="s">
        <v>101</v>
      </c>
      <c r="D114" s="29">
        <v>438.8703999999999</v>
      </c>
      <c r="E114" s="29">
        <v>41.130047091618202</v>
      </c>
      <c r="F114" s="29">
        <v>56.717183688540672</v>
      </c>
      <c r="G114" s="29">
        <f t="shared" si="381"/>
        <v>324.1123585513559</v>
      </c>
      <c r="H114" s="29">
        <v>16.910810668485109</v>
      </c>
      <c r="J114" s="29">
        <f t="shared" si="254"/>
        <v>36.572533333333325</v>
      </c>
      <c r="K114" s="29">
        <f t="shared" si="233"/>
        <v>3.4275039243015168</v>
      </c>
      <c r="L114" s="29">
        <f t="shared" si="234"/>
        <v>4.726431974045056</v>
      </c>
      <c r="M114" s="29">
        <f t="shared" si="235"/>
        <v>27.009363212612993</v>
      </c>
      <c r="N114" s="29">
        <f t="shared" si="236"/>
        <v>1.4092342223737591</v>
      </c>
      <c r="P114" s="29">
        <f t="shared" si="382"/>
        <v>182.86266666666663</v>
      </c>
      <c r="Q114" s="29">
        <f t="shared" si="383"/>
        <v>17.137519621507586</v>
      </c>
      <c r="R114" s="29">
        <f t="shared" si="384"/>
        <v>23.63215987022528</v>
      </c>
      <c r="S114" s="29">
        <f t="shared" si="385"/>
        <v>135.04681606306497</v>
      </c>
      <c r="T114" s="29">
        <f t="shared" si="386"/>
        <v>7.0461711118687953</v>
      </c>
      <c r="V114" s="29">
        <f t="shared" si="387"/>
        <v>0</v>
      </c>
      <c r="W114" s="28">
        <v>0</v>
      </c>
      <c r="X114" s="29">
        <v>0</v>
      </c>
      <c r="Y114" s="29">
        <v>0</v>
      </c>
      <c r="Z114" s="29">
        <v>0</v>
      </c>
      <c r="AB114" s="29">
        <f t="shared" si="388"/>
        <v>0</v>
      </c>
      <c r="AC114" s="29">
        <v>0</v>
      </c>
      <c r="AD114" s="29">
        <v>0</v>
      </c>
      <c r="AE114" s="29">
        <v>0</v>
      </c>
      <c r="AF114" s="29">
        <v>0</v>
      </c>
      <c r="AH114" s="29">
        <f t="shared" si="396"/>
        <v>0</v>
      </c>
      <c r="AI114" s="29">
        <v>0</v>
      </c>
      <c r="AJ114" s="29">
        <v>0</v>
      </c>
      <c r="AK114" s="29">
        <v>0</v>
      </c>
      <c r="AL114" s="29">
        <v>0</v>
      </c>
      <c r="AN114" s="29">
        <f t="shared" si="389"/>
        <v>0</v>
      </c>
      <c r="AO114" s="29">
        <v>0</v>
      </c>
      <c r="AP114" s="29">
        <v>0</v>
      </c>
      <c r="AQ114" s="29">
        <v>0</v>
      </c>
      <c r="AR114" s="29">
        <v>0</v>
      </c>
      <c r="AS114" s="452"/>
      <c r="AT114" s="29">
        <f t="shared" si="390"/>
        <v>0</v>
      </c>
      <c r="AU114" s="29">
        <v>0</v>
      </c>
      <c r="AV114" s="29">
        <v>0</v>
      </c>
      <c r="AW114" s="29">
        <v>0</v>
      </c>
      <c r="AX114" s="29">
        <v>0</v>
      </c>
      <c r="AY114" s="29">
        <v>0</v>
      </c>
      <c r="BA114" s="29">
        <f t="shared" si="391"/>
        <v>0</v>
      </c>
      <c r="BB114" s="29">
        <f t="shared" si="392"/>
        <v>0</v>
      </c>
      <c r="BC114" s="29">
        <f t="shared" si="393"/>
        <v>0</v>
      </c>
      <c r="BD114" s="29">
        <f t="shared" si="394"/>
        <v>0</v>
      </c>
      <c r="BE114" s="29">
        <f t="shared" si="395"/>
        <v>0</v>
      </c>
      <c r="BG114" s="395">
        <f t="shared" si="354"/>
        <v>0</v>
      </c>
      <c r="BH114" s="395">
        <f t="shared" si="355"/>
        <v>0</v>
      </c>
      <c r="BI114" s="395">
        <f t="shared" si="356"/>
        <v>0</v>
      </c>
      <c r="BJ114" s="395">
        <f t="shared" si="357"/>
        <v>0</v>
      </c>
      <c r="BK114" s="395">
        <f t="shared" si="358"/>
        <v>0</v>
      </c>
      <c r="BM114" s="395">
        <f t="shared" si="376"/>
        <v>0</v>
      </c>
      <c r="BN114" s="395">
        <f t="shared" si="377"/>
        <v>0</v>
      </c>
      <c r="BO114" s="395">
        <f t="shared" si="378"/>
        <v>0</v>
      </c>
      <c r="BP114" s="395">
        <f t="shared" si="379"/>
        <v>0</v>
      </c>
      <c r="BQ114" s="395">
        <f t="shared" si="380"/>
        <v>0</v>
      </c>
    </row>
    <row r="115" spans="2:80" s="4" customFormat="1" hidden="1" outlineLevel="1">
      <c r="B115" s="13"/>
      <c r="C115" s="445" t="s">
        <v>102</v>
      </c>
      <c r="D115" s="29">
        <v>1899.876</v>
      </c>
      <c r="E115" s="29">
        <v>178.05253976626179</v>
      </c>
      <c r="F115" s="29">
        <v>245.52946855711818</v>
      </c>
      <c r="G115" s="29">
        <f t="shared" si="381"/>
        <v>1403.086859617591</v>
      </c>
      <c r="H115" s="29">
        <v>73.207132059028865</v>
      </c>
      <c r="J115" s="29">
        <f t="shared" si="254"/>
        <v>158.32300000000001</v>
      </c>
      <c r="K115" s="29">
        <f t="shared" si="233"/>
        <v>14.837711647188483</v>
      </c>
      <c r="L115" s="29">
        <f t="shared" si="234"/>
        <v>20.460789046426516</v>
      </c>
      <c r="M115" s="29">
        <f t="shared" si="235"/>
        <v>116.92390496813259</v>
      </c>
      <c r="N115" s="29">
        <f t="shared" si="236"/>
        <v>6.1005943382524057</v>
      </c>
      <c r="P115" s="29">
        <f t="shared" si="382"/>
        <v>791.61500000000001</v>
      </c>
      <c r="Q115" s="29">
        <f t="shared" si="383"/>
        <v>74.188558235942409</v>
      </c>
      <c r="R115" s="29">
        <f t="shared" si="384"/>
        <v>102.30394523213258</v>
      </c>
      <c r="S115" s="29">
        <f t="shared" si="385"/>
        <v>584.61952484066296</v>
      </c>
      <c r="T115" s="29">
        <f t="shared" si="386"/>
        <v>30.502971691262029</v>
      </c>
      <c r="V115" s="29">
        <f t="shared" si="387"/>
        <v>42.80395</v>
      </c>
      <c r="W115" s="28">
        <v>4.0114997028901263</v>
      </c>
      <c r="X115" s="29">
        <v>5.5317458063818163</v>
      </c>
      <c r="Y115" s="29">
        <v>30.40761289181923</v>
      </c>
      <c r="Z115" s="29">
        <v>2.8530915989088252</v>
      </c>
      <c r="AB115" s="29">
        <f t="shared" si="388"/>
        <v>58.839999999999996</v>
      </c>
      <c r="AC115" s="29">
        <v>5.51436590590483</v>
      </c>
      <c r="AD115" s="29">
        <v>7.604156234354682</v>
      </c>
      <c r="AE115" s="29">
        <v>41.799505479158903</v>
      </c>
      <c r="AF115" s="29">
        <v>3.9219723805815887</v>
      </c>
      <c r="AH115" s="29">
        <f t="shared" si="396"/>
        <v>68.764999999999986</v>
      </c>
      <c r="AI115" s="29">
        <v>6.4445168511139634</v>
      </c>
      <c r="AJ115" s="29">
        <v>8.8868083524031221</v>
      </c>
      <c r="AK115" s="29">
        <v>48.850152859863385</v>
      </c>
      <c r="AL115" s="29">
        <v>4.5835219366195261</v>
      </c>
      <c r="AN115" s="29">
        <f t="shared" si="389"/>
        <v>97.246999999999986</v>
      </c>
      <c r="AO115" s="29">
        <v>9.1137923394209217</v>
      </c>
      <c r="AP115" s="29">
        <v>12.567664536408731</v>
      </c>
      <c r="AQ115" s="29">
        <v>69.083557262606476</v>
      </c>
      <c r="AR115" s="29">
        <v>6.4819858615638637</v>
      </c>
      <c r="AS115" s="452"/>
      <c r="AT115" s="29">
        <f t="shared" si="390"/>
        <v>131.66218000000001</v>
      </c>
      <c r="AU115" s="29">
        <v>12.339113468543589</v>
      </c>
      <c r="AV115" s="29">
        <v>17.015292095100754</v>
      </c>
      <c r="AW115" s="29">
        <v>93.531849325424972</v>
      </c>
      <c r="AX115" s="29">
        <v>8.7759251109306877</v>
      </c>
      <c r="AY115" s="29">
        <v>0</v>
      </c>
      <c r="BA115" s="29">
        <f t="shared" si="391"/>
        <v>399.31813</v>
      </c>
      <c r="BB115" s="29">
        <f t="shared" si="392"/>
        <v>37.423288267873431</v>
      </c>
      <c r="BC115" s="29">
        <f t="shared" si="393"/>
        <v>51.605667024649101</v>
      </c>
      <c r="BD115" s="29">
        <f>Y115+AE115+AK115+AQ115+AW115+AY115</f>
        <v>283.67267781887296</v>
      </c>
      <c r="BE115" s="29">
        <f t="shared" si="395"/>
        <v>26.616496888604487</v>
      </c>
      <c r="BG115" s="395">
        <f t="shared" si="354"/>
        <v>0.50443476942705734</v>
      </c>
      <c r="BH115" s="395">
        <f t="shared" si="355"/>
        <v>0.50443476942705745</v>
      </c>
      <c r="BI115" s="395">
        <f t="shared" si="356"/>
        <v>0.50443476942705734</v>
      </c>
      <c r="BJ115" s="395">
        <f t="shared" si="357"/>
        <v>0.48522614412542492</v>
      </c>
      <c r="BK115" s="395">
        <f t="shared" si="358"/>
        <v>0.87258701080029943</v>
      </c>
      <c r="BM115" s="395">
        <f>BA115/D115</f>
        <v>0.21018115392794057</v>
      </c>
      <c r="BN115" s="395">
        <f t="shared" si="377"/>
        <v>0.21018115392794059</v>
      </c>
      <c r="BO115" s="395">
        <f t="shared" si="378"/>
        <v>0.21018115392794057</v>
      </c>
      <c r="BP115" s="395">
        <f t="shared" si="379"/>
        <v>0.2021775600522604</v>
      </c>
      <c r="BQ115" s="395">
        <f t="shared" si="380"/>
        <v>0.36357792116679144</v>
      </c>
    </row>
    <row r="116" spans="2:80" s="4" customFormat="1" hidden="1" outlineLevel="1">
      <c r="B116" s="13"/>
      <c r="C116" s="445" t="s">
        <v>103</v>
      </c>
      <c r="D116" s="29">
        <v>6026.7857142857138</v>
      </c>
      <c r="E116" s="29">
        <v>441</v>
      </c>
      <c r="F116" s="29">
        <v>714.8819147275218</v>
      </c>
      <c r="G116" s="29">
        <f t="shared" si="381"/>
        <v>4638.6761711881391</v>
      </c>
      <c r="H116" s="29">
        <v>232.22762837005303</v>
      </c>
      <c r="J116" s="29">
        <f t="shared" si="254"/>
        <v>502.23214285714283</v>
      </c>
      <c r="K116" s="29">
        <f t="shared" si="233"/>
        <v>36.75</v>
      </c>
      <c r="L116" s="29">
        <f t="shared" si="234"/>
        <v>59.57349289396015</v>
      </c>
      <c r="M116" s="29">
        <f t="shared" si="235"/>
        <v>386.55634759901159</v>
      </c>
      <c r="N116" s="29">
        <f t="shared" si="236"/>
        <v>19.352302364171084</v>
      </c>
      <c r="P116" s="29">
        <f t="shared" si="382"/>
        <v>2511.1607142857142</v>
      </c>
      <c r="Q116" s="29">
        <f t="shared" si="383"/>
        <v>183.75</v>
      </c>
      <c r="R116" s="29">
        <f t="shared" si="384"/>
        <v>297.86746446980078</v>
      </c>
      <c r="S116" s="29">
        <f t="shared" si="385"/>
        <v>1932.7817379950579</v>
      </c>
      <c r="T116" s="29">
        <f t="shared" si="386"/>
        <v>96.761511820855418</v>
      </c>
      <c r="V116" s="29">
        <f t="shared" si="387"/>
        <v>0</v>
      </c>
      <c r="W116" s="28">
        <v>0</v>
      </c>
      <c r="X116" s="29">
        <v>0</v>
      </c>
      <c r="Y116" s="29">
        <v>0</v>
      </c>
      <c r="Z116" s="29">
        <v>0</v>
      </c>
      <c r="AB116" s="29">
        <f t="shared" si="388"/>
        <v>70.713210000000018</v>
      </c>
      <c r="AC116" s="29">
        <v>6.6270991556949097</v>
      </c>
      <c r="AD116" s="29">
        <v>9.1385842398492834</v>
      </c>
      <c r="AE116" s="29">
        <v>50.234146989189568</v>
      </c>
      <c r="AF116" s="29">
        <v>4.7133796152662439</v>
      </c>
      <c r="AH116" s="29">
        <f t="shared" si="396"/>
        <v>0</v>
      </c>
      <c r="AI116" s="29">
        <v>0</v>
      </c>
      <c r="AJ116" s="29">
        <v>0</v>
      </c>
      <c r="AK116" s="29">
        <v>0</v>
      </c>
      <c r="AL116" s="29">
        <v>0</v>
      </c>
      <c r="AN116" s="29">
        <f t="shared" si="389"/>
        <v>0</v>
      </c>
      <c r="AO116" s="29">
        <v>0</v>
      </c>
      <c r="AP116" s="29">
        <v>0</v>
      </c>
      <c r="AQ116" s="29">
        <v>0</v>
      </c>
      <c r="AR116" s="29">
        <v>0</v>
      </c>
      <c r="AS116" s="452"/>
      <c r="AT116" s="29">
        <f t="shared" si="390"/>
        <v>125.35714000000002</v>
      </c>
      <c r="AU116" s="29">
        <v>11.748217859920778</v>
      </c>
      <c r="AV116" s="29">
        <v>16.200463590276559</v>
      </c>
      <c r="AW116" s="29">
        <v>89.052795042176911</v>
      </c>
      <c r="AX116" s="29">
        <v>8.3556635076257564</v>
      </c>
      <c r="AY116" s="29">
        <v>0</v>
      </c>
      <c r="BA116" s="29">
        <f t="shared" si="391"/>
        <v>196.07035000000002</v>
      </c>
      <c r="BB116" s="29">
        <f t="shared" si="392"/>
        <v>18.375317015615689</v>
      </c>
      <c r="BC116" s="29">
        <f t="shared" si="393"/>
        <v>25.339047830125843</v>
      </c>
      <c r="BD116" s="29">
        <f t="shared" si="394"/>
        <v>139.28694203136649</v>
      </c>
      <c r="BE116" s="29">
        <f t="shared" si="395"/>
        <v>13.069043122892001</v>
      </c>
      <c r="BG116" s="395">
        <f t="shared" si="354"/>
        <v>7.8079570488888903E-2</v>
      </c>
      <c r="BH116" s="395">
        <f t="shared" si="355"/>
        <v>0.10000172525505137</v>
      </c>
      <c r="BI116" s="395">
        <f t="shared" si="356"/>
        <v>8.5068195934822663E-2</v>
      </c>
      <c r="BJ116" s="395">
        <f t="shared" si="357"/>
        <v>7.2065530883923659E-2</v>
      </c>
      <c r="BK116" s="395">
        <f t="shared" si="358"/>
        <v>0.13506447839599769</v>
      </c>
      <c r="BM116" s="395">
        <f t="shared" si="376"/>
        <v>3.2533154370370375E-2</v>
      </c>
      <c r="BN116" s="395">
        <f t="shared" si="377"/>
        <v>4.1667385522938069E-2</v>
      </c>
      <c r="BO116" s="395">
        <f t="shared" si="378"/>
        <v>3.5445081639509449E-2</v>
      </c>
      <c r="BP116" s="395">
        <f t="shared" si="379"/>
        <v>3.0027304534968192E-2</v>
      </c>
      <c r="BQ116" s="395">
        <f t="shared" si="380"/>
        <v>5.6276865998332364E-2</v>
      </c>
    </row>
    <row r="117" spans="2:80" s="4" customFormat="1" hidden="1" outlineLevel="1">
      <c r="B117" s="13"/>
      <c r="C117" s="445" t="s">
        <v>106</v>
      </c>
      <c r="D117" s="29">
        <v>281.31712707182322</v>
      </c>
      <c r="E117" s="29">
        <v>26.364472710264423</v>
      </c>
      <c r="F117" s="29">
        <v>36.355869912541685</v>
      </c>
      <c r="G117" s="29">
        <f t="shared" si="381"/>
        <v>207.75690854552997</v>
      </c>
      <c r="H117" s="29">
        <v>10.839875903487158</v>
      </c>
      <c r="J117" s="29">
        <f t="shared" si="254"/>
        <v>23.443093922651936</v>
      </c>
      <c r="K117" s="29">
        <f t="shared" si="233"/>
        <v>2.1970393925220351</v>
      </c>
      <c r="L117" s="29">
        <f t="shared" si="234"/>
        <v>3.0296558260451403</v>
      </c>
      <c r="M117" s="29">
        <f t="shared" si="235"/>
        <v>17.313075712127496</v>
      </c>
      <c r="N117" s="29">
        <f t="shared" si="236"/>
        <v>0.90332299195726318</v>
      </c>
      <c r="P117" s="29">
        <f t="shared" si="382"/>
        <v>117.21546961325969</v>
      </c>
      <c r="Q117" s="29">
        <f t="shared" si="383"/>
        <v>10.985196962610175</v>
      </c>
      <c r="R117" s="29">
        <f t="shared" si="384"/>
        <v>15.148279130225701</v>
      </c>
      <c r="S117" s="29">
        <f t="shared" si="385"/>
        <v>86.565378560637484</v>
      </c>
      <c r="T117" s="29">
        <f t="shared" si="386"/>
        <v>4.5166149597863159</v>
      </c>
      <c r="V117" s="29">
        <f t="shared" si="387"/>
        <v>0</v>
      </c>
      <c r="W117" s="28">
        <v>0</v>
      </c>
      <c r="X117" s="29">
        <v>0</v>
      </c>
      <c r="Y117" s="29">
        <v>0</v>
      </c>
      <c r="Z117" s="29">
        <v>0</v>
      </c>
      <c r="AB117" s="29">
        <f t="shared" si="388"/>
        <v>0</v>
      </c>
      <c r="AC117" s="29">
        <v>0</v>
      </c>
      <c r="AD117" s="29">
        <v>0</v>
      </c>
      <c r="AE117" s="29">
        <v>0</v>
      </c>
      <c r="AF117" s="29">
        <v>0</v>
      </c>
      <c r="AH117" s="29">
        <f t="shared" si="396"/>
        <v>278.8</v>
      </c>
      <c r="AI117" s="29">
        <v>26.128572647285292</v>
      </c>
      <c r="AJ117" s="29">
        <v>36.030570328655429</v>
      </c>
      <c r="AK117" s="29">
        <v>198.05748007460065</v>
      </c>
      <c r="AL117" s="29">
        <v>18.58337694945865</v>
      </c>
      <c r="AN117" s="29">
        <f t="shared" si="389"/>
        <v>0</v>
      </c>
      <c r="AO117" s="29">
        <v>0</v>
      </c>
      <c r="AP117" s="29">
        <v>0</v>
      </c>
      <c r="AQ117" s="29">
        <v>0</v>
      </c>
      <c r="AR117" s="29">
        <v>0</v>
      </c>
      <c r="AS117" s="452"/>
      <c r="AT117" s="29">
        <f t="shared" si="390"/>
        <v>0</v>
      </c>
      <c r="AU117" s="29">
        <v>0</v>
      </c>
      <c r="AV117" s="29">
        <v>0</v>
      </c>
      <c r="AW117" s="29">
        <v>0</v>
      </c>
      <c r="AX117" s="29">
        <v>0</v>
      </c>
      <c r="AY117" s="29">
        <v>0</v>
      </c>
      <c r="BA117" s="29">
        <f t="shared" si="391"/>
        <v>278.8</v>
      </c>
      <c r="BB117" s="29">
        <f>W117+AC117+AI117+AO117+AU117</f>
        <v>26.128572647285292</v>
      </c>
      <c r="BC117" s="29">
        <f t="shared" si="393"/>
        <v>36.030570328655429</v>
      </c>
      <c r="BD117" s="29">
        <f t="shared" si="394"/>
        <v>198.05748007460065</v>
      </c>
      <c r="BE117" s="29">
        <f t="shared" si="395"/>
        <v>18.58337694945865</v>
      </c>
      <c r="BG117" s="395">
        <f t="shared" si="354"/>
        <v>2.3785256410256408</v>
      </c>
      <c r="BH117" s="395">
        <f t="shared" si="355"/>
        <v>2.3785256410256412</v>
      </c>
      <c r="BI117" s="395">
        <f t="shared" si="356"/>
        <v>2.3785256410256412</v>
      </c>
      <c r="BJ117" s="395">
        <f t="shared" si="357"/>
        <v>2.2879525668089693</v>
      </c>
      <c r="BK117" s="395">
        <f t="shared" si="358"/>
        <v>4.1144479028909391</v>
      </c>
      <c r="BM117" s="395">
        <f t="shared" si="376"/>
        <v>0.9910523504273504</v>
      </c>
      <c r="BN117" s="395">
        <f t="shared" si="377"/>
        <v>0.9910523504273504</v>
      </c>
      <c r="BO117" s="395">
        <f t="shared" si="378"/>
        <v>0.9910523504273504</v>
      </c>
      <c r="BP117" s="395">
        <f t="shared" si="379"/>
        <v>0.95331356950373713</v>
      </c>
      <c r="BQ117" s="395">
        <f t="shared" si="380"/>
        <v>1.7143532928712246</v>
      </c>
    </row>
    <row r="118" spans="2:80" s="4" customFormat="1" hidden="1" outlineLevel="1">
      <c r="B118" s="13"/>
      <c r="C118" s="445" t="s">
        <v>163</v>
      </c>
      <c r="D118" s="29">
        <v>15.722651933701659</v>
      </c>
      <c r="E118" s="29">
        <v>1.4734951695039609</v>
      </c>
      <c r="F118" s="29">
        <v>2.0319085948716205</v>
      </c>
      <c r="G118" s="29">
        <f t="shared" si="381"/>
        <v>11.611413758854741</v>
      </c>
      <c r="H118" s="29">
        <v>0.60583441047133757</v>
      </c>
      <c r="J118" s="29">
        <f t="shared" si="254"/>
        <v>1.3102209944751382</v>
      </c>
      <c r="K118" s="29">
        <f t="shared" si="233"/>
        <v>0.12279126412533008</v>
      </c>
      <c r="L118" s="29">
        <f t="shared" si="234"/>
        <v>0.1693257162393017</v>
      </c>
      <c r="M118" s="29">
        <f t="shared" si="235"/>
        <v>0.96761781323789509</v>
      </c>
      <c r="N118" s="29">
        <f t="shared" si="236"/>
        <v>5.0486200872611464E-2</v>
      </c>
      <c r="P118" s="29">
        <f t="shared" si="382"/>
        <v>6.5511049723756907</v>
      </c>
      <c r="Q118" s="29">
        <f t="shared" si="383"/>
        <v>0.6139563206266504</v>
      </c>
      <c r="R118" s="29">
        <f t="shared" si="384"/>
        <v>0.84662858119650852</v>
      </c>
      <c r="S118" s="29">
        <f t="shared" si="385"/>
        <v>4.8380890661894753</v>
      </c>
      <c r="T118" s="29">
        <f t="shared" si="386"/>
        <v>0.25243100436305732</v>
      </c>
      <c r="V118" s="29">
        <f t="shared" si="387"/>
        <v>0</v>
      </c>
      <c r="W118" s="28">
        <v>0</v>
      </c>
      <c r="X118" s="29">
        <v>0</v>
      </c>
      <c r="Y118" s="29">
        <v>0</v>
      </c>
      <c r="Z118" s="29">
        <v>0</v>
      </c>
      <c r="AB118" s="29">
        <f t="shared" si="388"/>
        <v>20</v>
      </c>
      <c r="AC118" s="29">
        <v>1.8743595873231915</v>
      </c>
      <c r="AD118" s="29">
        <v>2.5846894066467305</v>
      </c>
      <c r="AE118" s="29">
        <v>14.207853663888137</v>
      </c>
      <c r="AF118" s="29">
        <v>1.3330973421419403</v>
      </c>
      <c r="AH118" s="29">
        <f t="shared" si="396"/>
        <v>0</v>
      </c>
      <c r="AI118" s="29">
        <v>0</v>
      </c>
      <c r="AJ118" s="29">
        <v>0</v>
      </c>
      <c r="AK118" s="29">
        <v>0</v>
      </c>
      <c r="AL118" s="29">
        <v>0</v>
      </c>
      <c r="AN118" s="29">
        <f t="shared" si="389"/>
        <v>20</v>
      </c>
      <c r="AO118" s="29">
        <v>1.8743595873231915</v>
      </c>
      <c r="AP118" s="29">
        <v>2.5846894066467305</v>
      </c>
      <c r="AQ118" s="29">
        <v>14.207853663888137</v>
      </c>
      <c r="AR118" s="29">
        <v>1.3330973421419403</v>
      </c>
      <c r="AS118" s="452"/>
      <c r="AT118" s="29">
        <f t="shared" si="390"/>
        <v>50.5</v>
      </c>
      <c r="AU118" s="29">
        <v>4.7327579579910592</v>
      </c>
      <c r="AV118" s="29">
        <v>6.5263407517829952</v>
      </c>
      <c r="AW118" s="29">
        <v>35.874830501317547</v>
      </c>
      <c r="AX118" s="29">
        <v>3.3660707889083996</v>
      </c>
      <c r="AY118" s="29">
        <v>0</v>
      </c>
      <c r="BA118" s="29">
        <f t="shared" si="391"/>
        <v>90.5</v>
      </c>
      <c r="BB118" s="29">
        <f t="shared" si="392"/>
        <v>8.4814771326374423</v>
      </c>
      <c r="BC118" s="29">
        <f t="shared" si="393"/>
        <v>11.695719565076455</v>
      </c>
      <c r="BD118" s="29">
        <f t="shared" si="394"/>
        <v>64.290537829093822</v>
      </c>
      <c r="BE118" s="29">
        <f t="shared" si="395"/>
        <v>6.0322654731922807</v>
      </c>
      <c r="BG118" s="395">
        <f t="shared" si="354"/>
        <v>13.814463419776512</v>
      </c>
      <c r="BH118" s="395">
        <f t="shared" si="355"/>
        <v>13.814463419776514</v>
      </c>
      <c r="BI118" s="395">
        <f t="shared" si="356"/>
        <v>13.814463419776512</v>
      </c>
      <c r="BJ118" s="395">
        <f t="shared" si="357"/>
        <v>13.288415518925049</v>
      </c>
      <c r="BK118" s="395">
        <f t="shared" si="358"/>
        <v>23.896690061559998</v>
      </c>
      <c r="BM118" s="395">
        <f t="shared" si="376"/>
        <v>5.7560264249068798</v>
      </c>
      <c r="BN118" s="395">
        <f t="shared" si="377"/>
        <v>5.7560264249068807</v>
      </c>
      <c r="BO118" s="395">
        <f t="shared" si="378"/>
        <v>5.7560264249068798</v>
      </c>
      <c r="BP118" s="395">
        <f t="shared" si="379"/>
        <v>5.5368397995521033</v>
      </c>
      <c r="BQ118" s="395">
        <f t="shared" si="380"/>
        <v>9.9569541923166671</v>
      </c>
    </row>
    <row r="119" spans="2:80" s="4" customFormat="1" hidden="1" outlineLevel="1">
      <c r="B119" s="13"/>
      <c r="C119" s="445" t="s">
        <v>110</v>
      </c>
      <c r="D119" s="29">
        <v>1606.6637374617142</v>
      </c>
      <c r="E119" s="29">
        <v>258.33896911971215</v>
      </c>
      <c r="F119" s="29">
        <v>249.59205266308524</v>
      </c>
      <c r="G119" s="29">
        <f t="shared" si="381"/>
        <v>1080.3620610092323</v>
      </c>
      <c r="H119" s="29">
        <v>18.37065466968453</v>
      </c>
      <c r="J119" s="29">
        <f t="shared" si="254"/>
        <v>133.88864478847617</v>
      </c>
      <c r="K119" s="29">
        <f t="shared" si="233"/>
        <v>21.528247426642679</v>
      </c>
      <c r="L119" s="29">
        <f t="shared" si="234"/>
        <v>20.79933772192377</v>
      </c>
      <c r="M119" s="29">
        <f t="shared" si="235"/>
        <v>90.030171750769355</v>
      </c>
      <c r="N119" s="29">
        <f t="shared" si="236"/>
        <v>1.5308878891403774</v>
      </c>
      <c r="P119" s="29">
        <f t="shared" si="382"/>
        <v>669.44322394238088</v>
      </c>
      <c r="Q119" s="29">
        <f t="shared" si="383"/>
        <v>107.64123713321339</v>
      </c>
      <c r="R119" s="29">
        <f t="shared" si="384"/>
        <v>103.99668860961884</v>
      </c>
      <c r="S119" s="29">
        <f t="shared" si="385"/>
        <v>450.15085875384676</v>
      </c>
      <c r="T119" s="29">
        <f t="shared" si="386"/>
        <v>7.6544394457018869</v>
      </c>
      <c r="V119" s="29">
        <f t="shared" si="387"/>
        <v>92.661959999999993</v>
      </c>
      <c r="W119" s="28">
        <v>31.297986771018689</v>
      </c>
      <c r="X119" s="29">
        <v>24.954596023433542</v>
      </c>
      <c r="Y119" s="29">
        <v>34.411427774087393</v>
      </c>
      <c r="Z119" s="29">
        <v>1.9979494314603703</v>
      </c>
      <c r="AB119" s="29">
        <f t="shared" si="388"/>
        <v>43.428790000000006</v>
      </c>
      <c r="AC119" s="29">
        <v>14.668734558402917</v>
      </c>
      <c r="AD119" s="29">
        <v>11.695715374858576</v>
      </c>
      <c r="AE119" s="29">
        <v>16.12794150265124</v>
      </c>
      <c r="AF119" s="29">
        <v>0.93639856408726752</v>
      </c>
      <c r="AH119" s="29">
        <f t="shared" si="396"/>
        <v>47.105000000000004</v>
      </c>
      <c r="AI119" s="29">
        <v>15.910430416633053</v>
      </c>
      <c r="AJ119" s="29">
        <v>12.685747697154659</v>
      </c>
      <c r="AK119" s="29">
        <v>17.493157983042735</v>
      </c>
      <c r="AL119" s="29">
        <v>1.0156639031695502</v>
      </c>
      <c r="AN119" s="29">
        <f t="shared" si="389"/>
        <v>55.807000000000009</v>
      </c>
      <c r="AO119" s="29">
        <v>18.849663310923276</v>
      </c>
      <c r="AP119" s="29">
        <v>15.029264870716698</v>
      </c>
      <c r="AQ119" s="29">
        <v>20.724777997233119</v>
      </c>
      <c r="AR119" s="29">
        <v>1.2032938211269102</v>
      </c>
      <c r="AS119" s="452"/>
      <c r="AT119" s="29">
        <f t="shared" si="390"/>
        <v>76.878569999999982</v>
      </c>
      <c r="AU119" s="29">
        <v>25.966906666282842</v>
      </c>
      <c r="AV119" s="29">
        <v>20.704004720051866</v>
      </c>
      <c r="AW119" s="29">
        <v>28.550025910633899</v>
      </c>
      <c r="AX119" s="29">
        <v>1.6576327030313873</v>
      </c>
      <c r="AY119" s="29">
        <v>0</v>
      </c>
      <c r="BA119" s="29">
        <f t="shared" si="391"/>
        <v>315.88132000000002</v>
      </c>
      <c r="BB119" s="29">
        <f t="shared" si="392"/>
        <v>106.69372172326077</v>
      </c>
      <c r="BC119" s="29">
        <f t="shared" si="393"/>
        <v>85.069328686215343</v>
      </c>
      <c r="BD119" s="29">
        <f t="shared" si="394"/>
        <v>117.30733116764839</v>
      </c>
      <c r="BE119" s="29">
        <f t="shared" si="395"/>
        <v>6.8109384228754859</v>
      </c>
      <c r="BG119" s="395">
        <f t="shared" si="354"/>
        <v>0.47185677396174225</v>
      </c>
      <c r="BH119" s="395">
        <f t="shared" si="355"/>
        <v>0.99119746822697685</v>
      </c>
      <c r="BI119" s="395">
        <f t="shared" si="356"/>
        <v>0.81800035966094331</v>
      </c>
      <c r="BJ119" s="395">
        <f t="shared" si="357"/>
        <v>0.26059559564629164</v>
      </c>
      <c r="BK119" s="395">
        <f t="shared" si="358"/>
        <v>0.88980237823946173</v>
      </c>
      <c r="BM119" s="395">
        <f t="shared" si="376"/>
        <v>0.19660698915072594</v>
      </c>
      <c r="BN119" s="395">
        <f t="shared" si="377"/>
        <v>0.41299894509457369</v>
      </c>
      <c r="BO119" s="395">
        <f t="shared" si="378"/>
        <v>0.34083348319205969</v>
      </c>
      <c r="BP119" s="395">
        <f t="shared" si="379"/>
        <v>0.10858149818595483</v>
      </c>
      <c r="BQ119" s="395">
        <f t="shared" si="380"/>
        <v>0.37075099093310904</v>
      </c>
    </row>
    <row r="120" spans="2:80" s="4" customFormat="1" hidden="1" outlineLevel="1">
      <c r="B120" s="13"/>
      <c r="C120" s="445" t="s">
        <v>164</v>
      </c>
      <c r="D120" s="29">
        <v>210</v>
      </c>
      <c r="E120" s="29">
        <v>19.680775666893513</v>
      </c>
      <c r="F120" s="29">
        <v>27.139238769790673</v>
      </c>
      <c r="G120" s="29">
        <f t="shared" si="381"/>
        <v>155.08814286811042</v>
      </c>
      <c r="H120" s="29">
        <v>8.0918426952054041</v>
      </c>
      <c r="J120" s="29">
        <f t="shared" si="254"/>
        <v>17.5</v>
      </c>
      <c r="K120" s="29">
        <f t="shared" si="233"/>
        <v>1.6400646389077929</v>
      </c>
      <c r="L120" s="29">
        <f t="shared" si="234"/>
        <v>2.2616032308158895</v>
      </c>
      <c r="M120" s="29">
        <f t="shared" si="235"/>
        <v>12.924011905675869</v>
      </c>
      <c r="N120" s="29">
        <f t="shared" si="236"/>
        <v>0.67432022460045038</v>
      </c>
      <c r="P120" s="29">
        <f t="shared" si="382"/>
        <v>87.5</v>
      </c>
      <c r="Q120" s="29">
        <f t="shared" si="383"/>
        <v>8.2003231945389636</v>
      </c>
      <c r="R120" s="29">
        <f t="shared" si="384"/>
        <v>11.308016154079448</v>
      </c>
      <c r="S120" s="29">
        <f t="shared" si="385"/>
        <v>64.620059528379343</v>
      </c>
      <c r="T120" s="29">
        <f t="shared" si="386"/>
        <v>3.371601123002252</v>
      </c>
      <c r="V120" s="29">
        <f t="shared" si="387"/>
        <v>0</v>
      </c>
      <c r="W120" s="28">
        <v>0</v>
      </c>
      <c r="X120" s="29">
        <v>0</v>
      </c>
      <c r="Y120" s="29">
        <v>0</v>
      </c>
      <c r="Z120" s="29">
        <v>0</v>
      </c>
      <c r="AB120" s="29">
        <f t="shared" si="388"/>
        <v>0</v>
      </c>
      <c r="AC120" s="29">
        <v>0</v>
      </c>
      <c r="AD120" s="29">
        <v>0</v>
      </c>
      <c r="AE120" s="29">
        <v>0</v>
      </c>
      <c r="AF120" s="29">
        <v>0</v>
      </c>
      <c r="AH120" s="29">
        <f t="shared" si="396"/>
        <v>0</v>
      </c>
      <c r="AI120" s="29">
        <v>0</v>
      </c>
      <c r="AJ120" s="29">
        <v>0</v>
      </c>
      <c r="AK120" s="29">
        <v>0</v>
      </c>
      <c r="AL120" s="29">
        <v>0</v>
      </c>
      <c r="AN120" s="29">
        <f t="shared" si="389"/>
        <v>127.652</v>
      </c>
      <c r="AO120" s="29">
        <v>11.963287502049003</v>
      </c>
      <c r="AP120" s="29">
        <v>16.497038606863423</v>
      </c>
      <c r="AQ120" s="29">
        <v>90.683046795132427</v>
      </c>
      <c r="AR120" s="29">
        <v>8.5086270959551484</v>
      </c>
      <c r="AS120" s="452"/>
      <c r="AT120" s="29">
        <f t="shared" si="390"/>
        <v>0</v>
      </c>
      <c r="AU120" s="29">
        <v>0</v>
      </c>
      <c r="AV120" s="29">
        <v>0</v>
      </c>
      <c r="AW120" s="29">
        <v>0</v>
      </c>
      <c r="AX120" s="29">
        <v>0</v>
      </c>
      <c r="AY120" s="29">
        <v>0</v>
      </c>
      <c r="BA120" s="29">
        <f t="shared" si="391"/>
        <v>127.652</v>
      </c>
      <c r="BB120" s="29">
        <f t="shared" si="392"/>
        <v>11.963287502049003</v>
      </c>
      <c r="BC120" s="29">
        <f t="shared" si="393"/>
        <v>16.497038606863423</v>
      </c>
      <c r="BD120" s="29">
        <f t="shared" si="394"/>
        <v>90.683046795132427</v>
      </c>
      <c r="BE120" s="29">
        <f t="shared" si="395"/>
        <v>8.5086270959551484</v>
      </c>
      <c r="BG120" s="395">
        <f t="shared" si="354"/>
        <v>1.45888</v>
      </c>
      <c r="BH120" s="395">
        <f t="shared" si="355"/>
        <v>1.45888</v>
      </c>
      <c r="BI120" s="395">
        <f t="shared" si="356"/>
        <v>1.4588799999999997</v>
      </c>
      <c r="BJ120" s="395">
        <f t="shared" si="357"/>
        <v>1.4033265747040504</v>
      </c>
      <c r="BK120" s="395">
        <f t="shared" si="358"/>
        <v>2.5236161650043041</v>
      </c>
      <c r="BM120" s="395">
        <f t="shared" si="376"/>
        <v>0.60786666666666667</v>
      </c>
      <c r="BN120" s="395">
        <f t="shared" si="377"/>
        <v>0.60786666666666656</v>
      </c>
      <c r="BO120" s="395">
        <f t="shared" si="378"/>
        <v>0.60786666666666667</v>
      </c>
      <c r="BP120" s="395">
        <f t="shared" si="379"/>
        <v>0.58471940612668771</v>
      </c>
      <c r="BQ120" s="395">
        <f t="shared" si="380"/>
        <v>1.0515067354184602</v>
      </c>
    </row>
    <row r="121" spans="2:80" s="4" customFormat="1" hidden="1" outlineLevel="1">
      <c r="B121" s="463"/>
      <c r="C121" s="445" t="s">
        <v>130</v>
      </c>
      <c r="D121" s="29">
        <v>93.500000000000014</v>
      </c>
      <c r="E121" s="58">
        <v>8.7626310707359192</v>
      </c>
      <c r="F121" s="58">
        <v>12.4</v>
      </c>
      <c r="G121" s="29">
        <f t="shared" si="381"/>
        <v>68.734572300684533</v>
      </c>
      <c r="H121" s="58">
        <v>3.6027966285795494</v>
      </c>
      <c r="J121" s="29">
        <f t="shared" si="254"/>
        <v>7.7916666666666679</v>
      </c>
      <c r="K121" s="58">
        <f t="shared" si="233"/>
        <v>0.73021925589465997</v>
      </c>
      <c r="L121" s="58">
        <f t="shared" si="234"/>
        <v>1.0333333333333334</v>
      </c>
      <c r="M121" s="29">
        <f t="shared" si="235"/>
        <v>5.7278810250570444</v>
      </c>
      <c r="N121" s="58">
        <f t="shared" si="236"/>
        <v>0.30023305238162912</v>
      </c>
      <c r="P121" s="29">
        <f t="shared" si="382"/>
        <v>38.958333333333343</v>
      </c>
      <c r="Q121" s="29">
        <f t="shared" si="383"/>
        <v>3.6510962794733</v>
      </c>
      <c r="R121" s="29">
        <f t="shared" si="384"/>
        <v>5.166666666666667</v>
      </c>
      <c r="S121" s="29">
        <f t="shared" si="385"/>
        <v>28.639405125285222</v>
      </c>
      <c r="T121" s="29">
        <f t="shared" si="386"/>
        <v>1.5011652619081457</v>
      </c>
      <c r="V121" s="29">
        <f t="shared" si="387"/>
        <v>0</v>
      </c>
      <c r="W121" s="28">
        <v>0</v>
      </c>
      <c r="X121" s="58">
        <v>0</v>
      </c>
      <c r="Y121" s="29">
        <v>0</v>
      </c>
      <c r="Z121" s="58">
        <v>0</v>
      </c>
      <c r="AB121" s="29">
        <f t="shared" si="388"/>
        <v>0</v>
      </c>
      <c r="AC121" s="58">
        <v>0</v>
      </c>
      <c r="AD121" s="58">
        <v>0</v>
      </c>
      <c r="AE121" s="29">
        <v>0</v>
      </c>
      <c r="AF121" s="58">
        <v>0</v>
      </c>
      <c r="AH121" s="29">
        <f t="shared" si="396"/>
        <v>0</v>
      </c>
      <c r="AI121" s="58">
        <v>0</v>
      </c>
      <c r="AJ121" s="58">
        <v>0</v>
      </c>
      <c r="AK121" s="29">
        <v>0</v>
      </c>
      <c r="AL121" s="58">
        <v>0</v>
      </c>
      <c r="AN121" s="29">
        <f t="shared" si="389"/>
        <v>0</v>
      </c>
      <c r="AO121" s="58">
        <v>0</v>
      </c>
      <c r="AP121" s="58">
        <v>0</v>
      </c>
      <c r="AQ121" s="29">
        <v>0</v>
      </c>
      <c r="AR121" s="58">
        <v>0</v>
      </c>
      <c r="AS121" s="452"/>
      <c r="AT121" s="29">
        <f t="shared" si="390"/>
        <v>0</v>
      </c>
      <c r="AU121" s="58">
        <v>0</v>
      </c>
      <c r="AV121" s="58">
        <v>0</v>
      </c>
      <c r="AW121" s="29">
        <v>0</v>
      </c>
      <c r="AX121" s="58">
        <v>0</v>
      </c>
      <c r="AY121" s="58">
        <v>0</v>
      </c>
      <c r="BA121" s="29">
        <f t="shared" si="391"/>
        <v>0</v>
      </c>
      <c r="BB121" s="29">
        <f t="shared" si="392"/>
        <v>0</v>
      </c>
      <c r="BC121" s="29">
        <f t="shared" si="393"/>
        <v>0</v>
      </c>
      <c r="BD121" s="29">
        <f t="shared" si="394"/>
        <v>0</v>
      </c>
      <c r="BE121" s="29">
        <f t="shared" si="395"/>
        <v>0</v>
      </c>
      <c r="BG121" s="395">
        <f t="shared" si="354"/>
        <v>0</v>
      </c>
      <c r="BH121" s="395">
        <f t="shared" si="355"/>
        <v>0</v>
      </c>
      <c r="BI121" s="395">
        <f t="shared" si="356"/>
        <v>0</v>
      </c>
      <c r="BJ121" s="395">
        <f t="shared" si="357"/>
        <v>0</v>
      </c>
      <c r="BK121" s="395">
        <f t="shared" si="358"/>
        <v>0</v>
      </c>
      <c r="BM121" s="395">
        <f t="shared" si="376"/>
        <v>0</v>
      </c>
      <c r="BN121" s="395">
        <f t="shared" si="377"/>
        <v>0</v>
      </c>
      <c r="BO121" s="395">
        <f t="shared" si="378"/>
        <v>0</v>
      </c>
      <c r="BP121" s="395">
        <f t="shared" si="379"/>
        <v>0</v>
      </c>
      <c r="BQ121" s="395">
        <f t="shared" si="380"/>
        <v>0</v>
      </c>
    </row>
    <row r="122" spans="2:80" s="4" customFormat="1" hidden="1" outlineLevel="1">
      <c r="B122" s="463"/>
      <c r="C122" s="445" t="s">
        <v>94</v>
      </c>
      <c r="D122" s="29">
        <v>207.94168329858695</v>
      </c>
      <c r="E122" s="58">
        <v>33.435397120024142</v>
      </c>
      <c r="F122" s="58">
        <v>32.30333165464144</v>
      </c>
      <c r="G122" s="29">
        <f t="shared" si="381"/>
        <v>139.82534135805363</v>
      </c>
      <c r="H122" s="58">
        <v>2.3776131658677437</v>
      </c>
      <c r="J122" s="29">
        <f t="shared" si="254"/>
        <v>17.328473608215578</v>
      </c>
      <c r="K122" s="58">
        <f t="shared" si="233"/>
        <v>2.7862830933353453</v>
      </c>
      <c r="L122" s="58">
        <f t="shared" si="234"/>
        <v>2.6919443045534535</v>
      </c>
      <c r="M122" s="29">
        <f t="shared" si="235"/>
        <v>11.652111779837803</v>
      </c>
      <c r="N122" s="58">
        <f t="shared" si="236"/>
        <v>0.19813443048897864</v>
      </c>
      <c r="P122" s="29">
        <f t="shared" si="382"/>
        <v>86.642368041077887</v>
      </c>
      <c r="Q122" s="29">
        <f t="shared" si="383"/>
        <v>13.931415466676727</v>
      </c>
      <c r="R122" s="29">
        <f t="shared" si="384"/>
        <v>13.459721522767268</v>
      </c>
      <c r="S122" s="29">
        <f t="shared" si="385"/>
        <v>58.260558899189014</v>
      </c>
      <c r="T122" s="29">
        <f t="shared" si="386"/>
        <v>0.99067215244489315</v>
      </c>
      <c r="V122" s="29">
        <f t="shared" si="387"/>
        <v>0</v>
      </c>
      <c r="W122" s="28">
        <v>0</v>
      </c>
      <c r="X122" s="58">
        <v>0</v>
      </c>
      <c r="Y122" s="29">
        <v>0</v>
      </c>
      <c r="Z122" s="58">
        <v>0</v>
      </c>
      <c r="AB122" s="29">
        <f t="shared" si="388"/>
        <v>0</v>
      </c>
      <c r="AC122" s="58">
        <v>0</v>
      </c>
      <c r="AD122" s="58">
        <v>0</v>
      </c>
      <c r="AE122" s="29">
        <v>0</v>
      </c>
      <c r="AF122" s="58">
        <v>0</v>
      </c>
      <c r="AH122" s="29">
        <f t="shared" si="396"/>
        <v>0</v>
      </c>
      <c r="AI122" s="58">
        <v>0</v>
      </c>
      <c r="AJ122" s="58">
        <v>0</v>
      </c>
      <c r="AK122" s="29">
        <v>0</v>
      </c>
      <c r="AL122" s="58">
        <v>0</v>
      </c>
      <c r="AN122" s="29">
        <f t="shared" si="389"/>
        <v>0</v>
      </c>
      <c r="AO122" s="58">
        <v>0</v>
      </c>
      <c r="AP122" s="58">
        <v>0</v>
      </c>
      <c r="AQ122" s="29">
        <v>0</v>
      </c>
      <c r="AR122" s="58">
        <v>0</v>
      </c>
      <c r="AS122" s="452"/>
      <c r="AT122" s="29">
        <f t="shared" si="390"/>
        <v>43.957999999999998</v>
      </c>
      <c r="AU122" s="58">
        <v>14.84748328742927</v>
      </c>
      <c r="AV122" s="58">
        <v>11.838235798142968</v>
      </c>
      <c r="AW122" s="29">
        <v>16.32447168280634</v>
      </c>
      <c r="AX122" s="58">
        <v>0.94780923162142217</v>
      </c>
      <c r="AY122" s="58">
        <v>0</v>
      </c>
      <c r="BA122" s="29">
        <f t="shared" si="391"/>
        <v>43.957999999999998</v>
      </c>
      <c r="BB122" s="29">
        <f t="shared" si="392"/>
        <v>14.84748328742927</v>
      </c>
      <c r="BC122" s="29">
        <f t="shared" si="393"/>
        <v>11.838235798142968</v>
      </c>
      <c r="BD122" s="29">
        <f t="shared" si="394"/>
        <v>16.32447168280634</v>
      </c>
      <c r="BE122" s="29">
        <f t="shared" si="395"/>
        <v>0.94780923162142217</v>
      </c>
      <c r="BG122" s="395">
        <f>BA122/P122</f>
        <v>0.50734993737889456</v>
      </c>
      <c r="BH122" s="395">
        <f t="shared" si="355"/>
        <v>1.065755545295719</v>
      </c>
      <c r="BI122" s="395">
        <f t="shared" si="356"/>
        <v>0.87953051466320908</v>
      </c>
      <c r="BJ122" s="395">
        <f t="shared" si="357"/>
        <v>0.28019764985525358</v>
      </c>
      <c r="BK122" s="395">
        <f t="shared" si="358"/>
        <v>0.95673349582130773</v>
      </c>
      <c r="BM122" s="395">
        <f t="shared" si="376"/>
        <v>0.21139580724120602</v>
      </c>
      <c r="BN122" s="395">
        <f t="shared" si="377"/>
        <v>0.444064810539883</v>
      </c>
      <c r="BO122" s="395">
        <f t="shared" si="378"/>
        <v>0.36647104777633716</v>
      </c>
      <c r="BP122" s="395">
        <f t="shared" si="379"/>
        <v>0.11674902077302232</v>
      </c>
      <c r="BQ122" s="395">
        <f t="shared" si="380"/>
        <v>0.39863895659221155</v>
      </c>
    </row>
    <row r="123" spans="2:80" s="4" customFormat="1" hidden="1" outlineLevel="1">
      <c r="B123" s="365"/>
      <c r="C123" s="445" t="s">
        <v>165</v>
      </c>
      <c r="D123" s="29">
        <v>0</v>
      </c>
      <c r="E123" s="58">
        <v>0</v>
      </c>
      <c r="F123" s="58">
        <v>0</v>
      </c>
      <c r="G123" s="58">
        <v>0</v>
      </c>
      <c r="H123" s="58">
        <v>0</v>
      </c>
      <c r="J123" s="29">
        <f t="shared" si="254"/>
        <v>0</v>
      </c>
      <c r="K123" s="58">
        <f t="shared" si="233"/>
        <v>0</v>
      </c>
      <c r="L123" s="58">
        <f t="shared" si="234"/>
        <v>0</v>
      </c>
      <c r="M123" s="58">
        <f t="shared" si="235"/>
        <v>0</v>
      </c>
      <c r="N123" s="58">
        <f t="shared" si="236"/>
        <v>0</v>
      </c>
      <c r="P123" s="29">
        <f t="shared" si="382"/>
        <v>0</v>
      </c>
      <c r="Q123" s="29">
        <f t="shared" si="383"/>
        <v>0</v>
      </c>
      <c r="R123" s="29">
        <f t="shared" si="384"/>
        <v>0</v>
      </c>
      <c r="S123" s="29">
        <f t="shared" si="385"/>
        <v>0</v>
      </c>
      <c r="T123" s="29">
        <f t="shared" si="386"/>
        <v>0</v>
      </c>
      <c r="V123" s="29">
        <f t="shared" si="387"/>
        <v>0</v>
      </c>
      <c r="W123" s="28">
        <v>0</v>
      </c>
      <c r="X123" s="58">
        <v>0</v>
      </c>
      <c r="Y123" s="58">
        <v>0</v>
      </c>
      <c r="Z123" s="58">
        <v>0</v>
      </c>
      <c r="AB123" s="29">
        <f t="shared" si="388"/>
        <v>0</v>
      </c>
      <c r="AC123" s="58">
        <v>0</v>
      </c>
      <c r="AD123" s="58">
        <v>0</v>
      </c>
      <c r="AE123" s="58">
        <v>0</v>
      </c>
      <c r="AF123" s="58">
        <v>0</v>
      </c>
      <c r="AH123" s="29">
        <f t="shared" si="396"/>
        <v>0</v>
      </c>
      <c r="AI123" s="58">
        <v>0</v>
      </c>
      <c r="AJ123" s="58">
        <v>0</v>
      </c>
      <c r="AK123" s="58">
        <v>0</v>
      </c>
      <c r="AL123" s="58">
        <v>0</v>
      </c>
      <c r="AN123" s="29">
        <f t="shared" si="389"/>
        <v>0</v>
      </c>
      <c r="AO123" s="58">
        <v>0</v>
      </c>
      <c r="AP123" s="58">
        <v>0</v>
      </c>
      <c r="AQ123" s="58">
        <v>0</v>
      </c>
      <c r="AR123" s="58">
        <v>0</v>
      </c>
      <c r="AS123" s="452"/>
      <c r="AT123" s="29">
        <f t="shared" si="390"/>
        <v>0</v>
      </c>
      <c r="AU123" s="58">
        <v>0</v>
      </c>
      <c r="AV123" s="58">
        <v>0</v>
      </c>
      <c r="AW123" s="58">
        <v>0</v>
      </c>
      <c r="AX123" s="58">
        <v>0</v>
      </c>
      <c r="AY123" s="58">
        <v>0</v>
      </c>
      <c r="BA123" s="29">
        <f t="shared" si="391"/>
        <v>0</v>
      </c>
      <c r="BB123" s="29">
        <f t="shared" si="392"/>
        <v>0</v>
      </c>
      <c r="BC123" s="29">
        <f t="shared" si="393"/>
        <v>0</v>
      </c>
      <c r="BD123" s="29">
        <f t="shared" si="394"/>
        <v>0</v>
      </c>
      <c r="BE123" s="29">
        <f t="shared" si="395"/>
        <v>0</v>
      </c>
      <c r="BG123" s="395" t="e">
        <f t="shared" ref="BG123:BG124" si="397">BA123/P123</f>
        <v>#DIV/0!</v>
      </c>
      <c r="BH123" s="395" t="e">
        <f t="shared" ref="BH123:BH124" si="398">BB123/Q123</f>
        <v>#DIV/0!</v>
      </c>
      <c r="BI123" s="395" t="e">
        <f t="shared" ref="BI123:BI124" si="399">BC123/R123</f>
        <v>#DIV/0!</v>
      </c>
      <c r="BJ123" s="395" t="e">
        <f t="shared" ref="BJ123:BJ124" si="400">BD123/S123</f>
        <v>#DIV/0!</v>
      </c>
      <c r="BK123" s="395" t="e">
        <f t="shared" ref="BK123:BK124" si="401">BE123/T123</f>
        <v>#DIV/0!</v>
      </c>
      <c r="BM123" s="395"/>
      <c r="BN123" s="395"/>
      <c r="BO123" s="395"/>
      <c r="BP123" s="395"/>
      <c r="BQ123" s="395"/>
    </row>
    <row r="124" spans="2:80" s="4" customFormat="1" hidden="1" outlineLevel="1">
      <c r="B124" s="365"/>
      <c r="C124" s="445" t="s">
        <v>298</v>
      </c>
      <c r="D124" s="29">
        <v>0</v>
      </c>
      <c r="E124" s="58">
        <v>0</v>
      </c>
      <c r="F124" s="58">
        <v>0</v>
      </c>
      <c r="G124" s="58">
        <v>0</v>
      </c>
      <c r="H124" s="58">
        <v>0</v>
      </c>
      <c r="J124" s="29">
        <f t="shared" si="254"/>
        <v>0</v>
      </c>
      <c r="K124" s="58">
        <f t="shared" si="233"/>
        <v>0</v>
      </c>
      <c r="L124" s="58">
        <f t="shared" si="234"/>
        <v>0</v>
      </c>
      <c r="M124" s="58">
        <f t="shared" si="235"/>
        <v>0</v>
      </c>
      <c r="N124" s="58">
        <f t="shared" si="236"/>
        <v>0</v>
      </c>
      <c r="P124" s="29">
        <f t="shared" si="382"/>
        <v>0</v>
      </c>
      <c r="Q124" s="29">
        <f t="shared" si="383"/>
        <v>0</v>
      </c>
      <c r="R124" s="29">
        <f t="shared" si="384"/>
        <v>0</v>
      </c>
      <c r="S124" s="29">
        <f t="shared" si="385"/>
        <v>0</v>
      </c>
      <c r="T124" s="29">
        <f t="shared" si="386"/>
        <v>0</v>
      </c>
      <c r="V124" s="29">
        <f t="shared" si="387"/>
        <v>0</v>
      </c>
      <c r="W124" s="28"/>
      <c r="X124" s="58"/>
      <c r="Y124" s="58">
        <v>0</v>
      </c>
      <c r="Z124" s="58"/>
      <c r="AB124" s="29">
        <f t="shared" si="388"/>
        <v>0</v>
      </c>
      <c r="AC124" s="58"/>
      <c r="AD124" s="58"/>
      <c r="AE124" s="58">
        <v>0</v>
      </c>
      <c r="AF124" s="58"/>
      <c r="AH124" s="29">
        <f t="shared" si="396"/>
        <v>0</v>
      </c>
      <c r="AI124" s="58"/>
      <c r="AJ124" s="58"/>
      <c r="AK124" s="58">
        <v>0</v>
      </c>
      <c r="AL124" s="58"/>
      <c r="AN124" s="29">
        <f t="shared" si="389"/>
        <v>0</v>
      </c>
      <c r="AO124" s="58"/>
      <c r="AP124" s="58"/>
      <c r="AQ124" s="58">
        <v>0</v>
      </c>
      <c r="AR124" s="58"/>
      <c r="AS124" s="452"/>
      <c r="AT124" s="29">
        <f t="shared" si="390"/>
        <v>30</v>
      </c>
      <c r="AU124" s="58"/>
      <c r="AV124" s="58"/>
      <c r="AW124" s="58">
        <v>30</v>
      </c>
      <c r="AX124" s="58"/>
      <c r="AY124" s="58">
        <v>0</v>
      </c>
      <c r="BA124" s="29">
        <f t="shared" si="391"/>
        <v>30</v>
      </c>
      <c r="BB124" s="29">
        <f t="shared" si="392"/>
        <v>0</v>
      </c>
      <c r="BC124" s="29">
        <f t="shared" si="393"/>
        <v>0</v>
      </c>
      <c r="BD124" s="29">
        <f t="shared" si="394"/>
        <v>30</v>
      </c>
      <c r="BE124" s="29">
        <f t="shared" si="395"/>
        <v>0</v>
      </c>
      <c r="BG124" s="395" t="e">
        <f t="shared" si="397"/>
        <v>#DIV/0!</v>
      </c>
      <c r="BH124" s="395" t="e">
        <f t="shared" si="398"/>
        <v>#DIV/0!</v>
      </c>
      <c r="BI124" s="395" t="e">
        <f t="shared" si="399"/>
        <v>#DIV/0!</v>
      </c>
      <c r="BJ124" s="395" t="e">
        <f t="shared" si="400"/>
        <v>#DIV/0!</v>
      </c>
      <c r="BK124" s="395" t="e">
        <f t="shared" si="401"/>
        <v>#DIV/0!</v>
      </c>
      <c r="BM124" s="395"/>
      <c r="BN124" s="395"/>
      <c r="BO124" s="395"/>
      <c r="BP124" s="395"/>
      <c r="BQ124" s="395"/>
    </row>
    <row r="125" spans="2:80" s="4" customFormat="1" collapsed="1">
      <c r="B125" s="375">
        <v>7</v>
      </c>
      <c r="C125" s="379" t="s">
        <v>66</v>
      </c>
      <c r="D125" s="376">
        <v>3060384.8732379996</v>
      </c>
      <c r="E125" s="376">
        <v>944195</v>
      </c>
      <c r="F125" s="376">
        <v>790208.4</v>
      </c>
      <c r="G125" s="376">
        <f>D125-E125-F125-H125</f>
        <v>1314496.2804028399</v>
      </c>
      <c r="H125" s="376">
        <v>11485.192835159829</v>
      </c>
      <c r="J125" s="376">
        <f t="shared" si="254"/>
        <v>255032.07276983329</v>
      </c>
      <c r="K125" s="376">
        <f t="shared" si="233"/>
        <v>78682.916666666672</v>
      </c>
      <c r="L125" s="376">
        <f t="shared" si="234"/>
        <v>65850.7</v>
      </c>
      <c r="M125" s="376">
        <f t="shared" si="235"/>
        <v>109541.35670023666</v>
      </c>
      <c r="N125" s="376">
        <f t="shared" si="236"/>
        <v>957.09940292998579</v>
      </c>
      <c r="P125" s="376">
        <f>J125*5</f>
        <v>1275160.3638491665</v>
      </c>
      <c r="Q125" s="376">
        <f>K125*5</f>
        <v>393414.58333333337</v>
      </c>
      <c r="R125" s="376">
        <f>L125*5</f>
        <v>329253.5</v>
      </c>
      <c r="S125" s="376">
        <f>M125*5</f>
        <v>547706.78350118326</v>
      </c>
      <c r="T125" s="376">
        <f>N125*5</f>
        <v>4785.497014649929</v>
      </c>
      <c r="V125" s="376">
        <f>W125+X125+Y125+Z125</f>
        <v>269183.66899999999</v>
      </c>
      <c r="W125" s="376">
        <v>118939.55660592794</v>
      </c>
      <c r="X125" s="376">
        <v>90535.603602384042</v>
      </c>
      <c r="Y125" s="376">
        <v>54154.57972207776</v>
      </c>
      <c r="Z125" s="376">
        <v>5553.9290696102598</v>
      </c>
      <c r="AB125" s="376">
        <f>AC125+AD125+AE125+AF125</f>
        <v>260500.32500000001</v>
      </c>
      <c r="AC125" s="376">
        <v>115102.79678668072</v>
      </c>
      <c r="AD125" s="376">
        <v>87615.100314619063</v>
      </c>
      <c r="AE125" s="376">
        <v>52407.657828007643</v>
      </c>
      <c r="AF125" s="376">
        <v>5374.770070692588</v>
      </c>
      <c r="AH125" s="376">
        <f>AI125+AJ125+AK125+AL125</f>
        <v>269183.66899999999</v>
      </c>
      <c r="AI125" s="376">
        <v>118939.55660592794</v>
      </c>
      <c r="AJ125" s="376">
        <v>90535.603602384042</v>
      </c>
      <c r="AK125" s="376">
        <v>54154.57972207776</v>
      </c>
      <c r="AL125" s="376">
        <v>5553.9290696102598</v>
      </c>
      <c r="AN125" s="376">
        <f>AO125+AP125+AQ125+AR125</f>
        <v>254433.658</v>
      </c>
      <c r="AO125" s="376">
        <v>112422.22301436983</v>
      </c>
      <c r="AP125" s="376">
        <v>85574.67430831604</v>
      </c>
      <c r="AQ125" s="376">
        <v>51187.161046314694</v>
      </c>
      <c r="AR125" s="376">
        <v>5249.599630999438</v>
      </c>
      <c r="AS125" s="461"/>
      <c r="AT125" s="376">
        <f>AU125+AV125+AW125+AX125+AY125</f>
        <v>246524.38500000004</v>
      </c>
      <c r="AU125" s="376">
        <v>108927.48863025964</v>
      </c>
      <c r="AV125" s="376">
        <v>82914.517368739456</v>
      </c>
      <c r="AW125" s="376">
        <v>49595.967357583984</v>
      </c>
      <c r="AX125" s="376">
        <v>5086.41164341694</v>
      </c>
      <c r="AY125" s="376">
        <v>0</v>
      </c>
      <c r="BA125" s="376">
        <f>BB125+BC125+BD125+BE125</f>
        <v>1299825.706</v>
      </c>
      <c r="BB125" s="388">
        <f>W125+AC125+AI125+AO125+AU125</f>
        <v>574331.62164316606</v>
      </c>
      <c r="BC125" s="388">
        <f>X125+AD125+AJ125+AP125+AV125</f>
        <v>437175.49919644266</v>
      </c>
      <c r="BD125" s="388">
        <f>Y125+AE125+AK125+AQ125+AW125+AY125</f>
        <v>261499.94567606185</v>
      </c>
      <c r="BE125" s="388">
        <f>Z125+AF125+AL125+AR125+AX125</f>
        <v>26818.639484329484</v>
      </c>
      <c r="BG125" s="397">
        <f t="shared" ref="BG125:BK133" si="402">BA125/P125</f>
        <v>1.0193429335243602</v>
      </c>
      <c r="BH125" s="397">
        <f t="shared" si="402"/>
        <v>1.4598635789679022</v>
      </c>
      <c r="BI125" s="397">
        <f t="shared" si="402"/>
        <v>1.3277778343933859</v>
      </c>
      <c r="BJ125" s="397">
        <f t="shared" si="402"/>
        <v>0.47744514684378908</v>
      </c>
      <c r="BK125" s="397">
        <f t="shared" si="402"/>
        <v>5.6041492455703334</v>
      </c>
      <c r="BM125" s="397">
        <f>BA125/D125</f>
        <v>0.42472622230181678</v>
      </c>
      <c r="BN125" s="397">
        <f t="shared" ref="BN125" si="403">BB125/E125</f>
        <v>0.60827649123662597</v>
      </c>
      <c r="BO125" s="397">
        <f t="shared" ref="BO125" si="404">BC125/F125</f>
        <v>0.55324076433057745</v>
      </c>
      <c r="BP125" s="397">
        <f t="shared" ref="BP125" si="405">BD125/G125</f>
        <v>0.19893547785157878</v>
      </c>
      <c r="BQ125" s="397">
        <f t="shared" ref="BQ125" si="406">BE125/H125</f>
        <v>2.3350621856543059</v>
      </c>
    </row>
    <row r="126" spans="2:80" s="6" customFormat="1">
      <c r="B126" s="384" t="s">
        <v>67</v>
      </c>
      <c r="C126" s="385" t="s">
        <v>68</v>
      </c>
      <c r="D126" s="386">
        <f>D6+D86</f>
        <v>8026666.6214488018</v>
      </c>
      <c r="E126" s="386">
        <f>E6+E86</f>
        <v>2072062.4208674384</v>
      </c>
      <c r="F126" s="386">
        <f>F6+F86</f>
        <v>1797814.6429276471</v>
      </c>
      <c r="G126" s="386">
        <f>G6+G86</f>
        <v>4040532.9820563802</v>
      </c>
      <c r="H126" s="386">
        <f>H6+H86</f>
        <v>116256.57559733659</v>
      </c>
      <c r="J126" s="386">
        <f t="shared" si="254"/>
        <v>668888.88512073352</v>
      </c>
      <c r="K126" s="386">
        <f t="shared" si="233"/>
        <v>172671.86840561987</v>
      </c>
      <c r="L126" s="386">
        <f t="shared" si="234"/>
        <v>149817.88691063726</v>
      </c>
      <c r="M126" s="386">
        <f t="shared" si="235"/>
        <v>336711.08183803171</v>
      </c>
      <c r="N126" s="386">
        <f t="shared" si="236"/>
        <v>9688.0479664447157</v>
      </c>
      <c r="P126" s="386">
        <f t="shared" ref="P126:P132" si="407">J126*5</f>
        <v>3344444.4256036677</v>
      </c>
      <c r="Q126" s="386">
        <f t="shared" ref="Q126:Q132" si="408">K126*5</f>
        <v>863359.34202809935</v>
      </c>
      <c r="R126" s="386">
        <f t="shared" ref="R126:R132" si="409">L126*5</f>
        <v>749089.43455318629</v>
      </c>
      <c r="S126" s="386">
        <f t="shared" ref="S126:S132" si="410">M126*5</f>
        <v>1683555.4091901586</v>
      </c>
      <c r="T126" s="386">
        <f t="shared" ref="T126:T132" si="411">N126*5</f>
        <v>48440.239832223582</v>
      </c>
      <c r="V126" s="386">
        <f>V6+V86</f>
        <v>661346.37126000004</v>
      </c>
      <c r="W126" s="386">
        <f>W6+W86</f>
        <v>237456.71022694156</v>
      </c>
      <c r="X126" s="386">
        <f>X6+X86</f>
        <v>187820.47429849353</v>
      </c>
      <c r="Y126" s="386">
        <f>Y6+Y86</f>
        <v>217379.91307004262</v>
      </c>
      <c r="Z126" s="386">
        <f>Z6+Z86</f>
        <v>18689.273664522276</v>
      </c>
      <c r="AB126" s="386">
        <f>AB6+AB86</f>
        <v>597373.96240000008</v>
      </c>
      <c r="AC126" s="386">
        <f>AC6+AC86</f>
        <v>228041.2206787623</v>
      </c>
      <c r="AD126" s="386">
        <f>AD6+AD86</f>
        <v>177646.35482293612</v>
      </c>
      <c r="AE126" s="386">
        <f>AE6+AE86</f>
        <v>176694.90195856628</v>
      </c>
      <c r="AF126" s="386">
        <f>AF6+AF86</f>
        <v>14991.484939735292</v>
      </c>
      <c r="AH126" s="386">
        <f>AH6+AH86</f>
        <v>617745.64818000002</v>
      </c>
      <c r="AI126" s="386">
        <f>AI6+AI86</f>
        <v>232574.83667612416</v>
      </c>
      <c r="AJ126" s="386">
        <f>AJ6+AJ86</f>
        <v>181444.75782979329</v>
      </c>
      <c r="AK126" s="386">
        <f>AK6+AK86</f>
        <v>188154.44304581312</v>
      </c>
      <c r="AL126" s="386">
        <f>AL6+AL86</f>
        <v>15571.610628269471</v>
      </c>
      <c r="AN126" s="386">
        <f>AN6+AN86</f>
        <v>625658.47662999993</v>
      </c>
      <c r="AO126" s="386">
        <f>AO6+AO86</f>
        <v>228339.60587186084</v>
      </c>
      <c r="AP126" s="386">
        <f>AP6+AP86</f>
        <v>179124.56123855303</v>
      </c>
      <c r="AQ126" s="386">
        <f>AQ6+AQ86</f>
        <v>201858.44002735318</v>
      </c>
      <c r="AR126" s="386">
        <f>AR6+AR86</f>
        <v>16335.86949223289</v>
      </c>
      <c r="AS126" s="460"/>
      <c r="AT126" s="386">
        <f t="shared" ref="AT126:AY126" si="412">AT6+AT86</f>
        <v>546547.53561571427</v>
      </c>
      <c r="AU126" s="386">
        <f t="shared" si="412"/>
        <v>146082.30917120341</v>
      </c>
      <c r="AV126" s="386">
        <f t="shared" si="412"/>
        <v>123854.02078985106</v>
      </c>
      <c r="AW126" s="386">
        <f t="shared" si="412"/>
        <v>255921.51674504939</v>
      </c>
      <c r="AX126" s="386">
        <f t="shared" si="412"/>
        <v>20689.688909610402</v>
      </c>
      <c r="AY126" s="386">
        <f t="shared" si="412"/>
        <v>0</v>
      </c>
      <c r="BA126" s="386">
        <f>BA6+BA86</f>
        <v>3048671.9940857142</v>
      </c>
      <c r="BB126" s="386">
        <f>BB6+BB86</f>
        <v>1072494.7327678441</v>
      </c>
      <c r="BC126" s="386">
        <f>BC6+BC86</f>
        <v>849890.19474715088</v>
      </c>
      <c r="BD126" s="386">
        <f>BD6+BD86</f>
        <v>1040009.0706835688</v>
      </c>
      <c r="BE126" s="386">
        <f>BE6+BE86</f>
        <v>86277.995887150784</v>
      </c>
      <c r="BF126" s="4"/>
      <c r="BG126" s="398">
        <f t="shared" si="402"/>
        <v>0.91156305984526353</v>
      </c>
      <c r="BH126" s="398">
        <f t="shared" si="402"/>
        <v>1.2422344678039496</v>
      </c>
      <c r="BI126" s="398">
        <f t="shared" si="402"/>
        <v>1.1345643864995771</v>
      </c>
      <c r="BJ126" s="398">
        <f t="shared" si="402"/>
        <v>0.61774567383193213</v>
      </c>
      <c r="BK126" s="398">
        <f t="shared" si="402"/>
        <v>1.7811223929935343</v>
      </c>
      <c r="BM126" s="398">
        <f t="shared" ref="BM126:BM127" si="413">BA126/D126</f>
        <v>0.37981794160219318</v>
      </c>
      <c r="BN126" s="398">
        <f t="shared" ref="BN126:BN127" si="414">BB126/E126</f>
        <v>0.51759769491831231</v>
      </c>
      <c r="BO126" s="398">
        <f t="shared" ref="BO126:BO127" si="415">BC126/F126</f>
        <v>0.47273516104149044</v>
      </c>
      <c r="BP126" s="398">
        <f t="shared" ref="BP126:BP127" si="416">BD126/G126</f>
        <v>0.25739403076330508</v>
      </c>
      <c r="BQ126" s="398">
        <f t="shared" ref="BQ126:BQ127" si="417">BE126/H126</f>
        <v>0.7421343304139727</v>
      </c>
      <c r="BS126" s="15"/>
      <c r="BT126" s="4"/>
      <c r="BU126" s="4"/>
      <c r="BV126" s="4"/>
      <c r="BW126" s="4"/>
      <c r="BX126" s="4"/>
      <c r="BY126" s="4"/>
      <c r="BZ126" s="4"/>
      <c r="CA126" s="4"/>
      <c r="CB126" s="4"/>
    </row>
    <row r="127" spans="2:80" s="4" customFormat="1">
      <c r="B127" s="384" t="s">
        <v>69</v>
      </c>
      <c r="C127" s="385" t="s">
        <v>70</v>
      </c>
      <c r="D127" s="386">
        <f>SUM(E127:H127)</f>
        <v>5225927.8396636564</v>
      </c>
      <c r="E127" s="386">
        <v>2230431</v>
      </c>
      <c r="F127" s="386">
        <v>1653656</v>
      </c>
      <c r="G127" s="386">
        <f t="shared" ref="G127:H127" si="418">G132-G131</f>
        <v>1304312.4012252174</v>
      </c>
      <c r="H127" s="386">
        <f t="shared" si="418"/>
        <v>37528.438438438476</v>
      </c>
      <c r="J127" s="386">
        <f t="shared" si="254"/>
        <v>435493.98663863802</v>
      </c>
      <c r="K127" s="386">
        <f t="shared" si="233"/>
        <v>185869.25</v>
      </c>
      <c r="L127" s="386">
        <f t="shared" si="234"/>
        <v>137804.66666666666</v>
      </c>
      <c r="M127" s="386">
        <f t="shared" si="235"/>
        <v>108692.70010210144</v>
      </c>
      <c r="N127" s="386">
        <f t="shared" si="236"/>
        <v>3127.3698698698731</v>
      </c>
      <c r="P127" s="386">
        <f t="shared" si="407"/>
        <v>2177469.93319319</v>
      </c>
      <c r="Q127" s="386">
        <f t="shared" si="408"/>
        <v>929346.25</v>
      </c>
      <c r="R127" s="386">
        <f t="shared" si="409"/>
        <v>689023.33333333326</v>
      </c>
      <c r="S127" s="386">
        <f t="shared" si="410"/>
        <v>543463.50051050726</v>
      </c>
      <c r="T127" s="386">
        <f t="shared" si="411"/>
        <v>15636.849349349366</v>
      </c>
      <c r="V127" s="386">
        <f>SUM(W127:Z127)</f>
        <v>81480.598270000017</v>
      </c>
      <c r="W127" s="386">
        <f>W132-W131</f>
        <v>48723.855189283298</v>
      </c>
      <c r="X127" s="386">
        <f>X132-X131</f>
        <v>-65422.408158493519</v>
      </c>
      <c r="Y127" s="386">
        <f>Y132-Y131</f>
        <v>116868.42490373252</v>
      </c>
      <c r="Z127" s="386">
        <f>Z132-Z131</f>
        <v>-18689.273664522276</v>
      </c>
      <c r="AB127" s="386">
        <f>SUM(AC127:AF127)</f>
        <v>-193834.94132999994</v>
      </c>
      <c r="AC127" s="386">
        <f>AC132-AC131</f>
        <v>-35921.74766634628</v>
      </c>
      <c r="AD127" s="386">
        <f t="shared" ref="AD127" si="419">AD132-AD131</f>
        <v>-81448.069439724743</v>
      </c>
      <c r="AE127" s="386">
        <f>AE132-AE131</f>
        <v>-61473.639284193639</v>
      </c>
      <c r="AF127" s="386">
        <f t="shared" ref="AF127" si="420">AF132-AF131</f>
        <v>-14991.484939735292</v>
      </c>
      <c r="AH127" s="386">
        <f>SUM(AI127:AL127)</f>
        <v>601511.71954999992</v>
      </c>
      <c r="AI127" s="386">
        <f>AI132-AI131</f>
        <v>289219.83468856872</v>
      </c>
      <c r="AJ127" s="386">
        <f t="shared" ref="AJ127" si="421">AJ132-AJ131</f>
        <v>32223.07369611206</v>
      </c>
      <c r="AK127" s="386">
        <f t="shared" ref="AK127" si="422">AK132-AK131</f>
        <v>295640.42179358867</v>
      </c>
      <c r="AL127" s="386">
        <f t="shared" ref="AL127" si="423">AL132-AL131</f>
        <v>-15571.610628269471</v>
      </c>
      <c r="AN127" s="386">
        <f>SUM(AO127:AR127)</f>
        <v>595505.80929999996</v>
      </c>
      <c r="AO127" s="386">
        <f>AO132-AO131</f>
        <v>271166.61556113785</v>
      </c>
      <c r="AP127" s="386">
        <f t="shared" ref="AP127" si="424">AP132-AP131</f>
        <v>53734.788960243633</v>
      </c>
      <c r="AQ127" s="386">
        <f t="shared" ref="AQ127" si="425">AQ132-AQ131</f>
        <v>286940.27427085146</v>
      </c>
      <c r="AR127" s="386">
        <f t="shared" ref="AR127" si="426">AR132-AR131</f>
        <v>-16335.86949223289</v>
      </c>
      <c r="AS127" s="460"/>
      <c r="AT127" s="386">
        <f>SUM(AU127:AY127)</f>
        <v>137735.85928228567</v>
      </c>
      <c r="AU127" s="386">
        <f>AU132-AU131</f>
        <v>111424.42749384258</v>
      </c>
      <c r="AV127" s="386">
        <f t="shared" ref="AV127:AX127" si="427">AV132-AV131</f>
        <v>91721.164366160927</v>
      </c>
      <c r="AW127" s="386">
        <f t="shared" si="427"/>
        <v>-46513.864668107417</v>
      </c>
      <c r="AX127" s="386">
        <f t="shared" si="427"/>
        <v>-18895.867909610402</v>
      </c>
      <c r="AY127" s="386"/>
      <c r="BA127" s="386">
        <f t="shared" ref="BA127:BA133" si="428">SUM(BB127:BE127)</f>
        <v>1222399.0450722859</v>
      </c>
      <c r="BB127" s="386">
        <f t="shared" ref="BB127:BC133" si="429">W127+AC127+AI127+AO127+AU127</f>
        <v>684612.98526648618</v>
      </c>
      <c r="BC127" s="386">
        <f t="shared" si="429"/>
        <v>30808.54942429837</v>
      </c>
      <c r="BD127" s="386">
        <f t="shared" ref="BD127:BD132" si="430">Y127+AE127+AK127+AQ127+AW127+AY127</f>
        <v>591461.61701587168</v>
      </c>
      <c r="BE127" s="386">
        <f t="shared" ref="BE127:BE132" si="431">Z127+AF127+AL127+AR127+AX127</f>
        <v>-84484.106634370328</v>
      </c>
      <c r="BG127" s="398">
        <f t="shared" si="402"/>
        <v>0.56138503978315646</v>
      </c>
      <c r="BH127" s="398">
        <f t="shared" si="402"/>
        <v>0.73666083579342601</v>
      </c>
      <c r="BI127" s="398">
        <f t="shared" si="402"/>
        <v>4.4713361556645452E-2</v>
      </c>
      <c r="BJ127" s="398">
        <f t="shared" si="402"/>
        <v>1.0883189330291307</v>
      </c>
      <c r="BK127" s="398">
        <f t="shared" si="402"/>
        <v>-5.4028855012205916</v>
      </c>
      <c r="BM127" s="398">
        <f t="shared" si="413"/>
        <v>0.23391043324298183</v>
      </c>
      <c r="BN127" s="398">
        <f t="shared" si="414"/>
        <v>0.30694201491392747</v>
      </c>
      <c r="BO127" s="398">
        <f t="shared" si="415"/>
        <v>1.8630567315268937E-2</v>
      </c>
      <c r="BP127" s="398">
        <f t="shared" si="416"/>
        <v>0.45346622209547116</v>
      </c>
      <c r="BQ127" s="398">
        <f t="shared" si="417"/>
        <v>-2.2512022921752464</v>
      </c>
      <c r="BS127" s="15"/>
    </row>
    <row r="128" spans="2:80" s="4" customFormat="1">
      <c r="B128" s="13"/>
      <c r="C128" s="380" t="s">
        <v>390</v>
      </c>
      <c r="D128" s="371"/>
      <c r="E128" s="371"/>
      <c r="F128" s="371"/>
      <c r="G128" s="371"/>
      <c r="H128" s="371"/>
      <c r="J128" s="371"/>
      <c r="K128" s="371"/>
      <c r="L128" s="371"/>
      <c r="M128" s="371"/>
      <c r="N128" s="371"/>
      <c r="P128" s="371"/>
      <c r="Q128" s="371"/>
      <c r="R128" s="371"/>
      <c r="S128" s="371"/>
      <c r="T128" s="371"/>
      <c r="V128" s="371">
        <f>10899857.37/1000</f>
        <v>10899.85737</v>
      </c>
      <c r="W128" s="371"/>
      <c r="X128" s="371"/>
      <c r="Y128" s="371">
        <f>V128</f>
        <v>10899.85737</v>
      </c>
      <c r="Z128" s="371"/>
      <c r="AB128" s="371">
        <f>-3790910.63/1000</f>
        <v>-3790.9106299999999</v>
      </c>
      <c r="AC128" s="371"/>
      <c r="AD128" s="371"/>
      <c r="AE128" s="371">
        <f>AB128</f>
        <v>-3790.9106299999999</v>
      </c>
      <c r="AF128" s="371"/>
      <c r="AH128" s="371">
        <f>367946/1000</f>
        <v>367.94600000000003</v>
      </c>
      <c r="AI128" s="371"/>
      <c r="AJ128" s="371"/>
      <c r="AK128" s="371">
        <f>AH128</f>
        <v>367.94600000000003</v>
      </c>
      <c r="AL128" s="371"/>
      <c r="AN128" s="371">
        <f>-1621431/1000</f>
        <v>-1621.431</v>
      </c>
      <c r="AO128" s="371"/>
      <c r="AP128" s="371"/>
      <c r="AQ128" s="371">
        <f>AN128</f>
        <v>-1621.431</v>
      </c>
      <c r="AR128" s="371"/>
      <c r="AS128" s="455"/>
      <c r="AT128" s="371">
        <f>-208430158/1000</f>
        <v>-208430.158</v>
      </c>
      <c r="AU128" s="371"/>
      <c r="AV128" s="371"/>
      <c r="AW128" s="371">
        <f>AT128</f>
        <v>-208430.158</v>
      </c>
      <c r="AX128" s="371"/>
      <c r="AY128" s="371"/>
      <c r="BA128" s="371">
        <f t="shared" si="428"/>
        <v>-202574.69626</v>
      </c>
      <c r="BB128" s="371">
        <f t="shared" ref="BB128" si="432">W128+AC128+AI128+AO128+AU128</f>
        <v>0</v>
      </c>
      <c r="BC128" s="371">
        <f t="shared" ref="BC128" si="433">X128+AD128+AJ128+AP128+AV128</f>
        <v>0</v>
      </c>
      <c r="BD128" s="371">
        <f t="shared" si="430"/>
        <v>-202574.69626</v>
      </c>
      <c r="BE128" s="371">
        <f t="shared" si="431"/>
        <v>0</v>
      </c>
      <c r="BG128" s="396"/>
      <c r="BH128" s="396"/>
      <c r="BI128" s="396"/>
      <c r="BJ128" s="396"/>
      <c r="BK128" s="396"/>
      <c r="BM128" s="396"/>
      <c r="BN128" s="396"/>
      <c r="BO128" s="396"/>
      <c r="BP128" s="396"/>
      <c r="BQ128" s="396"/>
    </row>
    <row r="129" spans="2:72" s="4" customFormat="1">
      <c r="B129" s="13"/>
      <c r="C129" s="380" t="s">
        <v>391</v>
      </c>
      <c r="D129" s="371"/>
      <c r="E129" s="371"/>
      <c r="F129" s="371"/>
      <c r="G129" s="371"/>
      <c r="H129" s="371"/>
      <c r="J129" s="371"/>
      <c r="K129" s="371"/>
      <c r="L129" s="371"/>
      <c r="M129" s="371"/>
      <c r="N129" s="371"/>
      <c r="P129" s="371"/>
      <c r="Q129" s="371"/>
      <c r="R129" s="371"/>
      <c r="S129" s="371"/>
      <c r="T129" s="371"/>
      <c r="V129" s="371">
        <f>-827198/1000</f>
        <v>-827.19799999999998</v>
      </c>
      <c r="W129" s="371"/>
      <c r="X129" s="371"/>
      <c r="Y129" s="371">
        <f t="shared" ref="Y129:Y130" si="434">V129</f>
        <v>-827.19799999999998</v>
      </c>
      <c r="Z129" s="371"/>
      <c r="AB129" s="371">
        <f>-891333/1000</f>
        <v>-891.33299999999997</v>
      </c>
      <c r="AC129" s="371"/>
      <c r="AD129" s="371"/>
      <c r="AE129" s="371">
        <f t="shared" ref="AE129:AE130" si="435">AB129</f>
        <v>-891.33299999999997</v>
      </c>
      <c r="AF129" s="371"/>
      <c r="AH129" s="371">
        <f>-2386802/1000</f>
        <v>-2386.8020000000001</v>
      </c>
      <c r="AI129" s="371"/>
      <c r="AJ129" s="371"/>
      <c r="AK129" s="371">
        <f t="shared" ref="AK129:AK130" si="436">AH129</f>
        <v>-2386.8020000000001</v>
      </c>
      <c r="AL129" s="371"/>
      <c r="AN129" s="371">
        <f>-5792102/1000</f>
        <v>-5792.1019999999999</v>
      </c>
      <c r="AO129" s="371"/>
      <c r="AP129" s="371"/>
      <c r="AQ129" s="371">
        <f t="shared" ref="AQ129:AQ130" si="437">AN129</f>
        <v>-5792.1019999999999</v>
      </c>
      <c r="AR129" s="371"/>
      <c r="AS129" s="455"/>
      <c r="AT129" s="371">
        <f>-3486852/1000</f>
        <v>-3486.8519999999999</v>
      </c>
      <c r="AU129" s="371"/>
      <c r="AV129" s="371"/>
      <c r="AW129" s="371">
        <f t="shared" ref="AW129:AW130" si="438">AT129</f>
        <v>-3486.8519999999999</v>
      </c>
      <c r="AX129" s="371"/>
      <c r="AY129" s="371"/>
      <c r="BA129" s="371">
        <f t="shared" si="428"/>
        <v>-13384.287</v>
      </c>
      <c r="BB129" s="371">
        <f t="shared" ref="BB129" si="439">W129+AC129+AI129+AO129+AU129</f>
        <v>0</v>
      </c>
      <c r="BC129" s="371">
        <f t="shared" ref="BC129" si="440">X129+AD129+AJ129+AP129+AV129</f>
        <v>0</v>
      </c>
      <c r="BD129" s="371">
        <f t="shared" si="430"/>
        <v>-13384.287</v>
      </c>
      <c r="BE129" s="371">
        <f t="shared" si="431"/>
        <v>0</v>
      </c>
      <c r="BG129" s="396"/>
      <c r="BH129" s="396"/>
      <c r="BI129" s="396"/>
      <c r="BJ129" s="396"/>
      <c r="BK129" s="396"/>
      <c r="BM129" s="396"/>
      <c r="BN129" s="396"/>
      <c r="BO129" s="396"/>
      <c r="BP129" s="396"/>
      <c r="BQ129" s="396"/>
    </row>
    <row r="130" spans="2:72" s="4" customFormat="1">
      <c r="B130" s="13"/>
      <c r="C130" s="380" t="s">
        <v>382</v>
      </c>
      <c r="D130" s="371"/>
      <c r="E130" s="371"/>
      <c r="F130" s="371"/>
      <c r="G130" s="371"/>
      <c r="H130" s="371"/>
      <c r="J130" s="371"/>
      <c r="K130" s="371"/>
      <c r="L130" s="371"/>
      <c r="M130" s="371"/>
      <c r="N130" s="371"/>
      <c r="P130" s="371"/>
      <c r="Q130" s="371"/>
      <c r="R130" s="371"/>
      <c r="S130" s="371"/>
      <c r="T130" s="371"/>
      <c r="V130" s="371">
        <f>(V167+V169)</f>
        <v>0</v>
      </c>
      <c r="W130" s="371"/>
      <c r="X130" s="371"/>
      <c r="Y130" s="371">
        <f t="shared" si="434"/>
        <v>0</v>
      </c>
      <c r="Z130" s="371"/>
      <c r="AB130" s="371">
        <f>(AB167+AB169)</f>
        <v>76309.190999999992</v>
      </c>
      <c r="AC130" s="371"/>
      <c r="AD130" s="371"/>
      <c r="AE130" s="371">
        <f t="shared" si="435"/>
        <v>76309.190999999992</v>
      </c>
      <c r="AF130" s="371"/>
      <c r="AH130" s="371">
        <f>(AH167+AH169)</f>
        <v>38249.745999999999</v>
      </c>
      <c r="AI130" s="371"/>
      <c r="AJ130" s="371"/>
      <c r="AK130" s="371">
        <f t="shared" si="436"/>
        <v>38249.745999999999</v>
      </c>
      <c r="AL130" s="371"/>
      <c r="AN130" s="371">
        <f>(AN167+AN169)</f>
        <v>18967.977000000003</v>
      </c>
      <c r="AO130" s="371"/>
      <c r="AP130" s="371"/>
      <c r="AQ130" s="371">
        <f t="shared" si="437"/>
        <v>18967.977000000003</v>
      </c>
      <c r="AR130" s="371"/>
      <c r="AS130" s="455"/>
      <c r="AT130" s="371">
        <f>(AT167+AT169)</f>
        <v>4808.4780700000001</v>
      </c>
      <c r="AU130" s="371"/>
      <c r="AV130" s="371"/>
      <c r="AW130" s="371">
        <f t="shared" si="438"/>
        <v>4808.4780700000001</v>
      </c>
      <c r="AX130" s="371"/>
      <c r="AY130" s="371"/>
      <c r="BA130" s="371">
        <f t="shared" si="428"/>
        <v>138335.39207</v>
      </c>
      <c r="BB130" s="371">
        <f t="shared" ref="BB130" si="441">W130+AC130+AI130+AO130+AU130</f>
        <v>0</v>
      </c>
      <c r="BC130" s="371">
        <f t="shared" ref="BC130" si="442">X130+AD130+AJ130+AP130+AV130</f>
        <v>0</v>
      </c>
      <c r="BD130" s="371">
        <f t="shared" si="430"/>
        <v>138335.39207</v>
      </c>
      <c r="BE130" s="371">
        <f t="shared" si="431"/>
        <v>0</v>
      </c>
      <c r="BG130" s="396"/>
      <c r="BH130" s="396"/>
      <c r="BI130" s="396"/>
      <c r="BJ130" s="396"/>
      <c r="BK130" s="396"/>
      <c r="BM130" s="396"/>
      <c r="BN130" s="396"/>
      <c r="BO130" s="396"/>
      <c r="BP130" s="396"/>
      <c r="BQ130" s="396"/>
    </row>
    <row r="131" spans="2:72" s="4" customFormat="1">
      <c r="B131" s="13"/>
      <c r="C131" s="380" t="s">
        <v>71</v>
      </c>
      <c r="D131" s="371">
        <f>SUM(E131:H131)</f>
        <v>1317512.9599159141</v>
      </c>
      <c r="E131" s="371">
        <f>E132-E127</f>
        <v>557607.75</v>
      </c>
      <c r="F131" s="371">
        <v>424445</v>
      </c>
      <c r="G131" s="371">
        <f t="shared" ref="G131:H131" si="443">G132*0.2</f>
        <v>326078.1003063044</v>
      </c>
      <c r="H131" s="371">
        <f t="shared" si="443"/>
        <v>9382.1096096096189</v>
      </c>
      <c r="J131" s="371">
        <f t="shared" si="254"/>
        <v>109792.7466596595</v>
      </c>
      <c r="K131" s="371">
        <f t="shared" si="233"/>
        <v>46467.3125</v>
      </c>
      <c r="L131" s="371">
        <f t="shared" si="234"/>
        <v>35370.416666666664</v>
      </c>
      <c r="M131" s="371">
        <f t="shared" si="235"/>
        <v>27173.175025525368</v>
      </c>
      <c r="N131" s="371">
        <f t="shared" si="236"/>
        <v>781.84246746746828</v>
      </c>
      <c r="P131" s="33">
        <f t="shared" si="407"/>
        <v>548963.73329829751</v>
      </c>
      <c r="Q131" s="33">
        <f t="shared" si="408"/>
        <v>232336.5625</v>
      </c>
      <c r="R131" s="33">
        <f t="shared" si="409"/>
        <v>176852.08333333331</v>
      </c>
      <c r="S131" s="33">
        <f t="shared" si="410"/>
        <v>135865.87512762684</v>
      </c>
      <c r="T131" s="33">
        <f t="shared" si="411"/>
        <v>3909.2123373373415</v>
      </c>
      <c r="V131" s="371">
        <f>100000/1000</f>
        <v>100</v>
      </c>
      <c r="W131" s="35">
        <f>(W133/$V$133)*$V$131</f>
        <v>38.010453775138643</v>
      </c>
      <c r="X131" s="35"/>
      <c r="Y131" s="35">
        <f>(Y133/$V$133)*$V$131+(X133/V133)*V131</f>
        <v>61.989546224861357</v>
      </c>
      <c r="Z131" s="35">
        <f t="shared" ref="Z131" si="444">(Z133/$V$133)*$V$131</f>
        <v>0</v>
      </c>
      <c r="AB131" s="371">
        <f>100000/1000</f>
        <v>100</v>
      </c>
      <c r="AC131" s="35">
        <f>(AC133/$AB$133)*$AB$131</f>
        <v>40.432077583997945</v>
      </c>
      <c r="AD131" s="35">
        <f>(AD133/$AB$133)*$AB$131</f>
        <v>20.245196788616077</v>
      </c>
      <c r="AE131" s="35">
        <f>(AE133/$AB$133)*$AB$131</f>
        <v>39.322725627385971</v>
      </c>
      <c r="AF131" s="35">
        <f t="shared" ref="AF131" si="445">(AF133/$AB$133)*$AB$131</f>
        <v>0</v>
      </c>
      <c r="AH131" s="371">
        <f>100000/1000</f>
        <v>100</v>
      </c>
      <c r="AI131" s="35">
        <f>(AI133/$AH$133)*$AH$131</f>
        <v>41.561095307106235</v>
      </c>
      <c r="AJ131" s="35">
        <f>(AJ133/$AH$133)*$AH$131</f>
        <v>17.018704094630877</v>
      </c>
      <c r="AK131" s="35">
        <f t="shared" ref="AK131:AL131" si="446">(AK133/$AH$133)*$AH$131</f>
        <v>41.420200598262888</v>
      </c>
      <c r="AL131" s="35">
        <f t="shared" si="446"/>
        <v>0</v>
      </c>
      <c r="AN131" s="371">
        <f>100000/1000</f>
        <v>100</v>
      </c>
      <c r="AO131" s="35">
        <f>(AO133/AN133)*AN131</f>
        <v>40.520697001282947</v>
      </c>
      <c r="AP131" s="35">
        <f>(AP133/AN133)*AN131</f>
        <v>18.889901203336109</v>
      </c>
      <c r="AQ131" s="35">
        <f>(AQ133/AN133)*AN131</f>
        <v>40.589401795380944</v>
      </c>
      <c r="AR131" s="35">
        <f>(AR133/AN133)*AN131</f>
        <v>0</v>
      </c>
      <c r="AS131" s="458"/>
      <c r="AT131" s="371">
        <f>611984908/1000</f>
        <v>611984.90800000005</v>
      </c>
      <c r="AU131" s="35">
        <f>BB131-AO131-AI131-AC131-W131</f>
        <v>170992.721992954</v>
      </c>
      <c r="AV131" s="35">
        <f>BC131-AP131-AJ131-AD131-X131</f>
        <v>7645.9835539880078</v>
      </c>
      <c r="AW131" s="35">
        <f>AT131-AU131-AV131</f>
        <v>433346.20245305804</v>
      </c>
      <c r="AX131" s="35"/>
      <c r="AY131" s="35"/>
      <c r="BA131" s="371">
        <f>SUM(BB131:BE131)</f>
        <v>612384.90800000005</v>
      </c>
      <c r="BB131" s="371">
        <f>BB132*0.2</f>
        <v>171153.24631662155</v>
      </c>
      <c r="BC131" s="371">
        <f>BC132*0.2</f>
        <v>7702.1373560745915</v>
      </c>
      <c r="BD131" s="371">
        <f>Y131+AE131+AK131+AQ131+AW131</f>
        <v>433529.52432730392</v>
      </c>
      <c r="BE131" s="371">
        <f t="shared" si="431"/>
        <v>0</v>
      </c>
      <c r="BG131" s="396">
        <f t="shared" si="402"/>
        <v>1.115528897183524</v>
      </c>
      <c r="BH131" s="396">
        <f t="shared" si="402"/>
        <v>0.73666083579342601</v>
      </c>
      <c r="BI131" s="396">
        <f t="shared" si="402"/>
        <v>4.3551295585008712E-2</v>
      </c>
      <c r="BJ131" s="396">
        <f t="shared" si="402"/>
        <v>3.1908639599168227</v>
      </c>
      <c r="BK131" s="396">
        <f t="shared" si="402"/>
        <v>0</v>
      </c>
      <c r="BM131" s="396">
        <f t="shared" ref="BM131:BM132" si="447">BA131/D131</f>
        <v>0.46480370715980168</v>
      </c>
      <c r="BN131" s="396">
        <f t="shared" ref="BN131:BN133" si="448">BB131/E131</f>
        <v>0.30694201491392747</v>
      </c>
      <c r="BO131" s="396">
        <f t="shared" ref="BO131:BO133" si="449">BC131/F131</f>
        <v>1.8146373160420292E-2</v>
      </c>
      <c r="BP131" s="396">
        <f t="shared" ref="BP131:BP133" si="450">BD131/G131</f>
        <v>1.3295266499653429</v>
      </c>
      <c r="BQ131" s="396">
        <f t="shared" ref="BQ131:BQ133" si="451">BE131/H131</f>
        <v>0</v>
      </c>
      <c r="BS131" s="15"/>
      <c r="BT131" s="15"/>
    </row>
    <row r="132" spans="2:72" s="4" customFormat="1">
      <c r="B132" s="13"/>
      <c r="C132" s="380" t="s">
        <v>72</v>
      </c>
      <c r="D132" s="373">
        <f>SUM(E132:H132)</f>
        <v>6543440.7995795701</v>
      </c>
      <c r="E132" s="374">
        <f t="shared" ref="E132" si="452">E127/8*10</f>
        <v>2788038.75</v>
      </c>
      <c r="F132" s="374">
        <f>F127+F131</f>
        <v>2078101</v>
      </c>
      <c r="G132" s="374">
        <f t="shared" ref="G132:H132" si="453">G133-G126</f>
        <v>1630390.5015315218</v>
      </c>
      <c r="H132" s="374">
        <f t="shared" si="453"/>
        <v>46910.548048048091</v>
      </c>
      <c r="J132" s="373">
        <f t="shared" si="254"/>
        <v>545286.73329829751</v>
      </c>
      <c r="K132" s="374">
        <f t="shared" si="233"/>
        <v>232336.5625</v>
      </c>
      <c r="L132" s="374">
        <f t="shared" si="234"/>
        <v>173175.08333333334</v>
      </c>
      <c r="M132" s="374">
        <f t="shared" si="235"/>
        <v>135865.87512762682</v>
      </c>
      <c r="N132" s="374">
        <f t="shared" si="236"/>
        <v>3909.2123373373411</v>
      </c>
      <c r="P132" s="33">
        <f t="shared" si="407"/>
        <v>2726433.6664914875</v>
      </c>
      <c r="Q132" s="33">
        <f t="shared" si="408"/>
        <v>1161682.8125</v>
      </c>
      <c r="R132" s="33">
        <f t="shared" si="409"/>
        <v>865875.41666666674</v>
      </c>
      <c r="S132" s="33">
        <f t="shared" si="410"/>
        <v>679329.37563813408</v>
      </c>
      <c r="T132" s="33">
        <f t="shared" si="411"/>
        <v>19546.061686686706</v>
      </c>
      <c r="V132" s="373">
        <f>SUM(W132:Z132)</f>
        <v>81580.598270000031</v>
      </c>
      <c r="W132" s="373">
        <f t="shared" ref="W132:Z132" si="454">W133-W126-W128-W130-W129</f>
        <v>48761.865643058438</v>
      </c>
      <c r="X132" s="373">
        <f t="shared" si="454"/>
        <v>-65422.408158493519</v>
      </c>
      <c r="Y132" s="373">
        <f t="shared" si="454"/>
        <v>116930.41444995739</v>
      </c>
      <c r="Z132" s="373">
        <f t="shared" si="454"/>
        <v>-18689.273664522276</v>
      </c>
      <c r="AB132" s="373">
        <f>SUM(AC132:AF132)</f>
        <v>-193734.94132999997</v>
      </c>
      <c r="AC132" s="373">
        <f t="shared" ref="AC132:AF132" si="455">AC133-AC126-AC128-AC130-AC129</f>
        <v>-35881.315588762285</v>
      </c>
      <c r="AD132" s="373">
        <f t="shared" si="455"/>
        <v>-81427.824242936127</v>
      </c>
      <c r="AE132" s="373">
        <f t="shared" si="455"/>
        <v>-61434.31655856625</v>
      </c>
      <c r="AF132" s="373">
        <f t="shared" si="455"/>
        <v>-14991.484939735292</v>
      </c>
      <c r="AH132" s="373">
        <f>SUM(AI132:AL132)</f>
        <v>601611.71954999992</v>
      </c>
      <c r="AI132" s="373">
        <f t="shared" ref="AI132:AL132" si="456">AI133-AI126-AI128-AI130-AI129</f>
        <v>289261.39578387584</v>
      </c>
      <c r="AJ132" s="373">
        <f t="shared" si="456"/>
        <v>32240.092400206689</v>
      </c>
      <c r="AK132" s="373">
        <f t="shared" si="456"/>
        <v>295681.84199418692</v>
      </c>
      <c r="AL132" s="373">
        <f t="shared" si="456"/>
        <v>-15571.610628269471</v>
      </c>
      <c r="AN132" s="373">
        <f>SUM(AO132:AR132)</f>
        <v>595605.80929999996</v>
      </c>
      <c r="AO132" s="238">
        <f t="shared" ref="AO132" si="457">AO133-AO126-AO128-AO130-AO129</f>
        <v>271207.13625813916</v>
      </c>
      <c r="AP132" s="238">
        <f t="shared" ref="AP132" si="458">AP133-AP126-AP128-AP130-AP129</f>
        <v>53753.67886144697</v>
      </c>
      <c r="AQ132" s="238">
        <f t="shared" ref="AQ132" si="459">AQ133-AQ126-AQ128-AQ130-AQ129</f>
        <v>286980.86367264681</v>
      </c>
      <c r="AR132" s="238">
        <f t="shared" ref="AR132" si="460">AR133-AR126-AR128-AR130-AR129</f>
        <v>-16335.86949223289</v>
      </c>
      <c r="AS132" s="459"/>
      <c r="AT132" s="373">
        <f>SUM(AU132:AX132)</f>
        <v>749720.76728228573</v>
      </c>
      <c r="AU132" s="238">
        <f>AU133-AU126-AU128-AU130-AU129</f>
        <v>282417.14948679658</v>
      </c>
      <c r="AV132" s="238">
        <f t="shared" ref="AV132" si="461">AV133-AV126-AV128-AV130-AV129</f>
        <v>99367.147920148942</v>
      </c>
      <c r="AW132" s="238">
        <f>AW133-AW126-AW128-AW130-AW129</f>
        <v>386832.33778495062</v>
      </c>
      <c r="AX132" s="238">
        <f t="shared" ref="AX132" si="462">AX133-AX126-AX128-AX130-AX129</f>
        <v>-18895.867909610402</v>
      </c>
      <c r="AY132" s="238"/>
      <c r="BA132" s="373">
        <f>SUM(BB132:BE132)</f>
        <v>1834783.953072286</v>
      </c>
      <c r="BB132" s="371">
        <f>W132+AC132+AI132+AO132+AU132</f>
        <v>855766.23158310773</v>
      </c>
      <c r="BC132" s="371">
        <f t="shared" si="429"/>
        <v>38510.686780372955</v>
      </c>
      <c r="BD132" s="371">
        <f t="shared" si="430"/>
        <v>1024991.1413431754</v>
      </c>
      <c r="BE132" s="371">
        <f t="shared" si="431"/>
        <v>-84484.106634370328</v>
      </c>
      <c r="BG132" s="396">
        <f t="shared" si="402"/>
        <v>0.67296115640817278</v>
      </c>
      <c r="BH132" s="396">
        <f t="shared" si="402"/>
        <v>0.73666083579342601</v>
      </c>
      <c r="BI132" s="396">
        <f t="shared" si="402"/>
        <v>4.4476013568587422E-2</v>
      </c>
      <c r="BJ132" s="396">
        <f t="shared" si="402"/>
        <v>1.508827938406669</v>
      </c>
      <c r="BK132" s="396">
        <f t="shared" si="402"/>
        <v>-4.3223084009764738</v>
      </c>
      <c r="BM132" s="396">
        <f t="shared" si="447"/>
        <v>0.28040048183673866</v>
      </c>
      <c r="BN132" s="396">
        <f t="shared" si="448"/>
        <v>0.30694201491392747</v>
      </c>
      <c r="BO132" s="396">
        <f t="shared" si="449"/>
        <v>1.853167232024476E-2</v>
      </c>
      <c r="BP132" s="396">
        <f t="shared" si="450"/>
        <v>0.62867830766944544</v>
      </c>
      <c r="BQ132" s="396">
        <f t="shared" si="451"/>
        <v>-1.8009618337401974</v>
      </c>
      <c r="BS132" s="15"/>
    </row>
    <row r="133" spans="2:72" s="4" customFormat="1">
      <c r="B133" s="384" t="s">
        <v>73</v>
      </c>
      <c r="C133" s="385" t="s">
        <v>74</v>
      </c>
      <c r="D133" s="386">
        <f>SUM(E133:H133)</f>
        <v>14570107.421028372</v>
      </c>
      <c r="E133" s="386">
        <f>E126+E132</f>
        <v>4860101.1708674384</v>
      </c>
      <c r="F133" s="386">
        <f>F126+F132</f>
        <v>3875915.6429276471</v>
      </c>
      <c r="G133" s="386">
        <f t="shared" ref="G133:H133" si="463">G126*0.8/(0.8-23%)</f>
        <v>5670923.483587902</v>
      </c>
      <c r="H133" s="386">
        <f t="shared" si="463"/>
        <v>163167.12364538468</v>
      </c>
      <c r="J133" s="386">
        <f t="shared" si="254"/>
        <v>1214175.6184190309</v>
      </c>
      <c r="K133" s="386">
        <f t="shared" si="233"/>
        <v>405008.43090561987</v>
      </c>
      <c r="L133" s="386">
        <f t="shared" si="234"/>
        <v>322992.97024397057</v>
      </c>
      <c r="M133" s="386">
        <f t="shared" si="235"/>
        <v>472576.95696565852</v>
      </c>
      <c r="N133" s="386">
        <f t="shared" si="236"/>
        <v>13597.260303782057</v>
      </c>
      <c r="P133" s="386">
        <f>J133*5</f>
        <v>6070878.0920951543</v>
      </c>
      <c r="Q133" s="386">
        <f>K133*5</f>
        <v>2025042.1545280993</v>
      </c>
      <c r="R133" s="386">
        <f>L133*5</f>
        <v>1614964.8512198529</v>
      </c>
      <c r="S133" s="386">
        <f>M133*5</f>
        <v>2362884.7848282927</v>
      </c>
      <c r="T133" s="386">
        <f>N133*5</f>
        <v>67986.301518910288</v>
      </c>
      <c r="V133" s="386">
        <f>SUM(W133:Z133)</f>
        <v>752999.62890000001</v>
      </c>
      <c r="W133" s="386">
        <v>286218.57587</v>
      </c>
      <c r="X133" s="386">
        <v>122398.06614000001</v>
      </c>
      <c r="Y133" s="386">
        <v>344382.98689</v>
      </c>
      <c r="Z133" s="386">
        <v>0</v>
      </c>
      <c r="AB133" s="386">
        <f>SUM(AC133:AF133)</f>
        <v>475265.96844000008</v>
      </c>
      <c r="AC133" s="386">
        <v>192159.90509000001</v>
      </c>
      <c r="AD133" s="386">
        <v>96218.530579999991</v>
      </c>
      <c r="AE133" s="386">
        <v>186887.53277000002</v>
      </c>
      <c r="AF133" s="386">
        <v>0</v>
      </c>
      <c r="AH133" s="386">
        <f>SUM(AI133:AL133)</f>
        <v>1255588.25773</v>
      </c>
      <c r="AI133" s="386">
        <v>521836.23245999997</v>
      </c>
      <c r="AJ133" s="386">
        <v>213684.85022999998</v>
      </c>
      <c r="AK133" s="386">
        <v>520067.17504</v>
      </c>
      <c r="AL133" s="386">
        <v>0</v>
      </c>
      <c r="AN133" s="386">
        <f>SUM(AO133:AR133)</f>
        <v>1232818.7299299999</v>
      </c>
      <c r="AO133" s="386">
        <v>499546.74212999997</v>
      </c>
      <c r="AP133" s="386">
        <v>232878.2401</v>
      </c>
      <c r="AQ133" s="386">
        <v>500393.74770000001</v>
      </c>
      <c r="AR133" s="386"/>
      <c r="AS133" s="460"/>
      <c r="AT133" s="386">
        <f>SUM(AU133:AY133)</f>
        <v>1089159.7709679999</v>
      </c>
      <c r="AU133" s="386">
        <v>428499.45865799999</v>
      </c>
      <c r="AV133" s="386">
        <v>223221.16871</v>
      </c>
      <c r="AW133" s="386">
        <v>435645.32260000001</v>
      </c>
      <c r="AX133" s="386">
        <v>1793.8209999999999</v>
      </c>
      <c r="AY133" s="386"/>
      <c r="BA133" s="386">
        <f t="shared" si="428"/>
        <v>4805832.3559680004</v>
      </c>
      <c r="BB133" s="386">
        <f>W133+AC133+AI133+AO133+AU133</f>
        <v>1928260.9142079998</v>
      </c>
      <c r="BC133" s="386">
        <f t="shared" si="429"/>
        <v>888400.85576000006</v>
      </c>
      <c r="BD133" s="386">
        <f>Y133+AE133+AK133+AQ133+AW133</f>
        <v>1987376.7649999999</v>
      </c>
      <c r="BE133" s="386">
        <f t="shared" ref="BE133" si="464">Z133+AF133+AL133+AR133+AX133</f>
        <v>1793.8209999999999</v>
      </c>
      <c r="BG133" s="398">
        <f t="shared" si="402"/>
        <v>0.79162063264384097</v>
      </c>
      <c r="BH133" s="398">
        <f t="shared" si="402"/>
        <v>0.95220778979652765</v>
      </c>
      <c r="BI133" s="398">
        <f t="shared" si="402"/>
        <v>0.55010538160564448</v>
      </c>
      <c r="BJ133" s="398">
        <f t="shared" si="402"/>
        <v>0.8410806899094827</v>
      </c>
      <c r="BK133" s="398">
        <f t="shared" si="402"/>
        <v>2.6385035807559722E-2</v>
      </c>
      <c r="BM133" s="398">
        <f>BA133/D133</f>
        <v>0.32984193026826703</v>
      </c>
      <c r="BN133" s="398">
        <f t="shared" si="448"/>
        <v>0.3967532457485532</v>
      </c>
      <c r="BO133" s="398">
        <f t="shared" si="449"/>
        <v>0.22921057566901853</v>
      </c>
      <c r="BP133" s="398">
        <f t="shared" si="450"/>
        <v>0.35045028746228446</v>
      </c>
      <c r="BQ133" s="398">
        <f t="shared" si="451"/>
        <v>1.0993764919816552E-2</v>
      </c>
    </row>
    <row r="134" spans="2:72" s="4" customFormat="1">
      <c r="B134" s="846" t="s">
        <v>75</v>
      </c>
      <c r="C134" s="843" t="s">
        <v>76</v>
      </c>
      <c r="D134" s="33" t="s">
        <v>133</v>
      </c>
      <c r="E134" s="33">
        <v>1632149</v>
      </c>
      <c r="F134" s="33"/>
      <c r="H134" s="33"/>
      <c r="J134" s="33" t="str">
        <f>D134</f>
        <v>ваг.км</v>
      </c>
      <c r="K134" s="33">
        <f t="shared" si="233"/>
        <v>136012.41666666666</v>
      </c>
      <c r="L134" s="33">
        <f t="shared" si="234"/>
        <v>0</v>
      </c>
      <c r="M134" s="4">
        <f t="shared" si="235"/>
        <v>0</v>
      </c>
      <c r="N134" s="33">
        <f t="shared" si="236"/>
        <v>0</v>
      </c>
      <c r="P134" s="33" t="str">
        <f>J134</f>
        <v>ваг.км</v>
      </c>
      <c r="Q134" s="33">
        <f>K134*5</f>
        <v>680062.08333333326</v>
      </c>
      <c r="R134" s="33"/>
      <c r="T134" s="33"/>
      <c r="V134" s="33" t="s">
        <v>133</v>
      </c>
      <c r="W134" s="33">
        <v>96111.011999999988</v>
      </c>
      <c r="X134" s="33"/>
      <c r="Z134" s="33"/>
      <c r="AB134" s="33" t="s">
        <v>133</v>
      </c>
      <c r="AC134" s="33">
        <v>64526.492000000006</v>
      </c>
      <c r="AD134" s="33"/>
      <c r="AF134" s="33"/>
      <c r="AH134" s="33" t="s">
        <v>133</v>
      </c>
      <c r="AI134" s="33">
        <v>175230.43800000002</v>
      </c>
      <c r="AJ134" s="33"/>
      <c r="AL134" s="33"/>
      <c r="AN134" s="33" t="s">
        <v>133</v>
      </c>
      <c r="AO134" s="33">
        <v>167745.71599999996</v>
      </c>
      <c r="AP134" s="33"/>
      <c r="AR134" s="33"/>
      <c r="AS134" s="451"/>
      <c r="AT134" s="33" t="s">
        <v>133</v>
      </c>
      <c r="AU134" s="33">
        <v>143888.33199999997</v>
      </c>
      <c r="AV134" s="33"/>
      <c r="AX134" s="33"/>
      <c r="AY134" s="33"/>
      <c r="BA134" s="33" t="s">
        <v>133</v>
      </c>
      <c r="BB134" s="33">
        <f>W134+AC134+AI134+AO134+AU134</f>
        <v>647501.99</v>
      </c>
      <c r="BC134" s="33"/>
      <c r="BE134" s="33"/>
      <c r="BG134" s="33" t="s">
        <v>133</v>
      </c>
      <c r="BH134" s="464">
        <f>BB134/Q134</f>
        <v>0.95212188102924433</v>
      </c>
      <c r="BI134" s="396"/>
      <c r="BJ134" s="396"/>
      <c r="BK134" s="396"/>
      <c r="BM134" s="33" t="s">
        <v>133</v>
      </c>
      <c r="BN134" s="396">
        <f t="shared" ref="BN134" si="465">BB134/E134</f>
        <v>0.39671745042885176</v>
      </c>
      <c r="BO134" s="396"/>
      <c r="BP134" s="396"/>
      <c r="BQ134" s="396"/>
    </row>
    <row r="135" spans="2:72" s="4" customFormat="1">
      <c r="B135" s="821"/>
      <c r="C135" s="844"/>
      <c r="D135" s="33" t="s">
        <v>134</v>
      </c>
      <c r="E135" s="33"/>
      <c r="F135" s="33">
        <v>750083</v>
      </c>
      <c r="G135" s="33"/>
      <c r="H135" s="33"/>
      <c r="J135" s="33" t="str">
        <f t="shared" ref="J135:J142" si="466">D135</f>
        <v>ваг.час</v>
      </c>
      <c r="K135" s="33">
        <f t="shared" si="233"/>
        <v>0</v>
      </c>
      <c r="L135" s="33">
        <f t="shared" si="234"/>
        <v>62506.916666666664</v>
      </c>
      <c r="M135" s="33">
        <f t="shared" si="235"/>
        <v>0</v>
      </c>
      <c r="N135" s="33">
        <f t="shared" si="236"/>
        <v>0</v>
      </c>
      <c r="P135" s="33" t="str">
        <f t="shared" ref="P135:P142" si="467">J135</f>
        <v>ваг.час</v>
      </c>
      <c r="Q135" s="33"/>
      <c r="R135" s="33">
        <f>L135*5</f>
        <v>312534.58333333331</v>
      </c>
      <c r="S135" s="33"/>
      <c r="T135" s="33"/>
      <c r="V135" s="33" t="s">
        <v>134</v>
      </c>
      <c r="W135" s="33"/>
      <c r="X135" s="33">
        <v>23688.420000000002</v>
      </c>
      <c r="Y135" s="33"/>
      <c r="Z135" s="33"/>
      <c r="AB135" s="33" t="s">
        <v>134</v>
      </c>
      <c r="AC135" s="33"/>
      <c r="AD135" s="33">
        <v>18621.739999999998</v>
      </c>
      <c r="AE135" s="33"/>
      <c r="AF135" s="33"/>
      <c r="AH135" s="33" t="s">
        <v>134</v>
      </c>
      <c r="AI135" s="33"/>
      <c r="AJ135" s="33">
        <v>41355.006999999998</v>
      </c>
      <c r="AK135" s="33"/>
      <c r="AL135" s="33"/>
      <c r="AN135" s="33" t="s">
        <v>134</v>
      </c>
      <c r="AO135" s="33"/>
      <c r="AP135" s="33">
        <v>45071.0864</v>
      </c>
      <c r="AQ135" s="33"/>
      <c r="AR135" s="33"/>
      <c r="AS135" s="451"/>
      <c r="AT135" s="33" t="s">
        <v>134</v>
      </c>
      <c r="AU135" s="33"/>
      <c r="AV135" s="33">
        <v>43202.365099999981</v>
      </c>
      <c r="AW135" s="33"/>
      <c r="AX135" s="33"/>
      <c r="AY135" s="33"/>
      <c r="BA135" s="33" t="s">
        <v>134</v>
      </c>
      <c r="BB135" s="33"/>
      <c r="BC135" s="33">
        <f>X135+AD135+AJ135+AP135+AV135</f>
        <v>171938.61849999998</v>
      </c>
      <c r="BD135" s="33"/>
      <c r="BE135" s="33"/>
      <c r="BG135" s="33" t="s">
        <v>134</v>
      </c>
      <c r="BH135" s="33"/>
      <c r="BI135" s="396">
        <f>BC135/R135</f>
        <v>0.55014269674156058</v>
      </c>
      <c r="BJ135" s="396"/>
      <c r="BK135" s="396"/>
      <c r="BM135" s="33" t="s">
        <v>134</v>
      </c>
      <c r="BN135" s="396"/>
      <c r="BO135" s="396">
        <f t="shared" ref="BO135" si="468">BC135/F135</f>
        <v>0.2292261236423169</v>
      </c>
      <c r="BP135" s="396"/>
      <c r="BQ135" s="396"/>
    </row>
    <row r="136" spans="2:72" s="4" customFormat="1">
      <c r="B136" s="821"/>
      <c r="C136" s="844"/>
      <c r="D136" s="33" t="s">
        <v>133</v>
      </c>
      <c r="E136" s="33"/>
      <c r="F136" s="33"/>
      <c r="G136" s="33">
        <v>2154015</v>
      </c>
      <c r="H136" s="33"/>
      <c r="J136" s="33" t="str">
        <f t="shared" si="466"/>
        <v>ваг.км</v>
      </c>
      <c r="K136" s="33">
        <f t="shared" si="233"/>
        <v>0</v>
      </c>
      <c r="L136" s="33">
        <f t="shared" si="234"/>
        <v>0</v>
      </c>
      <c r="M136" s="33">
        <f t="shared" si="235"/>
        <v>179501.25</v>
      </c>
      <c r="N136" s="33">
        <f t="shared" si="236"/>
        <v>0</v>
      </c>
      <c r="P136" s="33" t="str">
        <f t="shared" si="467"/>
        <v>ваг.км</v>
      </c>
      <c r="Q136" s="33"/>
      <c r="R136" s="33"/>
      <c r="S136" s="33">
        <f>M136*5</f>
        <v>897506.25</v>
      </c>
      <c r="T136" s="33"/>
      <c r="V136" s="33" t="s">
        <v>133</v>
      </c>
      <c r="W136" s="33"/>
      <c r="X136" s="33"/>
      <c r="Y136" s="33">
        <v>160029.26300185875</v>
      </c>
      <c r="Z136" s="33"/>
      <c r="AB136" s="33" t="s">
        <v>133</v>
      </c>
      <c r="AC136" s="33"/>
      <c r="AD136" s="33"/>
      <c r="AE136" s="33">
        <v>86712.13</v>
      </c>
      <c r="AF136" s="33"/>
      <c r="AH136" s="33" t="s">
        <v>133</v>
      </c>
      <c r="AI136" s="33"/>
      <c r="AJ136" s="33"/>
      <c r="AK136" s="33">
        <v>241165.88</v>
      </c>
      <c r="AL136" s="33"/>
      <c r="AN136" s="33" t="s">
        <v>133</v>
      </c>
      <c r="AO136" s="33"/>
      <c r="AP136" s="33"/>
      <c r="AQ136" s="33">
        <v>232249.41200000001</v>
      </c>
      <c r="AR136" s="33"/>
      <c r="AS136" s="451"/>
      <c r="AT136" s="33" t="s">
        <v>133</v>
      </c>
      <c r="AU136" s="33"/>
      <c r="AV136" s="33"/>
      <c r="AW136" s="33">
        <v>200883.81</v>
      </c>
      <c r="AX136" s="33"/>
      <c r="AY136" s="33"/>
      <c r="BA136" s="33" t="s">
        <v>133</v>
      </c>
      <c r="BB136" s="33"/>
      <c r="BC136" s="33"/>
      <c r="BD136" s="33">
        <f>Y136+AE136+AK136+AQ136+AW136</f>
        <v>921040.4950018588</v>
      </c>
      <c r="BE136" s="33"/>
      <c r="BG136" s="33" t="s">
        <v>133</v>
      </c>
      <c r="BH136" s="33"/>
      <c r="BI136" s="33"/>
      <c r="BJ136" s="396">
        <f>BD136/S136</f>
        <v>1.026221817398886</v>
      </c>
      <c r="BK136" s="396"/>
      <c r="BM136" s="33" t="s">
        <v>133</v>
      </c>
      <c r="BN136" s="396"/>
      <c r="BO136" s="396"/>
      <c r="BP136" s="396">
        <f t="shared" ref="BP136" si="469">BD136/G136</f>
        <v>0.42759242391620245</v>
      </c>
      <c r="BQ136" s="396"/>
    </row>
    <row r="137" spans="2:72" s="4" customFormat="1">
      <c r="B137" s="821"/>
      <c r="C137" s="844"/>
      <c r="D137" s="33" t="s">
        <v>137</v>
      </c>
      <c r="E137" s="33"/>
      <c r="F137" s="33"/>
      <c r="G137" s="33"/>
      <c r="H137" s="33">
        <v>2190</v>
      </c>
      <c r="J137" s="33" t="str">
        <f t="shared" si="466"/>
        <v>вагоны</v>
      </c>
      <c r="K137" s="33">
        <f t="shared" ref="K137" si="470">E137/12</f>
        <v>0</v>
      </c>
      <c r="L137" s="33">
        <f t="shared" ref="L137" si="471">F137/12</f>
        <v>0</v>
      </c>
      <c r="M137" s="33">
        <f t="shared" ref="M137" si="472">G137/12</f>
        <v>0</v>
      </c>
      <c r="N137" s="33">
        <f t="shared" ref="N137" si="473">H137/12</f>
        <v>182.5</v>
      </c>
      <c r="P137" s="33" t="str">
        <f t="shared" si="467"/>
        <v>вагоны</v>
      </c>
      <c r="Q137" s="33"/>
      <c r="R137" s="33"/>
      <c r="S137" s="33"/>
      <c r="T137" s="33">
        <f>N137*5</f>
        <v>912.5</v>
      </c>
      <c r="V137" s="33" t="s">
        <v>137</v>
      </c>
      <c r="W137" s="33"/>
      <c r="X137" s="33"/>
      <c r="Y137" s="33"/>
      <c r="Z137" s="33"/>
      <c r="AB137" s="33" t="s">
        <v>137</v>
      </c>
      <c r="AC137" s="33"/>
      <c r="AD137" s="33"/>
      <c r="AE137" s="33"/>
      <c r="AF137" s="33"/>
      <c r="AH137" s="33" t="s">
        <v>137</v>
      </c>
      <c r="AI137" s="33"/>
      <c r="AJ137" s="33"/>
      <c r="AK137" s="33"/>
      <c r="AL137" s="33"/>
      <c r="AN137" s="33" t="s">
        <v>137</v>
      </c>
      <c r="AO137" s="33"/>
      <c r="AP137" s="33"/>
      <c r="AQ137" s="33"/>
      <c r="AR137" s="33"/>
      <c r="AS137" s="451"/>
      <c r="AT137" s="33" t="s">
        <v>137</v>
      </c>
      <c r="AU137" s="33"/>
      <c r="AV137" s="33"/>
      <c r="AW137" s="33"/>
      <c r="AX137" s="33">
        <v>20</v>
      </c>
      <c r="AY137" s="33"/>
      <c r="BA137" s="33" t="s">
        <v>137</v>
      </c>
      <c r="BB137" s="33"/>
      <c r="BC137" s="33"/>
      <c r="BD137" s="33"/>
      <c r="BE137" s="33">
        <f>Z137+AF137+AL137+AR137+AX137</f>
        <v>20</v>
      </c>
      <c r="BG137" s="33" t="s">
        <v>137</v>
      </c>
      <c r="BH137" s="33"/>
      <c r="BI137" s="33"/>
      <c r="BJ137" s="33"/>
      <c r="BK137" s="396">
        <f>BE137/T137</f>
        <v>2.1917808219178082E-2</v>
      </c>
      <c r="BM137" s="33" t="s">
        <v>137</v>
      </c>
      <c r="BN137" s="396"/>
      <c r="BO137" s="396"/>
      <c r="BP137" s="396"/>
      <c r="BQ137" s="396">
        <f t="shared" ref="BQ137" si="474">BE137/H137</f>
        <v>9.1324200913242004E-3</v>
      </c>
    </row>
    <row r="138" spans="2:72" s="4" customFormat="1">
      <c r="B138" s="822"/>
      <c r="C138" s="845"/>
      <c r="D138" s="33" t="s">
        <v>137</v>
      </c>
      <c r="E138" s="33"/>
      <c r="F138" s="33"/>
      <c r="G138" s="33"/>
      <c r="H138" s="33"/>
      <c r="J138" s="33" t="str">
        <f t="shared" ref="J138" si="475">D138</f>
        <v>вагоны</v>
      </c>
      <c r="K138" s="33">
        <f t="shared" ref="K138" si="476">E138/12</f>
        <v>0</v>
      </c>
      <c r="L138" s="33">
        <f t="shared" ref="L138" si="477">F138/12</f>
        <v>0</v>
      </c>
      <c r="M138" s="33">
        <f t="shared" ref="M138" si="478">G138/12</f>
        <v>0</v>
      </c>
      <c r="N138" s="33">
        <f t="shared" ref="N138" si="479">H138/12</f>
        <v>0</v>
      </c>
      <c r="P138" s="33" t="str">
        <f t="shared" ref="P138" si="480">J138</f>
        <v>вагоны</v>
      </c>
      <c r="Q138" s="33"/>
      <c r="R138" s="33"/>
      <c r="S138" s="33"/>
      <c r="T138" s="33"/>
      <c r="V138" s="33" t="s">
        <v>137</v>
      </c>
      <c r="W138" s="33"/>
      <c r="X138" s="33"/>
      <c r="Y138" s="33"/>
      <c r="Z138" s="33"/>
      <c r="AB138" s="33" t="s">
        <v>137</v>
      </c>
      <c r="AC138" s="33"/>
      <c r="AD138" s="33"/>
      <c r="AE138" s="33"/>
      <c r="AF138" s="33"/>
      <c r="AH138" s="33" t="s">
        <v>137</v>
      </c>
      <c r="AI138" s="33"/>
      <c r="AJ138" s="33"/>
      <c r="AK138" s="33"/>
      <c r="AL138" s="33"/>
      <c r="AN138" s="33" t="s">
        <v>137</v>
      </c>
      <c r="AO138" s="33"/>
      <c r="AP138" s="33"/>
      <c r="AQ138" s="33"/>
      <c r="AR138" s="33"/>
      <c r="AS138" s="451"/>
      <c r="AT138" s="33" t="s">
        <v>137</v>
      </c>
      <c r="AU138" s="33"/>
      <c r="AV138" s="33"/>
      <c r="AW138" s="33"/>
      <c r="AX138" s="33"/>
      <c r="AY138" s="33">
        <v>108</v>
      </c>
      <c r="BA138" s="33" t="s">
        <v>137</v>
      </c>
      <c r="BB138" s="33"/>
      <c r="BC138" s="33"/>
      <c r="BD138" s="33"/>
      <c r="BE138" s="33"/>
      <c r="BG138" s="33" t="s">
        <v>137</v>
      </c>
      <c r="BH138" s="33"/>
      <c r="BI138" s="33"/>
      <c r="BJ138" s="33"/>
      <c r="BK138" s="396"/>
      <c r="BM138" s="33" t="s">
        <v>137</v>
      </c>
      <c r="BN138" s="396"/>
      <c r="BO138" s="396"/>
      <c r="BP138" s="396"/>
      <c r="BQ138" s="396"/>
    </row>
    <row r="139" spans="2:72" s="5" customFormat="1">
      <c r="B139" s="848" t="s">
        <v>78</v>
      </c>
      <c r="C139" s="847" t="s">
        <v>79</v>
      </c>
      <c r="D139" s="387" t="s">
        <v>169</v>
      </c>
      <c r="E139" s="388">
        <f>(E133*1000)/E134</f>
        <v>2977.7313044749212</v>
      </c>
      <c r="F139" s="388"/>
      <c r="G139" s="389"/>
      <c r="H139" s="388"/>
      <c r="J139" s="387" t="str">
        <f t="shared" si="466"/>
        <v>тенге за 1км</v>
      </c>
      <c r="K139" s="388">
        <f>E139</f>
        <v>2977.7313044749212</v>
      </c>
      <c r="L139" s="388">
        <f t="shared" ref="L139:N142" si="481">F139</f>
        <v>0</v>
      </c>
      <c r="M139" s="388">
        <f t="shared" si="481"/>
        <v>0</v>
      </c>
      <c r="N139" s="388">
        <f t="shared" si="481"/>
        <v>0</v>
      </c>
      <c r="P139" s="387" t="str">
        <f t="shared" si="467"/>
        <v>тенге за 1км</v>
      </c>
      <c r="Q139" s="388">
        <f>K139</f>
        <v>2977.7313044749212</v>
      </c>
      <c r="R139" s="388"/>
      <c r="S139" s="388"/>
      <c r="T139" s="388"/>
      <c r="V139" s="387" t="s">
        <v>169</v>
      </c>
      <c r="W139" s="388">
        <f>K139</f>
        <v>2977.7313044749212</v>
      </c>
      <c r="X139" s="388"/>
      <c r="Y139" s="389"/>
      <c r="Z139" s="388"/>
      <c r="AB139" s="387" t="s">
        <v>169</v>
      </c>
      <c r="AC139" s="388">
        <f>W139</f>
        <v>2977.7313044749212</v>
      </c>
      <c r="AD139" s="388"/>
      <c r="AE139" s="389"/>
      <c r="AF139" s="388"/>
      <c r="AH139" s="387" t="s">
        <v>169</v>
      </c>
      <c r="AI139" s="388">
        <f>AC139</f>
        <v>2977.7313044749212</v>
      </c>
      <c r="AJ139" s="388"/>
      <c r="AK139" s="389"/>
      <c r="AL139" s="388"/>
      <c r="AN139" s="387" t="s">
        <v>169</v>
      </c>
      <c r="AO139" s="388">
        <f>AI139</f>
        <v>2977.7313044749212</v>
      </c>
      <c r="AP139" s="388"/>
      <c r="AQ139" s="389"/>
      <c r="AR139" s="388"/>
      <c r="AS139" s="462"/>
      <c r="AT139" s="387" t="s">
        <v>169</v>
      </c>
      <c r="AU139" s="388">
        <f>AO139</f>
        <v>2977.7313044749212</v>
      </c>
      <c r="AV139" s="388"/>
      <c r="AW139" s="389"/>
      <c r="AX139" s="388"/>
      <c r="AY139" s="388"/>
      <c r="BA139" s="387" t="s">
        <v>169</v>
      </c>
      <c r="BB139" s="388">
        <f>(BB133*1000)/BB134</f>
        <v>2977.9999814487055</v>
      </c>
      <c r="BC139" s="388"/>
      <c r="BD139" s="389"/>
      <c r="BE139" s="388"/>
      <c r="BF139" s="4"/>
      <c r="BG139" s="387" t="s">
        <v>169</v>
      </c>
      <c r="BH139" s="388">
        <v>2977.7313044749212</v>
      </c>
      <c r="BI139" s="388"/>
      <c r="BJ139" s="388"/>
      <c r="BK139" s="388"/>
      <c r="BM139" s="387" t="s">
        <v>169</v>
      </c>
      <c r="BN139" s="388">
        <v>2977.7313044749212</v>
      </c>
      <c r="BO139" s="388"/>
      <c r="BP139" s="388"/>
      <c r="BQ139" s="388"/>
    </row>
    <row r="140" spans="2:72" s="4" customFormat="1">
      <c r="B140" s="848"/>
      <c r="C140" s="847"/>
      <c r="D140" s="387" t="s">
        <v>170</v>
      </c>
      <c r="E140" s="388"/>
      <c r="F140" s="388">
        <f>(F133*1000)/F135</f>
        <v>5167.31567430224</v>
      </c>
      <c r="G140" s="388"/>
      <c r="H140" s="388"/>
      <c r="J140" s="387" t="str">
        <f t="shared" si="466"/>
        <v>тенге за 1 час</v>
      </c>
      <c r="K140" s="388">
        <f t="shared" ref="K140:K142" si="482">E140</f>
        <v>0</v>
      </c>
      <c r="L140" s="388">
        <f t="shared" si="481"/>
        <v>5167.31567430224</v>
      </c>
      <c r="M140" s="388">
        <f t="shared" si="481"/>
        <v>0</v>
      </c>
      <c r="N140" s="388">
        <f t="shared" si="481"/>
        <v>0</v>
      </c>
      <c r="P140" s="387" t="str">
        <f t="shared" si="467"/>
        <v>тенге за 1 час</v>
      </c>
      <c r="Q140" s="388"/>
      <c r="R140" s="388">
        <f t="shared" ref="R140" si="483">L140</f>
        <v>5167.31567430224</v>
      </c>
      <c r="S140" s="388"/>
      <c r="T140" s="388"/>
      <c r="V140" s="387" t="s">
        <v>170</v>
      </c>
      <c r="W140" s="388"/>
      <c r="X140" s="388">
        <f>L140</f>
        <v>5167.31567430224</v>
      </c>
      <c r="Y140" s="388"/>
      <c r="Z140" s="388"/>
      <c r="AB140" s="387" t="s">
        <v>170</v>
      </c>
      <c r="AC140" s="388"/>
      <c r="AD140" s="388">
        <f t="shared" ref="AD140" si="484">X140</f>
        <v>5167.31567430224</v>
      </c>
      <c r="AE140" s="388"/>
      <c r="AF140" s="388"/>
      <c r="AH140" s="387" t="s">
        <v>170</v>
      </c>
      <c r="AI140" s="388"/>
      <c r="AJ140" s="388">
        <f t="shared" ref="AJ140" si="485">AD140</f>
        <v>5167.31567430224</v>
      </c>
      <c r="AK140" s="388"/>
      <c r="AL140" s="388"/>
      <c r="AN140" s="387" t="s">
        <v>170</v>
      </c>
      <c r="AO140" s="388"/>
      <c r="AP140" s="388">
        <f t="shared" ref="AP140" si="486">AJ140</f>
        <v>5167.31567430224</v>
      </c>
      <c r="AQ140" s="388"/>
      <c r="AR140" s="388"/>
      <c r="AS140" s="462"/>
      <c r="AT140" s="387" t="s">
        <v>170</v>
      </c>
      <c r="AU140" s="388"/>
      <c r="AV140" s="388">
        <f t="shared" ref="AV140" si="487">AP140</f>
        <v>5167.31567430224</v>
      </c>
      <c r="AW140" s="388"/>
      <c r="AX140" s="388"/>
      <c r="AY140" s="388"/>
      <c r="BA140" s="387" t="s">
        <v>170</v>
      </c>
      <c r="BB140" s="388"/>
      <c r="BC140" s="388">
        <f>(BC133*1000)/BC135</f>
        <v>5166.9651850785358</v>
      </c>
      <c r="BD140" s="388"/>
      <c r="BE140" s="388"/>
      <c r="BG140" s="387" t="s">
        <v>170</v>
      </c>
      <c r="BH140" s="388"/>
      <c r="BI140" s="388">
        <v>5167.31567430224</v>
      </c>
      <c r="BJ140" s="388"/>
      <c r="BK140" s="388"/>
      <c r="BM140" s="387" t="s">
        <v>170</v>
      </c>
      <c r="BN140" s="388"/>
      <c r="BO140" s="388">
        <v>5167.31567430224</v>
      </c>
      <c r="BP140" s="388"/>
      <c r="BQ140" s="388"/>
    </row>
    <row r="141" spans="2:72" s="4" customFormat="1">
      <c r="B141" s="848"/>
      <c r="C141" s="847"/>
      <c r="D141" s="387" t="s">
        <v>169</v>
      </c>
      <c r="E141" s="390"/>
      <c r="F141" s="390"/>
      <c r="G141" s="388">
        <v>2152</v>
      </c>
      <c r="H141" s="390"/>
      <c r="J141" s="387" t="str">
        <f t="shared" si="466"/>
        <v>тенге за 1км</v>
      </c>
      <c r="K141" s="388">
        <f t="shared" si="482"/>
        <v>0</v>
      </c>
      <c r="L141" s="388">
        <f t="shared" si="481"/>
        <v>0</v>
      </c>
      <c r="M141" s="388">
        <f t="shared" si="481"/>
        <v>2152</v>
      </c>
      <c r="N141" s="388">
        <f t="shared" si="481"/>
        <v>0</v>
      </c>
      <c r="P141" s="387" t="str">
        <f t="shared" si="467"/>
        <v>тенге за 1км</v>
      </c>
      <c r="Q141" s="388"/>
      <c r="R141" s="388"/>
      <c r="S141" s="388">
        <f t="shared" ref="S141" si="488">M141</f>
        <v>2152</v>
      </c>
      <c r="T141" s="388"/>
      <c r="V141" s="387" t="s">
        <v>169</v>
      </c>
      <c r="W141" s="390"/>
      <c r="X141" s="390"/>
      <c r="Y141" s="388">
        <v>2152</v>
      </c>
      <c r="Z141" s="390"/>
      <c r="AB141" s="387" t="s">
        <v>169</v>
      </c>
      <c r="AC141" s="390"/>
      <c r="AD141" s="390"/>
      <c r="AE141" s="388">
        <v>2152</v>
      </c>
      <c r="AF141" s="390"/>
      <c r="AH141" s="387" t="s">
        <v>169</v>
      </c>
      <c r="AI141" s="390"/>
      <c r="AJ141" s="390"/>
      <c r="AK141" s="388">
        <v>2152</v>
      </c>
      <c r="AL141" s="390"/>
      <c r="AN141" s="387" t="s">
        <v>169</v>
      </c>
      <c r="AO141" s="390"/>
      <c r="AP141" s="390"/>
      <c r="AQ141" s="388">
        <v>2152</v>
      </c>
      <c r="AR141" s="390"/>
      <c r="AS141" s="462"/>
      <c r="AT141" s="387" t="s">
        <v>169</v>
      </c>
      <c r="AU141" s="390"/>
      <c r="AV141" s="390"/>
      <c r="AW141" s="388">
        <v>2152</v>
      </c>
      <c r="AX141" s="390"/>
      <c r="AY141" s="390"/>
      <c r="BA141" s="387" t="s">
        <v>169</v>
      </c>
      <c r="BB141" s="390"/>
      <c r="BC141" s="390"/>
      <c r="BD141" s="388">
        <v>2152</v>
      </c>
      <c r="BE141" s="388"/>
      <c r="BG141" s="387" t="s">
        <v>169</v>
      </c>
      <c r="BH141" s="390"/>
      <c r="BI141" s="390"/>
      <c r="BJ141" s="390">
        <v>2152</v>
      </c>
      <c r="BK141" s="390"/>
      <c r="BM141" s="387" t="s">
        <v>169</v>
      </c>
      <c r="BN141" s="390"/>
      <c r="BO141" s="390"/>
      <c r="BP141" s="390">
        <v>2152</v>
      </c>
      <c r="BQ141" s="390"/>
    </row>
    <row r="142" spans="2:72" s="4" customFormat="1">
      <c r="B142" s="848"/>
      <c r="C142" s="847"/>
      <c r="D142" s="387" t="s">
        <v>172</v>
      </c>
      <c r="E142" s="387"/>
      <c r="F142" s="387"/>
      <c r="G142" s="387"/>
      <c r="H142" s="388">
        <f>(H133*1000)/H137</f>
        <v>74505.535911134546</v>
      </c>
      <c r="J142" s="387" t="str">
        <f t="shared" si="466"/>
        <v xml:space="preserve">тенге </v>
      </c>
      <c r="K142" s="388">
        <f t="shared" si="482"/>
        <v>0</v>
      </c>
      <c r="L142" s="388">
        <f t="shared" si="481"/>
        <v>0</v>
      </c>
      <c r="M142" s="388">
        <f t="shared" si="481"/>
        <v>0</v>
      </c>
      <c r="N142" s="388">
        <f t="shared" si="481"/>
        <v>74505.535911134546</v>
      </c>
      <c r="P142" s="387" t="str">
        <f t="shared" si="467"/>
        <v xml:space="preserve">тенге </v>
      </c>
      <c r="Q142" s="388"/>
      <c r="R142" s="388"/>
      <c r="S142" s="388"/>
      <c r="T142" s="388">
        <f t="shared" ref="T142" si="489">N142</f>
        <v>74505.535911134546</v>
      </c>
      <c r="V142" s="387" t="s">
        <v>172</v>
      </c>
      <c r="W142" s="387"/>
      <c r="X142" s="387"/>
      <c r="Y142" s="387"/>
      <c r="Z142" s="388">
        <v>71890</v>
      </c>
      <c r="AB142" s="387" t="s">
        <v>172</v>
      </c>
      <c r="AC142" s="387"/>
      <c r="AD142" s="387"/>
      <c r="AE142" s="387"/>
      <c r="AF142" s="388">
        <v>71890</v>
      </c>
      <c r="AH142" s="387" t="s">
        <v>172</v>
      </c>
      <c r="AI142" s="387"/>
      <c r="AJ142" s="387"/>
      <c r="AK142" s="387"/>
      <c r="AL142" s="388">
        <v>71890</v>
      </c>
      <c r="AN142" s="387" t="s">
        <v>172</v>
      </c>
      <c r="AO142" s="387"/>
      <c r="AP142" s="387"/>
      <c r="AQ142" s="387"/>
      <c r="AR142" s="388">
        <v>71890</v>
      </c>
      <c r="AS142" s="462"/>
      <c r="AT142" s="387" t="s">
        <v>172</v>
      </c>
      <c r="AU142" s="387"/>
      <c r="AV142" s="387"/>
      <c r="AW142" s="387"/>
      <c r="AX142" s="388">
        <v>71890</v>
      </c>
      <c r="AY142" s="388"/>
      <c r="BA142" s="387" t="s">
        <v>172</v>
      </c>
      <c r="BB142" s="387"/>
      <c r="BC142" s="387"/>
      <c r="BD142" s="388"/>
      <c r="BE142" s="388">
        <v>71890</v>
      </c>
      <c r="BG142" s="387" t="s">
        <v>172</v>
      </c>
      <c r="BH142" s="388"/>
      <c r="BI142" s="388"/>
      <c r="BJ142" s="388"/>
      <c r="BK142" s="388">
        <v>71890</v>
      </c>
      <c r="BM142" s="387" t="s">
        <v>172</v>
      </c>
      <c r="BN142" s="388"/>
      <c r="BO142" s="388"/>
      <c r="BP142" s="388"/>
      <c r="BQ142" s="388">
        <v>71890</v>
      </c>
    </row>
    <row r="143" spans="2:72" s="4" customFormat="1">
      <c r="B143" s="848"/>
      <c r="C143" s="847"/>
      <c r="D143" s="387" t="s">
        <v>172</v>
      </c>
      <c r="E143" s="387"/>
      <c r="F143" s="387"/>
      <c r="G143" s="387"/>
      <c r="H143" s="388"/>
      <c r="J143" s="387" t="str">
        <f t="shared" ref="J143" si="490">D143</f>
        <v xml:space="preserve">тенге </v>
      </c>
      <c r="K143" s="388">
        <f t="shared" ref="K143" si="491">E143</f>
        <v>0</v>
      </c>
      <c r="L143" s="388">
        <f t="shared" ref="L143" si="492">F143</f>
        <v>0</v>
      </c>
      <c r="M143" s="388">
        <f t="shared" ref="M143" si="493">G143</f>
        <v>0</v>
      </c>
      <c r="N143" s="388">
        <f t="shared" ref="N143" si="494">H143</f>
        <v>0</v>
      </c>
      <c r="P143" s="387" t="str">
        <f t="shared" ref="P143" si="495">J143</f>
        <v xml:space="preserve">тенге </v>
      </c>
      <c r="Q143" s="388"/>
      <c r="R143" s="388"/>
      <c r="S143" s="388"/>
      <c r="T143" s="388"/>
      <c r="V143" s="387" t="s">
        <v>172</v>
      </c>
      <c r="W143" s="387"/>
      <c r="X143" s="387"/>
      <c r="Y143" s="387"/>
      <c r="Z143" s="388"/>
      <c r="AB143" s="387" t="s">
        <v>172</v>
      </c>
      <c r="AC143" s="387"/>
      <c r="AD143" s="387"/>
      <c r="AE143" s="387"/>
      <c r="AF143" s="388"/>
      <c r="AH143" s="387" t="s">
        <v>172</v>
      </c>
      <c r="AI143" s="387"/>
      <c r="AJ143" s="387"/>
      <c r="AK143" s="387"/>
      <c r="AL143" s="388"/>
      <c r="AN143" s="387" t="s">
        <v>172</v>
      </c>
      <c r="AO143" s="387"/>
      <c r="AP143" s="387"/>
      <c r="AQ143" s="387"/>
      <c r="AR143" s="388"/>
      <c r="AS143" s="462"/>
      <c r="AT143" s="387" t="s">
        <v>172</v>
      </c>
      <c r="AU143" s="387"/>
      <c r="AV143" s="387"/>
      <c r="AW143" s="387"/>
      <c r="AX143" s="388"/>
      <c r="AY143" s="388">
        <v>8690</v>
      </c>
      <c r="BA143" s="387" t="s">
        <v>172</v>
      </c>
      <c r="BB143" s="387"/>
      <c r="BC143" s="387"/>
      <c r="BD143" s="387"/>
      <c r="BE143" s="388"/>
      <c r="BG143" s="387" t="s">
        <v>172</v>
      </c>
      <c r="BH143" s="388"/>
      <c r="BI143" s="388"/>
      <c r="BJ143" s="388"/>
      <c r="BK143" s="388"/>
      <c r="BM143" s="387" t="s">
        <v>172</v>
      </c>
      <c r="BN143" s="388"/>
      <c r="BO143" s="388"/>
      <c r="BP143" s="388"/>
      <c r="BQ143" s="388"/>
    </row>
    <row r="144" spans="2:72" s="324" customFormat="1">
      <c r="B144" s="521"/>
      <c r="C144" s="521"/>
      <c r="D144" s="521"/>
      <c r="E144" s="521"/>
      <c r="F144" s="528"/>
      <c r="G144" s="528"/>
      <c r="J144" s="521"/>
      <c r="K144" s="521"/>
      <c r="L144" s="528"/>
      <c r="M144" s="528"/>
      <c r="P144" s="521"/>
      <c r="Q144" s="521"/>
      <c r="R144" s="528"/>
      <c r="S144" s="528"/>
      <c r="V144" s="521"/>
      <c r="W144" s="521"/>
      <c r="X144" s="528"/>
      <c r="Y144" s="528"/>
      <c r="AB144" s="521"/>
      <c r="AC144" s="521"/>
      <c r="AD144" s="528"/>
      <c r="AE144" s="528"/>
      <c r="AH144" s="521"/>
      <c r="AI144" s="521"/>
      <c r="AJ144" s="528"/>
      <c r="AK144" s="528"/>
      <c r="AN144" s="521"/>
      <c r="AO144" s="521"/>
      <c r="AP144" s="528"/>
      <c r="AQ144" s="528"/>
      <c r="AT144" s="521"/>
      <c r="AU144" s="521"/>
      <c r="AV144" s="528"/>
      <c r="AW144" s="528"/>
      <c r="BA144" s="521"/>
      <c r="BB144" s="521"/>
      <c r="BC144" s="528"/>
      <c r="BD144" s="528"/>
      <c r="BG144" s="521"/>
      <c r="BM144" s="521"/>
    </row>
    <row r="145" spans="2:69" s="334" customFormat="1" ht="15.75">
      <c r="F145" s="529"/>
      <c r="G145" s="529"/>
      <c r="L145" s="529"/>
      <c r="M145" s="529"/>
      <c r="R145" s="529"/>
      <c r="S145" s="529"/>
      <c r="X145" s="529"/>
      <c r="Y145" s="529"/>
      <c r="AD145" s="529"/>
      <c r="AE145" s="529"/>
      <c r="AJ145" s="529"/>
      <c r="AK145" s="529"/>
      <c r="AP145" s="529"/>
      <c r="AQ145" s="529"/>
      <c r="AU145" s="530">
        <f>BB145</f>
        <v>171153.24631662155</v>
      </c>
      <c r="AV145" s="530">
        <f>BC145</f>
        <v>7702.1373560745915</v>
      </c>
      <c r="AW145" s="529"/>
      <c r="BA145" s="334">
        <v>612384.90800000005</v>
      </c>
      <c r="BB145" s="530">
        <f>BB132*0.2</f>
        <v>171153.24631662155</v>
      </c>
      <c r="BC145" s="530">
        <f>BC132*0.2</f>
        <v>7702.1373560745915</v>
      </c>
      <c r="BD145" s="529"/>
    </row>
    <row r="146" spans="2:69" s="334" customFormat="1" ht="15.75">
      <c r="C146" s="334" t="s">
        <v>392</v>
      </c>
      <c r="F146" s="529"/>
      <c r="G146" s="529"/>
      <c r="L146" s="529"/>
      <c r="M146" s="529"/>
      <c r="R146" s="529"/>
      <c r="S146" s="529"/>
      <c r="X146" s="529"/>
      <c r="Y146" s="529"/>
      <c r="AD146" s="529"/>
      <c r="AE146" s="529"/>
      <c r="AJ146" s="529"/>
      <c r="AK146" s="529"/>
      <c r="AP146" s="529"/>
      <c r="AQ146" s="529"/>
      <c r="AU146" s="217">
        <f>AU131-AU145+AC131+AI131+AO131+W131</f>
        <v>-1.9348078694747528E-11</v>
      </c>
      <c r="AV146" s="217">
        <f>AV131-AV145+AD131+AJ131+AP131</f>
        <v>-6.4659388954169117E-13</v>
      </c>
      <c r="AW146" s="529">
        <v>122170.903310396</v>
      </c>
      <c r="AX146" s="334">
        <v>73179.279108830306</v>
      </c>
      <c r="BB146" s="531"/>
      <c r="BC146" s="529"/>
      <c r="BD146" s="529"/>
    </row>
    <row r="147" spans="2:69">
      <c r="C147" s="80"/>
      <c r="D147" s="80"/>
      <c r="E147" s="80"/>
      <c r="F147" s="40"/>
      <c r="G147" s="40"/>
      <c r="J147" s="80"/>
      <c r="K147" s="80"/>
      <c r="L147" s="40"/>
      <c r="M147" s="40"/>
      <c r="P147" s="80"/>
      <c r="Q147" s="80"/>
      <c r="R147" s="40"/>
      <c r="S147" s="40"/>
      <c r="V147" s="80"/>
      <c r="W147" s="80"/>
      <c r="X147" s="40"/>
      <c r="Y147" s="40"/>
      <c r="AB147" s="80"/>
      <c r="AC147" s="80"/>
      <c r="AD147" s="40"/>
      <c r="AE147" s="40"/>
      <c r="AH147" s="80"/>
      <c r="AI147" s="80"/>
      <c r="AJ147" s="40"/>
      <c r="AK147" s="40"/>
      <c r="AN147" s="80"/>
      <c r="AO147" s="80"/>
      <c r="AP147" s="40"/>
      <c r="AQ147" s="40"/>
      <c r="AT147" s="80"/>
      <c r="AU147" s="80"/>
      <c r="AV147" s="40"/>
      <c r="AW147" s="40"/>
      <c r="BA147" s="80"/>
      <c r="BB147" s="80"/>
      <c r="BC147" s="40"/>
      <c r="BD147" s="40"/>
      <c r="BG147" s="80"/>
      <c r="BM147" s="80"/>
    </row>
    <row r="148" spans="2:69" s="4" customFormat="1">
      <c r="B148" s="13"/>
      <c r="C148" s="380" t="s">
        <v>390</v>
      </c>
      <c r="D148" s="371"/>
      <c r="E148" s="371"/>
      <c r="F148" s="371"/>
      <c r="G148" s="371"/>
      <c r="H148" s="371"/>
      <c r="J148" s="371"/>
      <c r="K148" s="371"/>
      <c r="L148" s="371"/>
      <c r="M148" s="371"/>
      <c r="N148" s="371"/>
      <c r="P148" s="371"/>
      <c r="Q148" s="371"/>
      <c r="R148" s="371"/>
      <c r="S148" s="371"/>
      <c r="T148" s="371"/>
      <c r="V148" s="371">
        <f>10899857.37/1000</f>
        <v>10899.85737</v>
      </c>
      <c r="W148" s="371"/>
      <c r="X148" s="371"/>
      <c r="Y148" s="371">
        <f>V148</f>
        <v>10899.85737</v>
      </c>
      <c r="Z148" s="371"/>
      <c r="AB148" s="371">
        <f>-3790910.63/1000</f>
        <v>-3790.9106299999999</v>
      </c>
      <c r="AC148" s="371"/>
      <c r="AD148" s="371"/>
      <c r="AE148" s="371">
        <f>AB148</f>
        <v>-3790.9106299999999</v>
      </c>
      <c r="AF148" s="371"/>
      <c r="AH148" s="371">
        <f>367946/1000</f>
        <v>367.94600000000003</v>
      </c>
      <c r="AI148" s="371"/>
      <c r="AJ148" s="371"/>
      <c r="AK148" s="371">
        <f>AH148</f>
        <v>367.94600000000003</v>
      </c>
      <c r="AL148" s="371"/>
      <c r="AN148" s="371">
        <f>-1621431/1000</f>
        <v>-1621.431</v>
      </c>
      <c r="AO148" s="371"/>
      <c r="AP148" s="371"/>
      <c r="AQ148" s="371">
        <f>AN148</f>
        <v>-1621.431</v>
      </c>
      <c r="AR148" s="371"/>
      <c r="AS148" s="455"/>
      <c r="AT148" s="371">
        <f>-208430158/1000</f>
        <v>-208430.158</v>
      </c>
      <c r="AU148" s="371"/>
      <c r="AV148" s="371"/>
      <c r="AW148" s="371">
        <f>AT148</f>
        <v>-208430.158</v>
      </c>
      <c r="AX148" s="371"/>
      <c r="AY148" s="371"/>
      <c r="BA148" s="371">
        <f t="shared" ref="BA148:BA150" si="496">SUM(BB148:BE148)</f>
        <v>-202574.69626</v>
      </c>
      <c r="BB148" s="371">
        <f t="shared" ref="BB148:BB150" si="497">W148+AC148+AI148+AO148+AU148</f>
        <v>0</v>
      </c>
      <c r="BC148" s="371">
        <f t="shared" ref="BC148:BC150" si="498">X148+AD148+AJ148+AP148+AV148</f>
        <v>0</v>
      </c>
      <c r="BD148" s="371">
        <f t="shared" ref="BD148:BD150" si="499">Y148+AE148+AK148+AQ148+AW148+AY148</f>
        <v>-202574.69626</v>
      </c>
      <c r="BE148" s="371">
        <f t="shared" ref="BE148:BE150" si="500">Z148+AF148+AL148+AR148+AX148</f>
        <v>0</v>
      </c>
      <c r="BG148" s="396"/>
      <c r="BH148" s="396"/>
      <c r="BI148" s="396"/>
      <c r="BJ148" s="396"/>
      <c r="BK148" s="396"/>
      <c r="BM148" s="396"/>
      <c r="BN148" s="396"/>
      <c r="BO148" s="396"/>
      <c r="BP148" s="396"/>
      <c r="BQ148" s="396"/>
    </row>
    <row r="149" spans="2:69" s="4" customFormat="1">
      <c r="B149" s="13"/>
      <c r="C149" s="380" t="s">
        <v>391</v>
      </c>
      <c r="D149" s="371"/>
      <c r="E149" s="371"/>
      <c r="F149" s="371"/>
      <c r="G149" s="371"/>
      <c r="H149" s="371"/>
      <c r="J149" s="371"/>
      <c r="K149" s="371"/>
      <c r="L149" s="371"/>
      <c r="M149" s="371"/>
      <c r="N149" s="371"/>
      <c r="P149" s="371"/>
      <c r="Q149" s="371"/>
      <c r="R149" s="371"/>
      <c r="S149" s="371"/>
      <c r="T149" s="371"/>
      <c r="V149" s="371">
        <f>-827198/1000</f>
        <v>-827.19799999999998</v>
      </c>
      <c r="W149" s="371"/>
      <c r="X149" s="371"/>
      <c r="Y149" s="371">
        <f t="shared" ref="Y149:Y150" si="501">V149</f>
        <v>-827.19799999999998</v>
      </c>
      <c r="Z149" s="371"/>
      <c r="AB149" s="371">
        <f>-891333/1000</f>
        <v>-891.33299999999997</v>
      </c>
      <c r="AC149" s="371"/>
      <c r="AD149" s="371"/>
      <c r="AE149" s="371">
        <f t="shared" ref="AE149:AE150" si="502">AB149</f>
        <v>-891.33299999999997</v>
      </c>
      <c r="AF149" s="371"/>
      <c r="AH149" s="371">
        <f>-2386802/1000</f>
        <v>-2386.8020000000001</v>
      </c>
      <c r="AI149" s="371"/>
      <c r="AJ149" s="371"/>
      <c r="AK149" s="371">
        <f t="shared" ref="AK149:AK150" si="503">AH149</f>
        <v>-2386.8020000000001</v>
      </c>
      <c r="AL149" s="371"/>
      <c r="AN149" s="371">
        <f>-5792102/1000</f>
        <v>-5792.1019999999999</v>
      </c>
      <c r="AO149" s="371"/>
      <c r="AP149" s="371"/>
      <c r="AQ149" s="371">
        <f t="shared" ref="AQ149:AQ150" si="504">AN149</f>
        <v>-5792.1019999999999</v>
      </c>
      <c r="AR149" s="371"/>
      <c r="AS149" s="455"/>
      <c r="AT149" s="371">
        <f>-3486852/1000</f>
        <v>-3486.8519999999999</v>
      </c>
      <c r="AU149" s="371"/>
      <c r="AV149" s="371"/>
      <c r="AW149" s="371">
        <f t="shared" ref="AW149:AW150" si="505">AT149</f>
        <v>-3486.8519999999999</v>
      </c>
      <c r="AX149" s="371"/>
      <c r="AY149" s="371"/>
      <c r="BA149" s="371">
        <f t="shared" si="496"/>
        <v>-13384.287</v>
      </c>
      <c r="BB149" s="371">
        <f t="shared" si="497"/>
        <v>0</v>
      </c>
      <c r="BC149" s="371">
        <f t="shared" si="498"/>
        <v>0</v>
      </c>
      <c r="BD149" s="371">
        <f t="shared" si="499"/>
        <v>-13384.287</v>
      </c>
      <c r="BE149" s="371">
        <f t="shared" si="500"/>
        <v>0</v>
      </c>
      <c r="BG149" s="396"/>
      <c r="BH149" s="396"/>
      <c r="BI149" s="396"/>
      <c r="BJ149" s="396"/>
      <c r="BK149" s="396"/>
      <c r="BM149" s="396"/>
      <c r="BN149" s="396"/>
      <c r="BO149" s="396"/>
      <c r="BP149" s="396"/>
      <c r="BQ149" s="396"/>
    </row>
    <row r="150" spans="2:69" s="4" customFormat="1">
      <c r="B150" s="13"/>
      <c r="C150" s="380" t="s">
        <v>382</v>
      </c>
      <c r="D150" s="371"/>
      <c r="E150" s="371"/>
      <c r="F150" s="371"/>
      <c r="G150" s="371"/>
      <c r="H150" s="371"/>
      <c r="J150" s="371"/>
      <c r="K150" s="371"/>
      <c r="L150" s="371"/>
      <c r="M150" s="371"/>
      <c r="N150" s="371"/>
      <c r="P150" s="371"/>
      <c r="Q150" s="371"/>
      <c r="R150" s="371"/>
      <c r="S150" s="371"/>
      <c r="T150" s="371"/>
      <c r="V150" s="371">
        <f>(V167+V169)</f>
        <v>0</v>
      </c>
      <c r="W150" s="371"/>
      <c r="X150" s="371"/>
      <c r="Y150" s="371">
        <f t="shared" si="501"/>
        <v>0</v>
      </c>
      <c r="Z150" s="371"/>
      <c r="AB150" s="371">
        <f>(AB167+AB169)</f>
        <v>76309.190999999992</v>
      </c>
      <c r="AC150" s="371"/>
      <c r="AD150" s="371"/>
      <c r="AE150" s="371">
        <f t="shared" si="502"/>
        <v>76309.190999999992</v>
      </c>
      <c r="AF150" s="371"/>
      <c r="AH150" s="371">
        <f>(AH167+AH169)</f>
        <v>38249.745999999999</v>
      </c>
      <c r="AI150" s="371"/>
      <c r="AJ150" s="371"/>
      <c r="AK150" s="371">
        <f t="shared" si="503"/>
        <v>38249.745999999999</v>
      </c>
      <c r="AL150" s="371"/>
      <c r="AN150" s="371">
        <f>(AN167+AN169)</f>
        <v>18967.977000000003</v>
      </c>
      <c r="AO150" s="371"/>
      <c r="AP150" s="371"/>
      <c r="AQ150" s="371">
        <f t="shared" si="504"/>
        <v>18967.977000000003</v>
      </c>
      <c r="AR150" s="371"/>
      <c r="AS150" s="455"/>
      <c r="AT150" s="371">
        <f>(AT167+AT169)</f>
        <v>4808.4780700000001</v>
      </c>
      <c r="AU150" s="371"/>
      <c r="AV150" s="371"/>
      <c r="AW150" s="371">
        <f t="shared" si="505"/>
        <v>4808.4780700000001</v>
      </c>
      <c r="AX150" s="371"/>
      <c r="AY150" s="371"/>
      <c r="BA150" s="371">
        <f t="shared" si="496"/>
        <v>138335.39207</v>
      </c>
      <c r="BB150" s="371">
        <f t="shared" si="497"/>
        <v>0</v>
      </c>
      <c r="BC150" s="371">
        <f t="shared" si="498"/>
        <v>0</v>
      </c>
      <c r="BD150" s="371">
        <f t="shared" si="499"/>
        <v>138335.39207</v>
      </c>
      <c r="BE150" s="371">
        <f t="shared" si="500"/>
        <v>0</v>
      </c>
      <c r="BG150" s="396"/>
      <c r="BH150" s="396"/>
      <c r="BI150" s="396"/>
      <c r="BJ150" s="396"/>
      <c r="BK150" s="396"/>
      <c r="BM150" s="396"/>
      <c r="BN150" s="396"/>
      <c r="BO150" s="396"/>
      <c r="BP150" s="396"/>
      <c r="BQ150" s="396"/>
    </row>
    <row r="151" spans="2:69">
      <c r="C151" s="382"/>
      <c r="D151" s="82"/>
      <c r="E151" s="40"/>
      <c r="F151" s="40"/>
      <c r="G151" s="40"/>
      <c r="J151" s="82"/>
      <c r="K151" s="40"/>
      <c r="L151" s="40"/>
      <c r="M151" s="40"/>
      <c r="P151" s="82"/>
      <c r="Q151" s="40"/>
      <c r="R151" s="40"/>
      <c r="S151" s="40"/>
      <c r="V151" s="518"/>
      <c r="W151" s="40"/>
      <c r="X151" s="40"/>
      <c r="Y151" s="40"/>
      <c r="AB151" s="82"/>
      <c r="AC151" s="40"/>
      <c r="AD151" s="40"/>
      <c r="AE151" s="40"/>
      <c r="AH151" s="82"/>
      <c r="AI151" s="40"/>
      <c r="AJ151" s="40"/>
      <c r="AK151" s="40"/>
      <c r="AN151" s="82"/>
      <c r="AO151" s="40"/>
      <c r="AP151" s="40"/>
      <c r="AQ151" s="40"/>
      <c r="AT151" s="82"/>
      <c r="AU151" s="40"/>
      <c r="AV151" s="40"/>
      <c r="AW151" s="40"/>
      <c r="BA151" s="82"/>
      <c r="BB151" s="40"/>
      <c r="BC151" s="40"/>
      <c r="BD151" s="40"/>
      <c r="BG151" s="82"/>
      <c r="BM151" s="82"/>
    </row>
    <row r="152" spans="2:69">
      <c r="C152" s="382"/>
      <c r="D152" s="82"/>
      <c r="E152" s="40"/>
      <c r="F152" s="40"/>
      <c r="G152" s="40"/>
      <c r="J152" s="82"/>
      <c r="K152" s="40"/>
      <c r="L152" s="40"/>
      <c r="M152" s="40"/>
      <c r="P152" s="82"/>
      <c r="Q152" s="40"/>
      <c r="R152" s="40"/>
      <c r="S152" s="40"/>
      <c r="V152" s="518"/>
      <c r="W152" s="40"/>
      <c r="X152" s="40"/>
      <c r="Y152" s="40"/>
      <c r="AB152" s="82"/>
      <c r="AC152" s="40"/>
      <c r="AD152" s="40"/>
      <c r="AE152" s="40"/>
      <c r="AH152" s="82"/>
      <c r="AI152" s="40"/>
      <c r="AJ152" s="40"/>
      <c r="AK152" s="40"/>
      <c r="AN152" s="82"/>
      <c r="AO152" s="40"/>
      <c r="AP152" s="40"/>
      <c r="AQ152" s="40"/>
      <c r="AT152" s="82"/>
      <c r="AU152" s="40"/>
      <c r="AV152" s="40"/>
      <c r="AW152" s="40"/>
      <c r="BA152" s="82"/>
      <c r="BB152" s="40"/>
      <c r="BC152" s="40"/>
      <c r="BD152" s="40"/>
      <c r="BG152" s="82"/>
      <c r="BM152" s="82"/>
    </row>
    <row r="153" spans="2:69">
      <c r="C153" s="382"/>
      <c r="D153" s="82"/>
      <c r="E153" s="40"/>
      <c r="F153" s="40"/>
      <c r="G153" s="40"/>
      <c r="J153" s="82"/>
      <c r="K153" s="40"/>
      <c r="L153" s="40"/>
      <c r="M153" s="40"/>
      <c r="P153" s="82"/>
      <c r="Q153" s="40"/>
      <c r="R153" s="40"/>
      <c r="S153" s="40"/>
      <c r="V153" s="518"/>
      <c r="W153" s="40"/>
      <c r="X153" s="40"/>
      <c r="Y153" s="40"/>
      <c r="AB153" s="82"/>
      <c r="AC153" s="40"/>
      <c r="AD153" s="40"/>
      <c r="AE153" s="40"/>
      <c r="AH153" s="82"/>
      <c r="AI153" s="40"/>
      <c r="AJ153" s="40"/>
      <c r="AK153" s="40"/>
      <c r="AN153" s="82"/>
      <c r="AO153" s="40"/>
      <c r="AP153" s="40"/>
      <c r="AQ153" s="40"/>
      <c r="AT153" s="82"/>
      <c r="AU153" s="40"/>
      <c r="AV153" s="40"/>
      <c r="AW153" s="40"/>
      <c r="BA153" s="82"/>
      <c r="BB153" s="40"/>
      <c r="BC153" s="40"/>
      <c r="BD153" s="40"/>
      <c r="BG153" s="82"/>
      <c r="BM153" s="82"/>
    </row>
    <row r="154" spans="2:69">
      <c r="C154" s="382"/>
      <c r="D154" s="82"/>
      <c r="E154" s="40"/>
      <c r="F154" s="40"/>
      <c r="G154" s="40"/>
      <c r="J154" s="82"/>
      <c r="K154" s="40"/>
      <c r="L154" s="40"/>
      <c r="M154" s="40"/>
      <c r="P154" s="82"/>
      <c r="Q154" s="40"/>
      <c r="R154" s="40"/>
      <c r="S154" s="40"/>
      <c r="V154" s="518"/>
      <c r="W154" s="40"/>
      <c r="X154" s="40"/>
      <c r="Y154" s="40"/>
      <c r="AB154" s="82"/>
      <c r="AC154" s="40"/>
      <c r="AD154" s="40"/>
      <c r="AE154" s="40"/>
      <c r="AH154" s="82"/>
      <c r="AI154" s="40"/>
      <c r="AJ154" s="40"/>
      <c r="AK154" s="40"/>
      <c r="AN154" s="82"/>
      <c r="AO154" s="40"/>
      <c r="AP154" s="40"/>
      <c r="AQ154" s="40"/>
      <c r="AT154" s="82"/>
      <c r="AU154" s="40"/>
      <c r="AV154" s="40"/>
      <c r="AW154" s="40"/>
      <c r="BA154" s="82"/>
      <c r="BB154" s="40"/>
      <c r="BC154" s="40"/>
      <c r="BD154" s="40"/>
      <c r="BG154" s="82"/>
      <c r="BM154" s="82"/>
    </row>
    <row r="155" spans="2:69">
      <c r="C155" s="382"/>
      <c r="D155" s="82"/>
      <c r="E155" s="40"/>
      <c r="F155" s="40"/>
      <c r="G155" s="40"/>
      <c r="J155" s="82"/>
      <c r="K155" s="40"/>
      <c r="L155" s="40"/>
      <c r="M155" s="40"/>
      <c r="P155" s="82"/>
      <c r="Q155" s="40"/>
      <c r="R155" s="40"/>
      <c r="S155" s="40"/>
      <c r="V155" s="518"/>
      <c r="W155" s="40"/>
      <c r="X155" s="40"/>
      <c r="Y155" s="40"/>
      <c r="AB155" s="82"/>
      <c r="AC155" s="40"/>
      <c r="AD155" s="40"/>
      <c r="AE155" s="40"/>
      <c r="AH155" s="82"/>
      <c r="AI155" s="40"/>
      <c r="AJ155" s="40"/>
      <c r="AK155" s="40"/>
      <c r="AN155" s="82"/>
      <c r="AO155" s="40"/>
      <c r="AP155" s="40"/>
      <c r="AQ155" s="40"/>
      <c r="AT155" s="82"/>
      <c r="AU155" s="40"/>
      <c r="AV155" s="40"/>
      <c r="AW155" s="40"/>
      <c r="BA155" s="82"/>
      <c r="BB155" s="40"/>
      <c r="BC155" s="40"/>
      <c r="BD155" s="40"/>
      <c r="BG155" s="82"/>
      <c r="BM155" s="82"/>
    </row>
    <row r="156" spans="2:69">
      <c r="C156" s="382"/>
      <c r="D156" s="82"/>
      <c r="E156" s="40"/>
      <c r="F156" s="40"/>
      <c r="G156" s="40"/>
      <c r="J156" s="82"/>
      <c r="K156" s="40"/>
      <c r="L156" s="40"/>
      <c r="M156" s="40"/>
      <c r="P156" s="82"/>
      <c r="Q156" s="40"/>
      <c r="R156" s="40"/>
      <c r="S156" s="40"/>
      <c r="V156" s="518"/>
      <c r="W156" s="40"/>
      <c r="X156" s="40"/>
      <c r="Y156" s="40"/>
      <c r="AB156" s="82"/>
      <c r="AC156" s="40"/>
      <c r="AD156" s="40"/>
      <c r="AE156" s="40"/>
      <c r="AH156" s="82"/>
      <c r="AI156" s="40"/>
      <c r="AJ156" s="40"/>
      <c r="AK156" s="40"/>
      <c r="AN156" s="82"/>
      <c r="AO156" s="40"/>
      <c r="AP156" s="40"/>
      <c r="AQ156" s="40"/>
      <c r="AT156" s="82"/>
      <c r="AU156" s="40"/>
      <c r="AV156" s="40"/>
      <c r="AW156" s="40"/>
      <c r="BA156" s="82"/>
      <c r="BB156" s="40"/>
      <c r="BC156" s="40"/>
      <c r="BD156" s="40"/>
      <c r="BG156" s="82"/>
      <c r="BM156" s="82"/>
    </row>
    <row r="157" spans="2:69">
      <c r="C157" s="382"/>
      <c r="D157" s="82"/>
      <c r="E157" s="40"/>
      <c r="F157" s="40"/>
      <c r="G157" s="40"/>
      <c r="J157" s="82"/>
      <c r="K157" s="40"/>
      <c r="L157" s="40"/>
      <c r="M157" s="40"/>
      <c r="P157" s="82"/>
      <c r="Q157" s="40"/>
      <c r="R157" s="40"/>
      <c r="S157" s="40"/>
      <c r="V157" s="518"/>
      <c r="W157" s="520">
        <f>(W139*W134)/1000</f>
        <v>286192.76913716475</v>
      </c>
      <c r="X157" s="520">
        <f>(X140*X135)/1000</f>
        <v>122405.54396545468</v>
      </c>
      <c r="Y157" s="520">
        <f>(Y141*Y136)/1000</f>
        <v>344382.97398000001</v>
      </c>
      <c r="Z157" s="520">
        <f>(Z142*Z137)/1000</f>
        <v>0</v>
      </c>
      <c r="AB157" s="82"/>
      <c r="AC157" s="520">
        <f>(AC139*AC134)/1000</f>
        <v>192142.55519635059</v>
      </c>
      <c r="AD157" s="520">
        <f>(AD140*AD135)/1000</f>
        <v>96224.408984780981</v>
      </c>
      <c r="AE157" s="520">
        <f>(AE141*AE136)/1000</f>
        <v>186604.50376000002</v>
      </c>
      <c r="AF157" s="520">
        <f>(AF142*AF137)/1000</f>
        <v>0</v>
      </c>
      <c r="AH157" s="82"/>
      <c r="AI157" s="520">
        <f>(AI139*AI134)/1000</f>
        <v>521789.16072945192</v>
      </c>
      <c r="AJ157" s="520">
        <f>(AJ140*AJ135)/1000</f>
        <v>213694.37588197883</v>
      </c>
      <c r="AK157" s="520">
        <f>(AK141*AK136)/1000</f>
        <v>518988.97375999996</v>
      </c>
      <c r="AL157" s="520">
        <f>(AL142*AL137)/1000</f>
        <v>0</v>
      </c>
      <c r="AN157" s="82"/>
      <c r="AO157" s="520">
        <f>(AO139*AO134)/1000</f>
        <v>499501.66972475953</v>
      </c>
      <c r="AP157" s="520">
        <f>(AP140*AP135)/1000</f>
        <v>232896.53121255053</v>
      </c>
      <c r="AQ157" s="520">
        <f>(AQ141*AQ136)/1000</f>
        <v>499800.73462400003</v>
      </c>
      <c r="AR157" s="520">
        <f>(AR142*AR137)/1000</f>
        <v>0</v>
      </c>
      <c r="AT157" s="82"/>
      <c r="AU157" s="520">
        <f>(AU139*AU134)/1000</f>
        <v>428460.79054508044</v>
      </c>
      <c r="AV157" s="520">
        <f>(AV140*AV135)/1000</f>
        <v>223240.25834815798</v>
      </c>
      <c r="AW157" s="520">
        <f>(AW141*AW136)/1000</f>
        <v>432301.95912000001</v>
      </c>
      <c r="AX157" s="520">
        <f>(AX142*AX137)/1000</f>
        <v>1437.8</v>
      </c>
      <c r="BA157" s="82"/>
      <c r="BB157" s="520">
        <f>(BB139*BB134)/1000</f>
        <v>1928260.9142080001</v>
      </c>
      <c r="BC157" s="520">
        <f>(BC140*BC135)/1000</f>
        <v>888400.85576000006</v>
      </c>
      <c r="BD157" s="520">
        <f>(BD141*BD136)/1000</f>
        <v>1982079.1452440002</v>
      </c>
      <c r="BE157" s="520">
        <f>(BE142*BE137)/1000</f>
        <v>1437.8</v>
      </c>
      <c r="BG157" s="82"/>
      <c r="BM157" s="82"/>
    </row>
    <row r="158" spans="2:69">
      <c r="C158" s="382"/>
      <c r="D158" s="82"/>
      <c r="E158" s="40"/>
      <c r="F158" s="40"/>
      <c r="G158" s="40"/>
      <c r="J158" s="82"/>
      <c r="K158" s="40"/>
      <c r="L158" s="40"/>
      <c r="M158" s="40"/>
      <c r="P158" s="82"/>
      <c r="Q158" s="40"/>
      <c r="R158" s="40"/>
      <c r="S158" s="40"/>
      <c r="V158" s="518"/>
      <c r="W158" s="40"/>
      <c r="X158" s="40"/>
      <c r="Y158" s="40"/>
      <c r="AB158" s="82"/>
      <c r="AC158" s="40"/>
      <c r="AD158" s="40"/>
      <c r="AE158" s="40"/>
      <c r="AH158" s="82"/>
      <c r="AI158" s="40"/>
      <c r="AJ158" s="40"/>
      <c r="AK158" s="40"/>
      <c r="AN158" s="82"/>
      <c r="AO158" s="40"/>
      <c r="AP158" s="40"/>
      <c r="AQ158" s="40"/>
      <c r="AT158" s="82"/>
      <c r="AU158" s="40"/>
      <c r="AV158" s="40"/>
      <c r="AW158" s="40"/>
      <c r="BA158" s="82"/>
      <c r="BB158" s="40"/>
      <c r="BC158" s="40"/>
      <c r="BD158" s="40"/>
      <c r="BG158" s="82"/>
      <c r="BM158" s="82"/>
    </row>
    <row r="159" spans="2:69">
      <c r="C159" s="382"/>
      <c r="D159" s="82"/>
      <c r="E159" s="40"/>
      <c r="F159" s="40"/>
      <c r="G159" s="40"/>
      <c r="J159" s="82"/>
      <c r="K159" s="40"/>
      <c r="L159" s="40"/>
      <c r="M159" s="40"/>
      <c r="P159" s="82"/>
      <c r="Q159" s="40"/>
      <c r="R159" s="40"/>
      <c r="S159" s="40"/>
      <c r="V159" s="518"/>
      <c r="W159" s="40"/>
      <c r="X159" s="40"/>
      <c r="Y159" s="467">
        <f>Y133-Y157</f>
        <v>1.2909999990370125E-2</v>
      </c>
      <c r="AB159" s="82"/>
      <c r="AC159" s="40"/>
      <c r="AD159" s="40"/>
      <c r="AE159" s="467">
        <f>AE133-AE157</f>
        <v>283.02900999999838</v>
      </c>
      <c r="AH159" s="82"/>
      <c r="AI159" s="40"/>
      <c r="AJ159" s="40"/>
      <c r="AK159" s="467">
        <f>AK133-AK157</f>
        <v>1078.2012800000375</v>
      </c>
      <c r="AN159" s="82"/>
      <c r="AO159" s="40"/>
      <c r="AP159" s="40"/>
      <c r="AQ159" s="467">
        <f>AQ133-AQ157</f>
        <v>593.01307599997381</v>
      </c>
      <c r="AT159" s="82"/>
      <c r="AU159" s="40"/>
      <c r="AV159" s="40"/>
      <c r="AW159" s="467">
        <f>AW133-AW157</f>
        <v>3343.36348</v>
      </c>
      <c r="BA159" s="82"/>
      <c r="BB159" s="40"/>
      <c r="BC159" s="40"/>
      <c r="BD159" s="467">
        <f>BD133-BD157</f>
        <v>5297.6197559996508</v>
      </c>
      <c r="BG159" s="82"/>
      <c r="BM159" s="82"/>
    </row>
    <row r="160" spans="2:69">
      <c r="C160" s="382"/>
      <c r="D160" s="82"/>
      <c r="E160" s="40"/>
      <c r="F160" s="40"/>
      <c r="G160" s="40"/>
      <c r="J160" s="82"/>
      <c r="K160" s="40"/>
      <c r="L160" s="40"/>
      <c r="M160" s="40"/>
      <c r="P160" s="82"/>
      <c r="Q160" s="40"/>
      <c r="R160" s="40"/>
      <c r="S160" s="40"/>
      <c r="V160" s="518"/>
      <c r="W160" s="40"/>
      <c r="X160" s="40"/>
      <c r="Y160" s="40"/>
      <c r="AB160" s="82"/>
      <c r="AC160" s="40"/>
      <c r="AD160" s="40"/>
      <c r="AE160" s="40"/>
      <c r="AH160" s="82"/>
      <c r="AI160" s="40"/>
      <c r="AJ160" s="40"/>
      <c r="AK160" s="40"/>
      <c r="AN160" s="82"/>
      <c r="AO160" s="40"/>
      <c r="AP160" s="40"/>
      <c r="AQ160" s="40"/>
      <c r="AT160" s="82"/>
      <c r="AU160" s="40"/>
      <c r="AV160" s="40"/>
      <c r="AW160" s="40"/>
      <c r="BA160" s="82"/>
      <c r="BB160" s="40"/>
      <c r="BC160" s="40"/>
      <c r="BD160" s="40"/>
      <c r="BG160" s="82"/>
      <c r="BM160" s="82"/>
    </row>
    <row r="161" spans="3:66">
      <c r="C161" s="382"/>
      <c r="D161" s="82"/>
      <c r="E161" s="40"/>
      <c r="F161" s="40"/>
      <c r="G161" s="40"/>
      <c r="J161" s="82"/>
      <c r="K161" s="40"/>
      <c r="L161" s="40"/>
      <c r="M161" s="40"/>
      <c r="P161" s="82"/>
      <c r="Q161" s="40"/>
      <c r="R161" s="40"/>
      <c r="S161" s="40"/>
      <c r="V161" s="518"/>
      <c r="W161" s="40"/>
      <c r="X161" s="40"/>
      <c r="Y161" s="40"/>
      <c r="AB161" s="82"/>
      <c r="AC161" s="40"/>
      <c r="AD161" s="40"/>
      <c r="AE161" s="40"/>
      <c r="AH161" s="82"/>
      <c r="AI161" s="40"/>
      <c r="AJ161" s="40"/>
      <c r="AK161" s="40"/>
      <c r="AN161" s="82"/>
      <c r="AO161" s="40"/>
      <c r="AP161" s="40"/>
      <c r="AQ161" s="40"/>
      <c r="AT161" s="82"/>
      <c r="AU161" s="40"/>
      <c r="AV161" s="40"/>
      <c r="AW161" s="40"/>
      <c r="BA161" s="82"/>
      <c r="BB161" s="40"/>
      <c r="BC161" s="40"/>
      <c r="BD161" s="40"/>
      <c r="BG161" s="82"/>
      <c r="BM161" s="82"/>
    </row>
    <row r="162" spans="3:66">
      <c r="C162" s="382"/>
      <c r="D162" s="82"/>
      <c r="E162" s="40"/>
      <c r="F162" s="40"/>
      <c r="G162" s="40"/>
      <c r="J162" s="82"/>
      <c r="K162" s="40"/>
      <c r="L162" s="40"/>
      <c r="M162" s="40"/>
      <c r="P162" s="82"/>
      <c r="Q162" s="40"/>
      <c r="R162" s="40"/>
      <c r="S162" s="40"/>
      <c r="V162" s="518"/>
      <c r="W162" s="40"/>
      <c r="X162" s="40"/>
      <c r="Y162" s="40"/>
      <c r="AB162" s="82"/>
      <c r="AC162" s="40"/>
      <c r="AD162" s="40"/>
      <c r="AE162" s="40"/>
      <c r="AH162" s="82"/>
      <c r="AI162" s="40"/>
      <c r="AJ162" s="40"/>
      <c r="AK162" s="40"/>
      <c r="AN162" s="82"/>
      <c r="AO162" s="40"/>
      <c r="AP162" s="40"/>
      <c r="AQ162" s="40"/>
      <c r="AT162" s="82"/>
      <c r="AU162" s="40"/>
      <c r="AV162" s="40"/>
      <c r="AW162" s="40"/>
      <c r="BA162" s="82"/>
      <c r="BB162" s="40"/>
      <c r="BC162" s="40"/>
      <c r="BD162" s="40"/>
      <c r="BG162" s="82"/>
      <c r="BM162" s="82"/>
    </row>
    <row r="163" spans="3:66">
      <c r="C163" s="382"/>
      <c r="D163" s="82"/>
      <c r="E163" s="40"/>
      <c r="F163" s="40"/>
      <c r="G163" s="40"/>
      <c r="J163" s="82"/>
      <c r="K163" s="40"/>
      <c r="L163" s="40"/>
      <c r="M163" s="40"/>
      <c r="P163" s="82"/>
      <c r="Q163" s="40"/>
      <c r="R163" s="40"/>
      <c r="S163" s="40"/>
      <c r="V163" s="518"/>
      <c r="W163" s="40"/>
      <c r="X163" s="40"/>
      <c r="Y163" s="40"/>
      <c r="AB163" s="82"/>
      <c r="AC163" s="40"/>
      <c r="AD163" s="40"/>
      <c r="AE163" s="40"/>
      <c r="AH163" s="82"/>
      <c r="AI163" s="40"/>
      <c r="AJ163" s="40"/>
      <c r="AK163" s="40"/>
      <c r="AN163" s="82"/>
      <c r="AO163" s="40"/>
      <c r="AP163" s="40"/>
      <c r="AQ163" s="40"/>
      <c r="AT163" s="82"/>
      <c r="AU163" s="40"/>
      <c r="AV163" s="40"/>
      <c r="AW163" s="40"/>
      <c r="BA163" s="82"/>
      <c r="BB163" s="40"/>
      <c r="BC163" s="467"/>
      <c r="BD163" s="40"/>
      <c r="BG163" s="82"/>
      <c r="BM163" s="82"/>
    </row>
    <row r="164" spans="3:66">
      <c r="C164" s="382"/>
      <c r="D164" s="82"/>
      <c r="E164" s="40"/>
      <c r="F164" s="40"/>
      <c r="G164" s="40"/>
      <c r="J164" s="82"/>
      <c r="K164" s="40"/>
      <c r="L164" s="40"/>
      <c r="M164" s="40"/>
      <c r="P164" s="82"/>
      <c r="Q164" s="40"/>
      <c r="R164" s="40"/>
      <c r="S164" s="40"/>
      <c r="V164" s="82"/>
      <c r="W164" s="40"/>
      <c r="X164" s="40"/>
      <c r="Y164" s="40"/>
      <c r="AB164" s="82"/>
      <c r="AC164" s="40"/>
      <c r="AD164" s="40"/>
      <c r="AE164" s="40"/>
      <c r="AH164" s="82"/>
      <c r="AI164" s="40"/>
      <c r="AJ164" s="40"/>
      <c r="AK164" s="40"/>
      <c r="AN164" s="82"/>
      <c r="AO164" s="40"/>
      <c r="AP164" s="40"/>
      <c r="AQ164" s="40"/>
      <c r="AT164" s="82"/>
      <c r="AU164" s="40"/>
      <c r="AV164" s="40"/>
      <c r="AW164" s="40"/>
      <c r="BA164" s="82"/>
      <c r="BB164" s="40"/>
      <c r="BC164" s="40"/>
      <c r="BD164" s="40"/>
      <c r="BG164" s="82"/>
      <c r="BM164" s="82"/>
    </row>
    <row r="165" spans="3:66" ht="26.25" customHeight="1">
      <c r="C165" s="470" t="s">
        <v>382</v>
      </c>
      <c r="D165" s="476"/>
      <c r="E165" s="149"/>
      <c r="F165" s="149"/>
      <c r="G165" s="149"/>
      <c r="H165" s="237"/>
      <c r="I165" s="116"/>
      <c r="J165" s="166"/>
      <c r="K165" s="487"/>
      <c r="L165" s="487"/>
      <c r="M165" s="487"/>
      <c r="N165" s="2"/>
      <c r="O165" s="2"/>
      <c r="P165" s="166"/>
      <c r="Q165" s="487"/>
      <c r="R165" s="487"/>
      <c r="S165" s="487"/>
      <c r="T165" s="2"/>
      <c r="U165" s="488"/>
      <c r="V165" s="474"/>
      <c r="W165" s="149"/>
      <c r="X165" s="149"/>
      <c r="Y165" s="149"/>
      <c r="Z165" s="237"/>
      <c r="AA165" s="500"/>
      <c r="AB165" s="474"/>
      <c r="AC165" s="149"/>
      <c r="AD165" s="149"/>
      <c r="AE165" s="149"/>
      <c r="AF165" s="237"/>
      <c r="AG165" s="500"/>
      <c r="AH165" s="474"/>
      <c r="AI165" s="149"/>
      <c r="AJ165" s="149"/>
      <c r="AK165" s="149"/>
      <c r="AL165" s="237"/>
      <c r="AM165" s="500"/>
      <c r="AN165" s="474"/>
      <c r="AO165" s="149"/>
      <c r="AP165" s="149"/>
      <c r="AQ165" s="149"/>
      <c r="AR165" s="237"/>
      <c r="AS165" s="500"/>
      <c r="AT165" s="474"/>
      <c r="AU165" s="149"/>
      <c r="AV165" s="149"/>
      <c r="AW165" s="149"/>
      <c r="AX165" s="237"/>
      <c r="AY165" s="237"/>
      <c r="AZ165" s="500"/>
      <c r="BA165" s="474"/>
      <c r="BB165" s="149"/>
      <c r="BC165" s="149"/>
      <c r="BD165" s="149"/>
      <c r="BE165" s="237"/>
      <c r="BG165" s="82"/>
      <c r="BM165" s="82"/>
    </row>
    <row r="166" spans="3:66" ht="26.25" customHeight="1">
      <c r="C166" s="471" t="s">
        <v>383</v>
      </c>
      <c r="D166" s="476"/>
      <c r="E166" s="149"/>
      <c r="F166" s="149"/>
      <c r="G166" s="149"/>
      <c r="H166" s="237"/>
      <c r="I166" s="116"/>
      <c r="J166" s="166"/>
      <c r="K166" s="487"/>
      <c r="L166" s="487"/>
      <c r="M166" s="487"/>
      <c r="N166" s="2"/>
      <c r="O166" s="2"/>
      <c r="P166" s="166"/>
      <c r="Q166" s="487"/>
      <c r="R166" s="487"/>
      <c r="S166" s="487"/>
      <c r="T166" s="2"/>
      <c r="U166" s="488"/>
      <c r="V166" s="474"/>
      <c r="W166" s="149"/>
      <c r="X166" s="149"/>
      <c r="Y166" s="149"/>
      <c r="Z166" s="237"/>
      <c r="AA166" s="500"/>
      <c r="AB166" s="474"/>
      <c r="AC166" s="149"/>
      <c r="AD166" s="149"/>
      <c r="AE166" s="149"/>
      <c r="AF166" s="237"/>
      <c r="AG166" s="500"/>
      <c r="AH166" s="474"/>
      <c r="AI166" s="149"/>
      <c r="AJ166" s="149"/>
      <c r="AK166" s="149"/>
      <c r="AL166" s="237"/>
      <c r="AM166" s="500"/>
      <c r="AN166" s="474"/>
      <c r="AO166" s="149"/>
      <c r="AP166" s="149"/>
      <c r="AQ166" s="149"/>
      <c r="AR166" s="237"/>
      <c r="AS166" s="500"/>
      <c r="AT166" s="474"/>
      <c r="AU166" s="149"/>
      <c r="AV166" s="149"/>
      <c r="AW166" s="149"/>
      <c r="AX166" s="237"/>
      <c r="AY166" s="237"/>
      <c r="AZ166" s="500"/>
      <c r="BA166" s="474"/>
      <c r="BB166" s="149"/>
      <c r="BC166" s="149"/>
      <c r="BD166" s="149"/>
      <c r="BE166" s="237"/>
      <c r="BG166" s="82"/>
      <c r="BM166" s="82"/>
    </row>
    <row r="167" spans="3:66" ht="47.25" customHeight="1">
      <c r="C167" s="472" t="s">
        <v>5</v>
      </c>
      <c r="D167" s="477"/>
      <c r="E167" s="478"/>
      <c r="F167" s="478"/>
      <c r="G167" s="478"/>
      <c r="H167" s="237"/>
      <c r="I167" s="116"/>
      <c r="J167" s="489"/>
      <c r="K167" s="490"/>
      <c r="L167" s="490"/>
      <c r="M167" s="490"/>
      <c r="N167" s="2"/>
      <c r="O167" s="2"/>
      <c r="P167" s="489"/>
      <c r="Q167" s="490"/>
      <c r="R167" s="490"/>
      <c r="S167" s="490"/>
      <c r="T167" s="2"/>
      <c r="U167" s="488"/>
      <c r="V167" s="519"/>
      <c r="W167" s="478"/>
      <c r="X167" s="478"/>
      <c r="Y167" s="478"/>
      <c r="Z167" s="237"/>
      <c r="AA167" s="500"/>
      <c r="AB167" s="475">
        <f>AB168</f>
        <v>0</v>
      </c>
      <c r="AC167" s="478"/>
      <c r="AD167" s="478"/>
      <c r="AE167" s="478"/>
      <c r="AF167" s="237"/>
      <c r="AG167" s="500"/>
      <c r="AH167" s="475">
        <f>AH168</f>
        <v>0</v>
      </c>
      <c r="AI167" s="478"/>
      <c r="AJ167" s="478"/>
      <c r="AK167" s="478"/>
      <c r="AL167" s="237"/>
      <c r="AM167" s="500"/>
      <c r="AN167" s="475">
        <f>AN168</f>
        <v>0</v>
      </c>
      <c r="AO167" s="478"/>
      <c r="AP167" s="478"/>
      <c r="AQ167" s="478"/>
      <c r="AR167" s="237"/>
      <c r="AS167" s="500"/>
      <c r="AT167" s="475">
        <f>AT168</f>
        <v>0</v>
      </c>
      <c r="AU167" s="478"/>
      <c r="AV167" s="478"/>
      <c r="AW167" s="478"/>
      <c r="AX167" s="237"/>
      <c r="AY167" s="237"/>
      <c r="AZ167" s="500"/>
      <c r="BA167" s="475">
        <f>V167+AB167+AH167+AN167+AT167</f>
        <v>0</v>
      </c>
      <c r="BB167" s="478"/>
      <c r="BC167" s="478"/>
      <c r="BD167" s="478"/>
      <c r="BE167" s="237"/>
      <c r="BG167" s="216"/>
      <c r="BM167" s="216"/>
    </row>
    <row r="168" spans="3:66" ht="26.25" customHeight="1">
      <c r="C168" s="473" t="s">
        <v>384</v>
      </c>
      <c r="D168" s="479"/>
      <c r="E168" s="480"/>
      <c r="F168" s="480"/>
      <c r="G168" s="480"/>
      <c r="H168" s="237"/>
      <c r="I168" s="116"/>
      <c r="J168" s="491"/>
      <c r="K168" s="21"/>
      <c r="L168" s="21"/>
      <c r="M168" s="21"/>
      <c r="N168" s="2"/>
      <c r="O168" s="2"/>
      <c r="P168" s="491"/>
      <c r="Q168" s="21"/>
      <c r="R168" s="21"/>
      <c r="S168" s="21"/>
      <c r="T168" s="2"/>
      <c r="U168" s="488"/>
      <c r="V168" s="519"/>
      <c r="W168" s="480"/>
      <c r="X168" s="480"/>
      <c r="Y168" s="480"/>
      <c r="Z168" s="237"/>
      <c r="AA168" s="500"/>
      <c r="AB168" s="475"/>
      <c r="AC168" s="480"/>
      <c r="AD168" s="480"/>
      <c r="AE168" s="480"/>
      <c r="AF168" s="237"/>
      <c r="AG168" s="500"/>
      <c r="AH168" s="475"/>
      <c r="AI168" s="480"/>
      <c r="AJ168" s="480"/>
      <c r="AK168" s="480"/>
      <c r="AL168" s="237"/>
      <c r="AM168" s="500"/>
      <c r="AN168" s="475"/>
      <c r="AO168" s="480"/>
      <c r="AP168" s="480"/>
      <c r="AQ168" s="480"/>
      <c r="AR168" s="237"/>
      <c r="AS168" s="500"/>
      <c r="AT168" s="475"/>
      <c r="AU168" s="480"/>
      <c r="AV168" s="480"/>
      <c r="AW168" s="480"/>
      <c r="AX168" s="237"/>
      <c r="AY168" s="237"/>
      <c r="AZ168" s="500"/>
      <c r="BA168" s="475">
        <f t="shared" ref="BA168:BA174" si="506">V168+AB168+AH168+AN168+AT168</f>
        <v>0</v>
      </c>
      <c r="BB168" s="480"/>
      <c r="BC168" s="480"/>
      <c r="BD168" s="480"/>
      <c r="BE168" s="237"/>
      <c r="BG168" s="217"/>
      <c r="BM168" s="217"/>
    </row>
    <row r="169" spans="3:66" ht="26.25" customHeight="1">
      <c r="C169" s="472" t="s">
        <v>274</v>
      </c>
      <c r="D169" s="481"/>
      <c r="E169" s="482"/>
      <c r="F169" s="482"/>
      <c r="G169" s="481"/>
      <c r="H169" s="483"/>
      <c r="I169" s="492"/>
      <c r="J169" s="493"/>
      <c r="K169" s="494"/>
      <c r="L169" s="494"/>
      <c r="M169" s="493"/>
      <c r="N169" s="495"/>
      <c r="O169" s="2"/>
      <c r="P169" s="493"/>
      <c r="Q169" s="494"/>
      <c r="R169" s="494"/>
      <c r="S169" s="493"/>
      <c r="T169" s="495"/>
      <c r="U169" s="488"/>
      <c r="V169" s="519"/>
      <c r="W169" s="482"/>
      <c r="X169" s="482"/>
      <c r="Y169" s="481"/>
      <c r="Z169" s="483"/>
      <c r="AA169" s="500"/>
      <c r="AB169" s="475">
        <f>SUM(AB170:AB174)</f>
        <v>76309.190999999992</v>
      </c>
      <c r="AC169" s="482"/>
      <c r="AD169" s="482"/>
      <c r="AE169" s="481"/>
      <c r="AF169" s="483"/>
      <c r="AG169" s="500"/>
      <c r="AH169" s="475">
        <f>SUM(AH170:AH174)</f>
        <v>38249.745999999999</v>
      </c>
      <c r="AI169" s="482"/>
      <c r="AJ169" s="482"/>
      <c r="AK169" s="481"/>
      <c r="AL169" s="483"/>
      <c r="AM169" s="500"/>
      <c r="AN169" s="475">
        <f>SUM(AN170:AN174)</f>
        <v>18967.977000000003</v>
      </c>
      <c r="AO169" s="482"/>
      <c r="AP169" s="482"/>
      <c r="AQ169" s="481"/>
      <c r="AR169" s="483"/>
      <c r="AS169" s="500"/>
      <c r="AT169" s="475">
        <f>SUM(AT170:AT174)</f>
        <v>4808.4780700000001</v>
      </c>
      <c r="AU169" s="482"/>
      <c r="AV169" s="482"/>
      <c r="AW169" s="481"/>
      <c r="AX169" s="483"/>
      <c r="AY169" s="483"/>
      <c r="AZ169" s="500"/>
      <c r="BA169" s="475">
        <f t="shared" si="506"/>
        <v>138335.39207</v>
      </c>
      <c r="BB169" s="482"/>
      <c r="BC169" s="482"/>
      <c r="BD169" s="481"/>
      <c r="BE169" s="483"/>
      <c r="BG169" s="201"/>
      <c r="BH169" s="11"/>
      <c r="BM169" s="201"/>
      <c r="BN169" s="11"/>
    </row>
    <row r="170" spans="3:66" ht="26.25" customHeight="1">
      <c r="C170" s="473" t="s">
        <v>385</v>
      </c>
      <c r="D170" s="482"/>
      <c r="E170" s="480"/>
      <c r="F170" s="480"/>
      <c r="G170" s="482"/>
      <c r="H170" s="482"/>
      <c r="I170" s="116"/>
      <c r="J170" s="494"/>
      <c r="K170" s="21"/>
      <c r="L170" s="21"/>
      <c r="M170" s="494"/>
      <c r="N170" s="494"/>
      <c r="O170" s="2"/>
      <c r="P170" s="494"/>
      <c r="Q170" s="21"/>
      <c r="R170" s="21"/>
      <c r="S170" s="494"/>
      <c r="T170" s="494"/>
      <c r="U170" s="488"/>
      <c r="V170" s="519"/>
      <c r="W170" s="480"/>
      <c r="X170" s="480"/>
      <c r="Y170" s="482"/>
      <c r="Z170" s="482"/>
      <c r="AA170" s="500"/>
      <c r="AB170" s="475"/>
      <c r="AC170" s="480"/>
      <c r="AD170" s="480"/>
      <c r="AE170" s="482"/>
      <c r="AF170" s="482"/>
      <c r="AG170" s="500"/>
      <c r="AH170" s="475"/>
      <c r="AI170" s="480"/>
      <c r="AJ170" s="480"/>
      <c r="AK170" s="482"/>
      <c r="AL170" s="482"/>
      <c r="AM170" s="500"/>
      <c r="AN170" s="475">
        <f>18860526/1000</f>
        <v>18860.526000000002</v>
      </c>
      <c r="AO170" s="480"/>
      <c r="AP170" s="480"/>
      <c r="AQ170" s="482"/>
      <c r="AR170" s="482"/>
      <c r="AS170" s="500"/>
      <c r="AT170" s="475">
        <f>4517157.78/1000</f>
        <v>4517.1577800000005</v>
      </c>
      <c r="AU170" s="480"/>
      <c r="AV170" s="480"/>
      <c r="AW170" s="482"/>
      <c r="AX170" s="482"/>
      <c r="AY170" s="482"/>
      <c r="AZ170" s="500"/>
      <c r="BA170" s="475">
        <f t="shared" si="506"/>
        <v>23377.683780000003</v>
      </c>
      <c r="BB170" s="480"/>
      <c r="BC170" s="480"/>
      <c r="BD170" s="482"/>
      <c r="BE170" s="482"/>
      <c r="BG170" s="227"/>
      <c r="BH170" s="227"/>
      <c r="BM170" s="227"/>
      <c r="BN170" s="227"/>
    </row>
    <row r="171" spans="3:66" ht="26.25" customHeight="1">
      <c r="C171" s="473" t="s">
        <v>386</v>
      </c>
      <c r="D171" s="484"/>
      <c r="E171" s="482"/>
      <c r="F171" s="482"/>
      <c r="G171" s="482"/>
      <c r="H171" s="482"/>
      <c r="I171" s="496"/>
      <c r="J171" s="497"/>
      <c r="K171" s="494"/>
      <c r="L171" s="494"/>
      <c r="M171" s="494"/>
      <c r="N171" s="494"/>
      <c r="O171" s="2"/>
      <c r="P171" s="497"/>
      <c r="Q171" s="494"/>
      <c r="R171" s="494"/>
      <c r="S171" s="494"/>
      <c r="T171" s="494"/>
      <c r="U171" s="488"/>
      <c r="V171" s="475"/>
      <c r="W171" s="482"/>
      <c r="X171" s="482"/>
      <c r="Y171" s="482"/>
      <c r="Z171" s="482"/>
      <c r="AA171" s="500"/>
      <c r="AB171" s="475">
        <f>(76162543+342)/1000</f>
        <v>76162.884999999995</v>
      </c>
      <c r="AC171" s="482"/>
      <c r="AD171" s="482"/>
      <c r="AE171" s="482"/>
      <c r="AF171" s="482"/>
      <c r="AG171" s="500"/>
      <c r="AH171" s="475"/>
      <c r="AI171" s="482"/>
      <c r="AJ171" s="482"/>
      <c r="AK171" s="482"/>
      <c r="AL171" s="482"/>
      <c r="AM171" s="500"/>
      <c r="AN171" s="475"/>
      <c r="AO171" s="482"/>
      <c r="AP171" s="482"/>
      <c r="AQ171" s="482"/>
      <c r="AR171" s="482"/>
      <c r="AS171" s="500"/>
      <c r="AT171" s="475"/>
      <c r="AU171" s="482"/>
      <c r="AV171" s="482"/>
      <c r="AW171" s="482"/>
      <c r="AX171" s="482"/>
      <c r="AY171" s="482"/>
      <c r="AZ171" s="500"/>
      <c r="BA171" s="475">
        <f t="shared" si="506"/>
        <v>76162.884999999995</v>
      </c>
      <c r="BB171" s="482"/>
      <c r="BC171" s="482"/>
      <c r="BD171" s="482"/>
      <c r="BE171" s="482"/>
      <c r="BG171" s="228"/>
      <c r="BH171" s="227"/>
      <c r="BM171" s="228"/>
      <c r="BN171" s="227"/>
    </row>
    <row r="172" spans="3:66" ht="26.25" customHeight="1">
      <c r="C172" s="473" t="s">
        <v>387</v>
      </c>
      <c r="D172" s="480"/>
      <c r="E172" s="480"/>
      <c r="F172" s="480"/>
      <c r="G172" s="480"/>
      <c r="H172" s="237"/>
      <c r="I172" s="116"/>
      <c r="J172" s="21"/>
      <c r="K172" s="21"/>
      <c r="L172" s="21"/>
      <c r="M172" s="21"/>
      <c r="N172" s="2"/>
      <c r="O172" s="2"/>
      <c r="P172" s="21"/>
      <c r="Q172" s="21"/>
      <c r="R172" s="21"/>
      <c r="S172" s="21"/>
      <c r="T172" s="2"/>
      <c r="U172" s="488"/>
      <c r="V172" s="475"/>
      <c r="W172" s="480"/>
      <c r="X172" s="480"/>
      <c r="Y172" s="480"/>
      <c r="Z172" s="237"/>
      <c r="AA172" s="500"/>
      <c r="AB172" s="475">
        <f>53571/1000</f>
        <v>53.570999999999998</v>
      </c>
      <c r="AC172" s="480"/>
      <c r="AD172" s="480"/>
      <c r="AE172" s="480"/>
      <c r="AF172" s="237"/>
      <c r="AG172" s="500"/>
      <c r="AH172" s="475"/>
      <c r="AI172" s="480"/>
      <c r="AJ172" s="480"/>
      <c r="AK172" s="480"/>
      <c r="AL172" s="237"/>
      <c r="AM172" s="500"/>
      <c r="AN172" s="475">
        <f>103554/1000</f>
        <v>103.554</v>
      </c>
      <c r="AO172" s="480"/>
      <c r="AP172" s="480"/>
      <c r="AQ172" s="480"/>
      <c r="AR172" s="237"/>
      <c r="AS172" s="500"/>
      <c r="AT172" s="475">
        <f>(107142.86+178571.43)/1000</f>
        <v>285.71429000000001</v>
      </c>
      <c r="AU172" s="480"/>
      <c r="AV172" s="480"/>
      <c r="AW172" s="480"/>
      <c r="AX172" s="237"/>
      <c r="AY172" s="237"/>
      <c r="AZ172" s="500"/>
      <c r="BA172" s="475">
        <f t="shared" si="506"/>
        <v>442.83929000000001</v>
      </c>
      <c r="BB172" s="480"/>
      <c r="BC172" s="480"/>
      <c r="BD172" s="480"/>
      <c r="BE172" s="237"/>
    </row>
    <row r="173" spans="3:66" ht="26.25" customHeight="1">
      <c r="C173" s="473" t="s">
        <v>388</v>
      </c>
      <c r="D173" s="485"/>
      <c r="E173" s="485"/>
      <c r="F173" s="485"/>
      <c r="G173" s="485"/>
      <c r="H173" s="486"/>
      <c r="I173" s="498"/>
      <c r="J173" s="499"/>
      <c r="K173" s="499"/>
      <c r="L173" s="499"/>
      <c r="M173" s="499"/>
      <c r="N173" s="167"/>
      <c r="O173" s="2"/>
      <c r="P173" s="499"/>
      <c r="Q173" s="499"/>
      <c r="R173" s="499"/>
      <c r="S173" s="499"/>
      <c r="T173" s="167"/>
      <c r="U173" s="488"/>
      <c r="V173" s="475"/>
      <c r="W173" s="485"/>
      <c r="X173" s="485"/>
      <c r="Y173" s="485"/>
      <c r="Z173" s="486"/>
      <c r="AA173" s="500"/>
      <c r="AB173" s="475">
        <f>92735/1000</f>
        <v>92.734999999999999</v>
      </c>
      <c r="AC173" s="485"/>
      <c r="AD173" s="485"/>
      <c r="AE173" s="485"/>
      <c r="AF173" s="486"/>
      <c r="AG173" s="500"/>
      <c r="AH173" s="475"/>
      <c r="AI173" s="485"/>
      <c r="AJ173" s="485"/>
      <c r="AK173" s="485"/>
      <c r="AL173" s="486"/>
      <c r="AM173" s="500"/>
      <c r="AN173" s="475">
        <f>3897/1000</f>
        <v>3.8969999999999998</v>
      </c>
      <c r="AO173" s="485"/>
      <c r="AP173" s="485"/>
      <c r="AQ173" s="485"/>
      <c r="AR173" s="486"/>
      <c r="AS173" s="500"/>
      <c r="AT173" s="475">
        <f>(734+120+4752)/1000</f>
        <v>5.6059999999999999</v>
      </c>
      <c r="AU173" s="485"/>
      <c r="AV173" s="485"/>
      <c r="AW173" s="485"/>
      <c r="AX173" s="486"/>
      <c r="AY173" s="486"/>
      <c r="AZ173" s="500"/>
      <c r="BA173" s="475">
        <f t="shared" si="506"/>
        <v>102.238</v>
      </c>
      <c r="BB173" s="485"/>
      <c r="BC173" s="485"/>
      <c r="BD173" s="485"/>
      <c r="BE173" s="486"/>
      <c r="BG173" s="221"/>
      <c r="BH173" s="222"/>
      <c r="BM173" s="221"/>
      <c r="BN173" s="222"/>
    </row>
    <row r="174" spans="3:66" ht="26.25" customHeight="1">
      <c r="C174" s="473" t="s">
        <v>389</v>
      </c>
      <c r="D174" s="480"/>
      <c r="E174" s="480"/>
      <c r="F174" s="480"/>
      <c r="G174" s="480"/>
      <c r="H174" s="237"/>
      <c r="I174" s="116"/>
      <c r="J174" s="21"/>
      <c r="K174" s="21"/>
      <c r="L174" s="21"/>
      <c r="M174" s="21"/>
      <c r="N174" s="2"/>
      <c r="O174" s="2"/>
      <c r="P174" s="21"/>
      <c r="Q174" s="21"/>
      <c r="R174" s="21"/>
      <c r="S174" s="21"/>
      <c r="T174" s="2"/>
      <c r="U174" s="488"/>
      <c r="V174" s="475"/>
      <c r="W174" s="480"/>
      <c r="X174" s="480"/>
      <c r="Y174" s="480"/>
      <c r="Z174" s="237"/>
      <c r="AA174" s="500"/>
      <c r="AB174" s="475"/>
      <c r="AC174" s="480"/>
      <c r="AD174" s="480"/>
      <c r="AE174" s="480"/>
      <c r="AF174" s="237"/>
      <c r="AG174" s="500"/>
      <c r="AH174" s="475">
        <f>(35714+38214032)/1000</f>
        <v>38249.745999999999</v>
      </c>
      <c r="AI174" s="480"/>
      <c r="AJ174" s="480"/>
      <c r="AK174" s="480"/>
      <c r="AL174" s="237"/>
      <c r="AM174" s="500"/>
      <c r="AN174" s="475"/>
      <c r="AO174" s="480"/>
      <c r="AP174" s="480"/>
      <c r="AQ174" s="480"/>
      <c r="AR174" s="237"/>
      <c r="AS174" s="500"/>
      <c r="AT174" s="475"/>
      <c r="AU174" s="480"/>
      <c r="AV174" s="480"/>
      <c r="AW174" s="480"/>
      <c r="AX174" s="237"/>
      <c r="AY174" s="237"/>
      <c r="AZ174" s="500"/>
      <c r="BA174" s="475">
        <f t="shared" si="506"/>
        <v>38249.745999999999</v>
      </c>
      <c r="BB174" s="480"/>
      <c r="BC174" s="480"/>
      <c r="BD174" s="480"/>
      <c r="BE174" s="237"/>
    </row>
    <row r="175" spans="3:66">
      <c r="C175" s="383"/>
      <c r="F175" s="82"/>
      <c r="L175" s="82"/>
      <c r="R175" s="82"/>
      <c r="X175" s="82"/>
      <c r="AD175" s="82"/>
      <c r="AJ175" s="82"/>
      <c r="AP175" s="82"/>
      <c r="AV175" s="82"/>
      <c r="BC175" s="82"/>
    </row>
    <row r="176" spans="3:66">
      <c r="C176" s="383"/>
      <c r="G176" s="82"/>
      <c r="M176" s="82"/>
      <c r="S176" s="82"/>
      <c r="Y176" s="82"/>
      <c r="AE176" s="82"/>
      <c r="AK176" s="82"/>
      <c r="AQ176" s="82"/>
      <c r="AW176" s="82"/>
      <c r="BD176" s="82"/>
    </row>
    <row r="177" spans="3:65" hidden="1">
      <c r="C177" s="383"/>
      <c r="V177" s="501"/>
      <c r="W177" s="501">
        <f t="shared" ref="W177:W180" si="507">X177+Y177</f>
        <v>0.24379012623534219</v>
      </c>
      <c r="X177" s="502">
        <v>9.8541297222464616E-2</v>
      </c>
      <c r="Y177" s="502">
        <v>0.14524882901287758</v>
      </c>
      <c r="Z177" s="502">
        <v>0.72351416496013821</v>
      </c>
      <c r="AA177" s="502">
        <v>3.2695708804519573E-2</v>
      </c>
      <c r="AB177" s="502"/>
    </row>
    <row r="178" spans="3:65" hidden="1">
      <c r="V178" s="503"/>
      <c r="W178" s="503">
        <f t="shared" si="507"/>
        <v>0.28684649034106707</v>
      </c>
      <c r="X178" s="504">
        <v>0.15263551896283936</v>
      </c>
      <c r="Y178" s="504">
        <v>0.13421097137822771</v>
      </c>
      <c r="Z178" s="504">
        <v>0.70171947138362623</v>
      </c>
      <c r="AA178" s="504">
        <v>1.1434038275306684E-2</v>
      </c>
      <c r="AB178" s="504"/>
    </row>
    <row r="179" spans="3:65" hidden="1">
      <c r="V179" s="505"/>
      <c r="W179" s="505">
        <f t="shared" si="507"/>
        <v>0.78991731804980658</v>
      </c>
      <c r="X179" s="506">
        <v>0.44803406720001848</v>
      </c>
      <c r="Y179" s="506">
        <v>0.3418832508497881</v>
      </c>
      <c r="Z179" s="506">
        <v>0.20610779465005158</v>
      </c>
      <c r="AA179" s="507">
        <v>3.974887300141886E-3</v>
      </c>
      <c r="AB179" s="507"/>
    </row>
    <row r="180" spans="3:65" hidden="1">
      <c r="V180" s="508"/>
      <c r="W180" s="508">
        <f t="shared" si="507"/>
        <v>1</v>
      </c>
      <c r="X180" s="509">
        <v>0.45523604400721807</v>
      </c>
      <c r="Y180" s="509">
        <v>0.54476395599278193</v>
      </c>
      <c r="Z180" s="510">
        <v>0</v>
      </c>
      <c r="AA180" s="510">
        <v>0</v>
      </c>
      <c r="AB180" s="510"/>
    </row>
    <row r="184" spans="3:65">
      <c r="D184" s="82"/>
      <c r="J184" s="82"/>
      <c r="P184" s="82"/>
      <c r="V184" s="82"/>
      <c r="AB184" s="82"/>
      <c r="AH184" s="82"/>
      <c r="AN184" s="82"/>
      <c r="AT184" s="82"/>
      <c r="BA184" s="82"/>
      <c r="BG184" s="82"/>
      <c r="BM184" s="82"/>
    </row>
    <row r="185" spans="3:65">
      <c r="V185" s="82"/>
    </row>
    <row r="186" spans="3:65">
      <c r="V186" s="82"/>
    </row>
    <row r="187" spans="3:65">
      <c r="V187" s="82"/>
    </row>
    <row r="188" spans="3:65">
      <c r="V188" s="82"/>
    </row>
    <row r="190" spans="3:65">
      <c r="V190" s="82"/>
    </row>
    <row r="191" spans="3:65">
      <c r="V191" s="82"/>
    </row>
  </sheetData>
  <mergeCells count="17">
    <mergeCell ref="P3:T3"/>
    <mergeCell ref="AT3:AY3"/>
    <mergeCell ref="BM3:BQ3"/>
    <mergeCell ref="C134:C138"/>
    <mergeCell ref="B134:B138"/>
    <mergeCell ref="C139:C143"/>
    <mergeCell ref="B139:B143"/>
    <mergeCell ref="BG3:BK3"/>
    <mergeCell ref="BA3:BE3"/>
    <mergeCell ref="AN3:AR3"/>
    <mergeCell ref="B3:B4"/>
    <mergeCell ref="C3:C4"/>
    <mergeCell ref="D3:H3"/>
    <mergeCell ref="J3:N3"/>
    <mergeCell ref="V3:Z3"/>
    <mergeCell ref="AB3:AF3"/>
    <mergeCell ref="AH3:AL3"/>
  </mergeCells>
  <pageMargins left="0.19685039370078741" right="0.19685039370078741" top="0.39370078740157483" bottom="0.19685039370078741" header="0.31496062992125984" footer="0.31496062992125984"/>
  <pageSetup paperSize="9" scale="58" orientation="portrait" r:id="rId1"/>
  <colBreaks count="1" manualBreakCount="1">
    <brk id="52" min="1" max="14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DO196"/>
  <sheetViews>
    <sheetView showZeros="0" zoomScale="60" zoomScaleNormal="60" workbookViewId="0">
      <pane xSplit="3" ySplit="11" topLeftCell="AO42" activePane="bottomRight" state="frozen"/>
      <selection pane="topRight" activeCell="D1" sqref="D1"/>
      <selection pane="bottomLeft" activeCell="A12" sqref="A12"/>
      <selection pane="bottomRight" activeCell="DN54" sqref="DN54"/>
    </sheetView>
  </sheetViews>
  <sheetFormatPr defaultColWidth="9.140625" defaultRowHeight="20.25" outlineLevelRow="1"/>
  <cols>
    <col min="1" max="1" width="8.28515625" style="757" customWidth="1"/>
    <col min="2" max="2" width="60.42578125" style="662" customWidth="1"/>
    <col min="3" max="3" width="0.42578125" style="662" customWidth="1"/>
    <col min="4" max="4" width="17.140625" style="756" customWidth="1"/>
    <col min="5" max="5" width="15.28515625" style="756" hidden="1" customWidth="1"/>
    <col min="6" max="6" width="15.140625" style="756" customWidth="1"/>
    <col min="7" max="7" width="15.5703125" style="756" customWidth="1"/>
    <col min="8" max="8" width="15" style="756" customWidth="1"/>
    <col min="9" max="9" width="12.42578125" style="662" customWidth="1"/>
    <col min="10" max="10" width="13.5703125" style="662" hidden="1" customWidth="1"/>
    <col min="11" max="11" width="45" style="662" hidden="1" customWidth="1"/>
    <col min="12" max="12" width="6.5703125" style="662" customWidth="1"/>
    <col min="13" max="13" width="18.85546875" style="756" customWidth="1"/>
    <col min="14" max="14" width="16" style="756" hidden="1" customWidth="1"/>
    <col min="15" max="15" width="19.5703125" style="756" customWidth="1"/>
    <col min="16" max="16" width="19.140625" style="756" customWidth="1"/>
    <col min="17" max="17" width="18.140625" style="756" customWidth="1"/>
    <col min="18" max="18" width="15.28515625" style="662" customWidth="1"/>
    <col min="19" max="19" width="15.28515625" style="662" hidden="1" customWidth="1"/>
    <col min="20" max="20" width="6.5703125" style="662" customWidth="1"/>
    <col min="21" max="21" width="18.85546875" style="756" customWidth="1"/>
    <col min="22" max="22" width="16.7109375" style="756" hidden="1" customWidth="1"/>
    <col min="23" max="23" width="19.5703125" style="756" customWidth="1"/>
    <col min="24" max="24" width="19.140625" style="756" customWidth="1"/>
    <col min="25" max="25" width="18.140625" style="756" customWidth="1"/>
    <col min="26" max="26" width="15.28515625" style="662" customWidth="1"/>
    <col min="27" max="27" width="15.28515625" style="662" hidden="1" customWidth="1"/>
    <col min="28" max="28" width="6.5703125" style="662" customWidth="1"/>
    <col min="29" max="29" width="18.85546875" style="756" customWidth="1"/>
    <col min="30" max="30" width="18.42578125" style="756" hidden="1" customWidth="1"/>
    <col min="31" max="31" width="19.5703125" style="756" customWidth="1"/>
    <col min="32" max="32" width="19.140625" style="756" customWidth="1"/>
    <col min="33" max="33" width="18.140625" style="756" customWidth="1"/>
    <col min="34" max="34" width="15.28515625" style="662" customWidth="1"/>
    <col min="35" max="35" width="15.28515625" style="662" hidden="1" customWidth="1"/>
    <col min="36" max="36" width="6.5703125" style="662" customWidth="1"/>
    <col min="37" max="37" width="18.85546875" style="756" customWidth="1"/>
    <col min="38" max="38" width="18.42578125" style="756" hidden="1" customWidth="1"/>
    <col min="39" max="39" width="19.5703125" style="756" customWidth="1"/>
    <col min="40" max="40" width="19.140625" style="756" customWidth="1"/>
    <col min="41" max="41" width="18.140625" style="756" customWidth="1"/>
    <col min="42" max="42" width="15.28515625" style="662" customWidth="1"/>
    <col min="43" max="43" width="15.28515625" style="662" hidden="1" customWidth="1"/>
    <col min="44" max="44" width="6.5703125" style="662" customWidth="1"/>
    <col min="45" max="45" width="23.28515625" style="756" customWidth="1"/>
    <col min="46" max="46" width="4.85546875" style="756" hidden="1" customWidth="1"/>
    <col min="47" max="47" width="19.5703125" style="756" customWidth="1"/>
    <col min="48" max="48" width="19.140625" style="756" customWidth="1"/>
    <col min="49" max="49" width="18.140625" style="756" customWidth="1"/>
    <col min="50" max="50" width="15.28515625" style="662" customWidth="1"/>
    <col min="51" max="51" width="15.28515625" style="662" hidden="1" customWidth="1"/>
    <col min="52" max="52" width="6.5703125" style="662" customWidth="1"/>
    <col min="53" max="53" width="18.85546875" style="756" hidden="1" customWidth="1"/>
    <col min="54" max="54" width="18.42578125" style="756" hidden="1" customWidth="1"/>
    <col min="55" max="55" width="19.5703125" style="756" hidden="1" customWidth="1"/>
    <col min="56" max="56" width="19.140625" style="756" hidden="1" customWidth="1"/>
    <col min="57" max="57" width="18.140625" style="756" hidden="1" customWidth="1"/>
    <col min="58" max="59" width="15.28515625" style="662" hidden="1" customWidth="1"/>
    <col min="60" max="60" width="6.5703125" style="662" hidden="1" customWidth="1"/>
    <col min="61" max="61" width="18.85546875" style="756" hidden="1" customWidth="1"/>
    <col min="62" max="62" width="18.42578125" style="756" hidden="1" customWidth="1"/>
    <col min="63" max="63" width="19.5703125" style="756" hidden="1" customWidth="1"/>
    <col min="64" max="64" width="19.140625" style="756" hidden="1" customWidth="1"/>
    <col min="65" max="65" width="18.140625" style="756" hidden="1" customWidth="1"/>
    <col min="66" max="67" width="15.28515625" style="662" hidden="1" customWidth="1"/>
    <col min="68" max="68" width="6.5703125" style="662" hidden="1" customWidth="1"/>
    <col min="69" max="69" width="18.85546875" style="756" hidden="1" customWidth="1"/>
    <col min="70" max="70" width="18.42578125" style="756" hidden="1" customWidth="1"/>
    <col min="71" max="71" width="19.5703125" style="756" hidden="1" customWidth="1"/>
    <col min="72" max="72" width="19.140625" style="756" hidden="1" customWidth="1"/>
    <col min="73" max="73" width="18.140625" style="756" hidden="1" customWidth="1"/>
    <col min="74" max="75" width="15.28515625" style="662" hidden="1" customWidth="1"/>
    <col min="76" max="76" width="6.5703125" style="662" hidden="1" customWidth="1"/>
    <col min="77" max="77" width="18.85546875" style="756" hidden="1" customWidth="1"/>
    <col min="78" max="78" width="18.42578125" style="756" hidden="1" customWidth="1"/>
    <col min="79" max="79" width="19.5703125" style="756" hidden="1" customWidth="1"/>
    <col min="80" max="80" width="19.140625" style="756" hidden="1" customWidth="1"/>
    <col min="81" max="81" width="18.140625" style="756" hidden="1" customWidth="1"/>
    <col min="82" max="83" width="15.28515625" style="662" hidden="1" customWidth="1"/>
    <col min="84" max="84" width="6.5703125" style="662" hidden="1" customWidth="1"/>
    <col min="85" max="85" width="18.85546875" style="756" hidden="1" customWidth="1"/>
    <col min="86" max="86" width="18.42578125" style="756" hidden="1" customWidth="1"/>
    <col min="87" max="87" width="19.5703125" style="756" hidden="1" customWidth="1"/>
    <col min="88" max="88" width="19.140625" style="756" hidden="1" customWidth="1"/>
    <col min="89" max="89" width="18.140625" style="756" hidden="1" customWidth="1"/>
    <col min="90" max="91" width="15.28515625" style="662" hidden="1" customWidth="1"/>
    <col min="92" max="92" width="6.5703125" style="662" hidden="1" customWidth="1"/>
    <col min="93" max="93" width="18.85546875" style="756" hidden="1" customWidth="1"/>
    <col min="94" max="94" width="18.42578125" style="756" hidden="1" customWidth="1"/>
    <col min="95" max="95" width="19.5703125" style="756" hidden="1" customWidth="1"/>
    <col min="96" max="96" width="19.140625" style="756" hidden="1" customWidth="1"/>
    <col min="97" max="97" width="18.140625" style="756" hidden="1" customWidth="1"/>
    <col min="98" max="99" width="15.28515625" style="662" hidden="1" customWidth="1"/>
    <col min="100" max="100" width="6.5703125" style="662" hidden="1" customWidth="1"/>
    <col min="101" max="101" width="18.85546875" style="756" hidden="1" customWidth="1"/>
    <col min="102" max="102" width="18.42578125" style="756" hidden="1" customWidth="1"/>
    <col min="103" max="103" width="18.85546875" style="756" hidden="1" customWidth="1"/>
    <col min="104" max="104" width="19.140625" style="756" hidden="1" customWidth="1"/>
    <col min="105" max="105" width="18.140625" style="756" hidden="1" customWidth="1"/>
    <col min="106" max="107" width="15.28515625" style="662" hidden="1" customWidth="1"/>
    <col min="108" max="108" width="14.140625" style="662" customWidth="1"/>
    <col min="109" max="109" width="14.7109375" style="662" customWidth="1"/>
    <col min="110" max="114" width="11" style="662" customWidth="1"/>
    <col min="115" max="116" width="9.140625" style="662"/>
    <col min="117" max="117" width="19.42578125" style="662" customWidth="1"/>
    <col min="118" max="118" width="21.28515625" style="662" customWidth="1"/>
    <col min="119" max="16384" width="9.140625" style="662"/>
  </cols>
  <sheetData>
    <row r="1" spans="1:114" s="624" customFormat="1" ht="24.75" customHeight="1">
      <c r="A1" s="622" t="s">
        <v>404</v>
      </c>
      <c r="B1" s="622"/>
      <c r="C1" s="622"/>
      <c r="D1" s="623"/>
      <c r="E1" s="623"/>
      <c r="F1" s="200"/>
      <c r="G1" s="200"/>
      <c r="H1" s="200"/>
      <c r="I1" s="623"/>
      <c r="J1" s="623"/>
      <c r="K1" s="623"/>
      <c r="M1" s="625">
        <f>369360764.44/1000</f>
        <v>369360.76444</v>
      </c>
      <c r="N1" s="625"/>
      <c r="O1" s="626">
        <f>26061570.65/1000</f>
        <v>26061.570649999998</v>
      </c>
      <c r="P1" s="626"/>
      <c r="Q1" s="626"/>
      <c r="R1" s="625"/>
      <c r="S1" s="625"/>
      <c r="T1" s="627"/>
      <c r="U1" s="628">
        <f>326250411.21/1000</f>
        <v>326250.41120999999</v>
      </c>
      <c r="V1" s="625"/>
      <c r="W1" s="626">
        <f>86932417.19/1000</f>
        <v>86932.417189999993</v>
      </c>
      <c r="X1" s="626"/>
      <c r="Y1" s="626"/>
      <c r="Z1" s="625"/>
      <c r="AA1" s="625"/>
      <c r="AB1" s="627"/>
      <c r="AC1" s="625">
        <f>336298827.1/1000</f>
        <v>336298.82709999999</v>
      </c>
      <c r="AD1" s="625"/>
      <c r="AE1" s="626">
        <f>50512898.08/1000</f>
        <v>50512.898079999999</v>
      </c>
      <c r="AF1" s="626"/>
      <c r="AG1" s="626"/>
      <c r="AH1" s="625"/>
      <c r="AI1" s="625"/>
      <c r="AK1" s="628">
        <f>360173515.61/1000</f>
        <v>360173.51561</v>
      </c>
      <c r="AL1" s="628"/>
      <c r="AM1" s="628">
        <f>30019278.7857143/1000</f>
        <v>30019.278785714298</v>
      </c>
      <c r="AN1" s="629"/>
      <c r="AO1" s="629"/>
      <c r="AP1" s="628"/>
      <c r="AQ1" s="628"/>
      <c r="AR1" s="630"/>
      <c r="AS1" s="631">
        <f>281123959.105714/1000</f>
        <v>281123.95910571405</v>
      </c>
      <c r="AT1" s="628"/>
      <c r="AU1" s="629">
        <f>23707669.33/1000</f>
        <v>23707.669329999997</v>
      </c>
      <c r="AV1" s="200"/>
      <c r="AW1" s="200"/>
      <c r="AX1" s="632"/>
      <c r="AY1" s="623"/>
      <c r="BA1" s="623"/>
      <c r="BB1" s="623"/>
      <c r="BC1" s="200"/>
      <c r="BD1" s="200"/>
      <c r="BE1" s="200"/>
      <c r="BF1" s="623"/>
      <c r="BG1" s="623"/>
      <c r="BI1" s="623"/>
      <c r="BJ1" s="623"/>
      <c r="BK1" s="200"/>
      <c r="BL1" s="200"/>
      <c r="BM1" s="200"/>
      <c r="BN1" s="623"/>
      <c r="BO1" s="623"/>
      <c r="BQ1" s="623"/>
      <c r="BR1" s="623"/>
      <c r="BS1" s="200"/>
      <c r="BT1" s="200"/>
      <c r="BU1" s="200"/>
      <c r="BV1" s="623"/>
      <c r="BW1" s="623"/>
      <c r="BY1" s="623"/>
      <c r="BZ1" s="623"/>
      <c r="CA1" s="200"/>
      <c r="CB1" s="200"/>
      <c r="CC1" s="200"/>
      <c r="CD1" s="623"/>
      <c r="CE1" s="623"/>
      <c r="CG1" s="623"/>
      <c r="CH1" s="623"/>
      <c r="CI1" s="200"/>
      <c r="CJ1" s="200"/>
      <c r="CK1" s="200"/>
      <c r="CL1" s="623"/>
      <c r="CM1" s="623"/>
      <c r="CO1" s="623"/>
      <c r="CP1" s="623"/>
      <c r="CQ1" s="200"/>
      <c r="CR1" s="200"/>
      <c r="CS1" s="200"/>
      <c r="CT1" s="623"/>
      <c r="CU1" s="623"/>
      <c r="CW1" s="623"/>
      <c r="CX1" s="623"/>
      <c r="CY1" s="200"/>
      <c r="CZ1" s="200"/>
      <c r="DA1" s="200"/>
      <c r="DB1" s="623"/>
      <c r="DC1" s="623"/>
    </row>
    <row r="2" spans="1:114" s="624" customFormat="1" ht="19.5" customHeight="1">
      <c r="A2" s="633"/>
      <c r="B2" s="634" t="s">
        <v>405</v>
      </c>
      <c r="C2" s="634"/>
      <c r="D2" s="170"/>
      <c r="E2" s="170"/>
      <c r="F2" s="198"/>
      <c r="G2" s="198"/>
      <c r="H2" s="198"/>
      <c r="I2" s="198"/>
      <c r="J2" s="198"/>
      <c r="K2" s="206"/>
      <c r="L2" s="206"/>
      <c r="M2" s="635">
        <f>M1-M11</f>
        <v>29.446829999971669</v>
      </c>
      <c r="N2" s="636"/>
      <c r="O2" s="636">
        <f>O1-M100</f>
        <v>3230.1859999999979</v>
      </c>
      <c r="P2" s="637"/>
      <c r="Q2" s="636"/>
      <c r="R2" s="636"/>
      <c r="S2" s="638"/>
      <c r="T2" s="638"/>
      <c r="U2" s="636">
        <f>U1-U11</f>
        <v>0</v>
      </c>
      <c r="V2" s="636"/>
      <c r="W2" s="639">
        <f>W1-U100-U174</f>
        <v>0</v>
      </c>
      <c r="X2" s="637"/>
      <c r="Y2" s="636"/>
      <c r="Z2" s="636"/>
      <c r="AA2" s="638"/>
      <c r="AB2" s="638"/>
      <c r="AC2" s="636">
        <f>AC1-AC11</f>
        <v>0</v>
      </c>
      <c r="AD2" s="636"/>
      <c r="AE2" s="636">
        <f>AE1-AC100-AC174</f>
        <v>0</v>
      </c>
      <c r="AF2" s="636"/>
      <c r="AG2" s="636"/>
      <c r="AH2" s="636"/>
      <c r="AI2" s="638"/>
      <c r="AJ2" s="206"/>
      <c r="AK2" s="635">
        <f>AK1-AK11</f>
        <v>0</v>
      </c>
      <c r="AL2" s="636"/>
      <c r="AM2" s="636">
        <f>AM1-AK100-AK174</f>
        <v>-1.2342857080511749E-3</v>
      </c>
      <c r="AN2" s="198"/>
      <c r="AO2" s="198"/>
      <c r="AP2" s="198"/>
      <c r="AQ2" s="206"/>
      <c r="AR2" s="206"/>
      <c r="AS2" s="635">
        <f>AS1-AS11</f>
        <v>108.53999999986263</v>
      </c>
      <c r="AT2" s="636"/>
      <c r="AU2" s="636">
        <f>AU1-AS100-AS174</f>
        <v>-108.5400000000036</v>
      </c>
      <c r="AV2" s="198"/>
      <c r="AW2" s="198"/>
      <c r="AX2" s="198"/>
      <c r="AY2" s="206"/>
      <c r="AZ2" s="206"/>
      <c r="BA2" s="636">
        <f>BA1-BA11</f>
        <v>0</v>
      </c>
      <c r="BB2" s="636"/>
      <c r="BC2" s="636">
        <f>BA99-BC1</f>
        <v>0</v>
      </c>
      <c r="BD2" s="198"/>
      <c r="BE2" s="198"/>
      <c r="BF2" s="198"/>
      <c r="BG2" s="206"/>
      <c r="BH2" s="206"/>
      <c r="BI2" s="636">
        <f>BI1-BI11</f>
        <v>0</v>
      </c>
      <c r="BJ2" s="636"/>
      <c r="BK2" s="636">
        <f>BI99-BK1</f>
        <v>0</v>
      </c>
      <c r="BL2" s="198"/>
      <c r="BM2" s="198"/>
      <c r="BN2" s="198"/>
      <c r="BO2" s="206"/>
      <c r="BP2" s="206"/>
      <c r="BQ2" s="636">
        <f>BQ1-BQ11</f>
        <v>0</v>
      </c>
      <c r="BR2" s="636"/>
      <c r="BS2" s="636">
        <f>BQ99-BS1</f>
        <v>0</v>
      </c>
      <c r="BT2" s="198"/>
      <c r="BU2" s="198"/>
      <c r="BV2" s="198"/>
      <c r="BW2" s="206"/>
      <c r="BX2" s="206"/>
      <c r="BY2" s="636">
        <f>BY1-BY11</f>
        <v>0</v>
      </c>
      <c r="BZ2" s="636"/>
      <c r="CA2" s="636">
        <f>BY99-CA1</f>
        <v>0</v>
      </c>
      <c r="CB2" s="198"/>
      <c r="CC2" s="198"/>
      <c r="CD2" s="198"/>
      <c r="CE2" s="206"/>
      <c r="CF2" s="206"/>
      <c r="CG2" s="636">
        <f>CG1-CG11</f>
        <v>0</v>
      </c>
      <c r="CH2" s="636"/>
      <c r="CI2" s="636">
        <f>CG99-CI1</f>
        <v>0</v>
      </c>
      <c r="CJ2" s="198"/>
      <c r="CK2" s="198"/>
      <c r="CL2" s="198"/>
      <c r="CM2" s="206"/>
      <c r="CN2" s="206"/>
      <c r="CO2" s="636">
        <f>CO1-CO11</f>
        <v>0</v>
      </c>
      <c r="CP2" s="636"/>
      <c r="CQ2" s="636">
        <f>CO99-CQ1</f>
        <v>0</v>
      </c>
      <c r="CR2" s="198"/>
      <c r="CS2" s="198"/>
      <c r="CT2" s="198"/>
      <c r="CU2" s="206"/>
      <c r="CV2" s="206"/>
      <c r="CW2" s="636">
        <f>CW1-CW11</f>
        <v>0</v>
      </c>
      <c r="CX2" s="636"/>
      <c r="CY2" s="636">
        <f>CW99-CY1</f>
        <v>0</v>
      </c>
      <c r="CZ2" s="198"/>
      <c r="DA2" s="198"/>
      <c r="DB2" s="198"/>
      <c r="DC2" s="206"/>
      <c r="DD2" s="206"/>
    </row>
    <row r="3" spans="1:114" s="624" customFormat="1" ht="21.75" customHeight="1">
      <c r="A3" s="633"/>
      <c r="B3" s="640" t="s">
        <v>184</v>
      </c>
      <c r="C3" s="641"/>
      <c r="D3" s="642">
        <f>SUM(F3:J3)</f>
        <v>1</v>
      </c>
      <c r="E3" s="643">
        <f>F3+G3</f>
        <v>0.22295244969849612</v>
      </c>
      <c r="F3" s="643">
        <f>'ТС-4 усл.ДКРЕМ'!F90</f>
        <v>9.3717979366159582E-2</v>
      </c>
      <c r="G3" s="643">
        <f>'ТС-4 усл.ДКРЕМ'!G90</f>
        <v>0.12923447033233654</v>
      </c>
      <c r="H3" s="643">
        <f>'ТС-4 усл.ДКРЕМ'!H90</f>
        <v>0.71039268319440685</v>
      </c>
      <c r="I3" s="643">
        <f>'ТС-4 усл.ДКРЕМ'!I90</f>
        <v>6.6654867107097018E-2</v>
      </c>
      <c r="J3" s="643">
        <f>'ТС-4 усл.ДКРЕМ'!J90</f>
        <v>0</v>
      </c>
      <c r="K3" s="644"/>
      <c r="L3" s="206"/>
      <c r="M3" s="501">
        <f>SUM(O3:S3)</f>
        <v>1</v>
      </c>
      <c r="N3" s="501">
        <f t="shared" ref="N3:N6" si="0">O3+P3</f>
        <v>0.22295244969849612</v>
      </c>
      <c r="O3" s="502">
        <f>F3</f>
        <v>9.3717979366159582E-2</v>
      </c>
      <c r="P3" s="502">
        <f t="shared" ref="P3:S6" si="1">G3</f>
        <v>0.12923447033233654</v>
      </c>
      <c r="Q3" s="502">
        <f t="shared" si="1"/>
        <v>0.71039268319440685</v>
      </c>
      <c r="R3" s="502">
        <f t="shared" si="1"/>
        <v>6.6654867107097018E-2</v>
      </c>
      <c r="S3" s="502">
        <f t="shared" si="1"/>
        <v>0</v>
      </c>
      <c r="T3" s="206"/>
      <c r="U3" s="501">
        <f>SUM(W3:AA3)</f>
        <v>1</v>
      </c>
      <c r="V3" s="501">
        <f t="shared" ref="V3:V6" si="2">W3+X3</f>
        <v>0.22295244969849612</v>
      </c>
      <c r="W3" s="502">
        <f>O3</f>
        <v>9.3717979366159582E-2</v>
      </c>
      <c r="X3" s="502">
        <f t="shared" ref="X3:AA6" si="3">P3</f>
        <v>0.12923447033233654</v>
      </c>
      <c r="Y3" s="502">
        <f t="shared" si="3"/>
        <v>0.71039268319440685</v>
      </c>
      <c r="Z3" s="502">
        <f t="shared" si="3"/>
        <v>6.6654867107097018E-2</v>
      </c>
      <c r="AA3" s="502">
        <f t="shared" si="3"/>
        <v>0</v>
      </c>
      <c r="AB3" s="206"/>
      <c r="AC3" s="501">
        <f>SUM(AE3:AI3)</f>
        <v>1</v>
      </c>
      <c r="AD3" s="501">
        <f t="shared" ref="AD3" si="4">AE3+AF3</f>
        <v>0.22295244969849612</v>
      </c>
      <c r="AE3" s="502">
        <f>W3</f>
        <v>9.3717979366159582E-2</v>
      </c>
      <c r="AF3" s="502">
        <f t="shared" ref="AF3:AI6" si="5">X3</f>
        <v>0.12923447033233654</v>
      </c>
      <c r="AG3" s="502">
        <f t="shared" si="5"/>
        <v>0.71039268319440685</v>
      </c>
      <c r="AH3" s="502">
        <f t="shared" si="5"/>
        <v>6.6654867107097018E-2</v>
      </c>
      <c r="AI3" s="502">
        <f t="shared" si="5"/>
        <v>0</v>
      </c>
      <c r="AJ3" s="206"/>
      <c r="AK3" s="501">
        <f>SUM(AM3:AQ3)</f>
        <v>1</v>
      </c>
      <c r="AL3" s="501">
        <f t="shared" ref="AL3" si="6">AM3+AN3</f>
        <v>0.22295244969849612</v>
      </c>
      <c r="AM3" s="502">
        <f>AE3</f>
        <v>9.3717979366159582E-2</v>
      </c>
      <c r="AN3" s="502">
        <f t="shared" ref="AN3:AQ6" si="7">AF3</f>
        <v>0.12923447033233654</v>
      </c>
      <c r="AO3" s="502">
        <f t="shared" si="7"/>
        <v>0.71039268319440685</v>
      </c>
      <c r="AP3" s="502">
        <f t="shared" si="7"/>
        <v>6.6654867107097018E-2</v>
      </c>
      <c r="AQ3" s="502">
        <f t="shared" si="7"/>
        <v>0</v>
      </c>
      <c r="AR3" s="206"/>
      <c r="AS3" s="501">
        <f>SUM(AU3:AY3)</f>
        <v>1</v>
      </c>
      <c r="AT3" s="501">
        <f t="shared" ref="AT3" si="8">AU3+AV3</f>
        <v>0.22295244969849612</v>
      </c>
      <c r="AU3" s="502">
        <f>AM3</f>
        <v>9.3717979366159582E-2</v>
      </c>
      <c r="AV3" s="502">
        <f t="shared" ref="AV3:AY6" si="9">AN3</f>
        <v>0.12923447033233654</v>
      </c>
      <c r="AW3" s="502">
        <f t="shared" si="9"/>
        <v>0.71039268319440685</v>
      </c>
      <c r="AX3" s="502">
        <f t="shared" si="9"/>
        <v>6.6654867107097018E-2</v>
      </c>
      <c r="AY3" s="502">
        <f t="shared" si="9"/>
        <v>0</v>
      </c>
      <c r="AZ3" s="206"/>
      <c r="BA3" s="501">
        <f>SUM(BC3:BG3)</f>
        <v>0</v>
      </c>
      <c r="BB3" s="501">
        <f t="shared" ref="BB3" si="10">BC3+BD3</f>
        <v>0</v>
      </c>
      <c r="BC3" s="502"/>
      <c r="BD3" s="502"/>
      <c r="BE3" s="502"/>
      <c r="BF3" s="502"/>
      <c r="BG3" s="502"/>
      <c r="BH3" s="206"/>
      <c r="BI3" s="501">
        <f>SUM(BK3:BO3)</f>
        <v>0</v>
      </c>
      <c r="BJ3" s="501">
        <f t="shared" ref="BJ3" si="11">BK3+BL3</f>
        <v>0</v>
      </c>
      <c r="BK3" s="502"/>
      <c r="BL3" s="502"/>
      <c r="BM3" s="502"/>
      <c r="BN3" s="502"/>
      <c r="BO3" s="502"/>
      <c r="BP3" s="206"/>
      <c r="BQ3" s="501">
        <f>SUM(BS3:BW3)</f>
        <v>0</v>
      </c>
      <c r="BR3" s="501">
        <f t="shared" ref="BR3" si="12">BS3+BT3</f>
        <v>0</v>
      </c>
      <c r="BS3" s="502"/>
      <c r="BT3" s="502"/>
      <c r="BU3" s="502"/>
      <c r="BV3" s="502"/>
      <c r="BW3" s="502"/>
      <c r="BX3" s="206"/>
      <c r="BY3" s="501">
        <f>SUM(CA3:CE3)</f>
        <v>0</v>
      </c>
      <c r="BZ3" s="501">
        <f t="shared" ref="BZ3" si="13">CA3+CB3</f>
        <v>0</v>
      </c>
      <c r="CA3" s="502"/>
      <c r="CB3" s="502"/>
      <c r="CC3" s="502"/>
      <c r="CD3" s="502"/>
      <c r="CE3" s="502"/>
      <c r="CF3" s="206"/>
      <c r="CG3" s="501">
        <f>SUM(CI3:CM3)</f>
        <v>0</v>
      </c>
      <c r="CH3" s="501">
        <f t="shared" ref="CH3" si="14">CI3+CJ3</f>
        <v>0</v>
      </c>
      <c r="CI3" s="502"/>
      <c r="CJ3" s="502"/>
      <c r="CK3" s="502"/>
      <c r="CL3" s="502"/>
      <c r="CM3" s="502"/>
      <c r="CN3" s="206"/>
      <c r="CO3" s="501">
        <f>SUM(CQ3:CU3)</f>
        <v>0</v>
      </c>
      <c r="CP3" s="501">
        <f t="shared" ref="CP3" si="15">CQ3+CR3</f>
        <v>0</v>
      </c>
      <c r="CQ3" s="502"/>
      <c r="CR3" s="502"/>
      <c r="CS3" s="502"/>
      <c r="CT3" s="502"/>
      <c r="CU3" s="502"/>
      <c r="CV3" s="206"/>
      <c r="CW3" s="501">
        <f>SUM(CY3:DC3)</f>
        <v>0</v>
      </c>
      <c r="CX3" s="501">
        <f t="shared" ref="CX3" si="16">CY3+CZ3</f>
        <v>0</v>
      </c>
      <c r="CY3" s="502"/>
      <c r="CZ3" s="502"/>
      <c r="DA3" s="502"/>
      <c r="DB3" s="502"/>
      <c r="DC3" s="502"/>
      <c r="DD3" s="206"/>
    </row>
    <row r="4" spans="1:114" s="624" customFormat="1" ht="21.75" customHeight="1">
      <c r="A4" s="633"/>
      <c r="B4" s="645" t="s">
        <v>185</v>
      </c>
      <c r="C4" s="641"/>
      <c r="D4" s="646">
        <f>SUM(F4:J4)</f>
        <v>1</v>
      </c>
      <c r="E4" s="647">
        <f t="shared" ref="E4:E6" si="17">F4+G4</f>
        <v>0.60707309444406565</v>
      </c>
      <c r="F4" s="647">
        <f>'ТС-4 усл.ДКРЕМ'!F91</f>
        <v>0.33776521423698236</v>
      </c>
      <c r="G4" s="647">
        <f>'ТС-4 усл.ДКРЕМ'!G91</f>
        <v>0.26930788020708329</v>
      </c>
      <c r="H4" s="647">
        <f>'ТС-4 усл.ДКРЕМ'!H91</f>
        <v>0.37136520503222031</v>
      </c>
      <c r="I4" s="647">
        <f>'ТС-4 усл.ДКРЕМ'!I91</f>
        <v>2.1561700523714051E-2</v>
      </c>
      <c r="J4" s="647">
        <f>'ТС-4 усл.ДКРЕМ'!J91</f>
        <v>0</v>
      </c>
      <c r="K4" s="644"/>
      <c r="L4" s="206"/>
      <c r="M4" s="503">
        <f>SUM(O4:S4)</f>
        <v>1</v>
      </c>
      <c r="N4" s="503">
        <f t="shared" si="0"/>
        <v>0.60707309444406565</v>
      </c>
      <c r="O4" s="504">
        <f>F4</f>
        <v>0.33776521423698236</v>
      </c>
      <c r="P4" s="504">
        <f t="shared" si="1"/>
        <v>0.26930788020708329</v>
      </c>
      <c r="Q4" s="504">
        <f t="shared" si="1"/>
        <v>0.37136520503222031</v>
      </c>
      <c r="R4" s="504">
        <f t="shared" si="1"/>
        <v>2.1561700523714051E-2</v>
      </c>
      <c r="S4" s="504">
        <f t="shared" si="1"/>
        <v>0</v>
      </c>
      <c r="T4" s="206"/>
      <c r="U4" s="503">
        <f>SUM(W4:AA4)</f>
        <v>1</v>
      </c>
      <c r="V4" s="503">
        <f>W4+X4</f>
        <v>0.60707309444406565</v>
      </c>
      <c r="W4" s="504">
        <f>O4</f>
        <v>0.33776521423698236</v>
      </c>
      <c r="X4" s="504">
        <f t="shared" si="3"/>
        <v>0.26930788020708329</v>
      </c>
      <c r="Y4" s="504">
        <f t="shared" si="3"/>
        <v>0.37136520503222031</v>
      </c>
      <c r="Z4" s="504">
        <f t="shared" si="3"/>
        <v>2.1561700523714051E-2</v>
      </c>
      <c r="AA4" s="504">
        <f t="shared" si="3"/>
        <v>0</v>
      </c>
      <c r="AB4" s="206"/>
      <c r="AC4" s="503">
        <f>SUM(AE4:AI4)</f>
        <v>1</v>
      </c>
      <c r="AD4" s="503">
        <f>AE4+AF4</f>
        <v>0.60707309444406565</v>
      </c>
      <c r="AE4" s="504">
        <f>W4</f>
        <v>0.33776521423698236</v>
      </c>
      <c r="AF4" s="504">
        <f t="shared" si="5"/>
        <v>0.26930788020708329</v>
      </c>
      <c r="AG4" s="504">
        <f t="shared" si="5"/>
        <v>0.37136520503222031</v>
      </c>
      <c r="AH4" s="504">
        <f t="shared" si="5"/>
        <v>2.1561700523714051E-2</v>
      </c>
      <c r="AI4" s="504">
        <f t="shared" si="5"/>
        <v>0</v>
      </c>
      <c r="AJ4" s="206"/>
      <c r="AK4" s="503">
        <f>SUM(AM4:AQ4)</f>
        <v>1</v>
      </c>
      <c r="AL4" s="503">
        <f>AM4+AN4</f>
        <v>0.60707309444406565</v>
      </c>
      <c r="AM4" s="504">
        <f>AE4</f>
        <v>0.33776521423698236</v>
      </c>
      <c r="AN4" s="504">
        <f t="shared" si="7"/>
        <v>0.26930788020708329</v>
      </c>
      <c r="AO4" s="504">
        <f t="shared" si="7"/>
        <v>0.37136520503222031</v>
      </c>
      <c r="AP4" s="504">
        <f t="shared" si="7"/>
        <v>2.1561700523714051E-2</v>
      </c>
      <c r="AQ4" s="504">
        <f t="shared" si="7"/>
        <v>0</v>
      </c>
      <c r="AR4" s="206"/>
      <c r="AS4" s="503">
        <f>SUM(AU4:AY4)</f>
        <v>1</v>
      </c>
      <c r="AT4" s="503">
        <f>AU4+AV4</f>
        <v>0.60707309444406565</v>
      </c>
      <c r="AU4" s="504">
        <f>AM4</f>
        <v>0.33776521423698236</v>
      </c>
      <c r="AV4" s="504">
        <f t="shared" si="9"/>
        <v>0.26930788020708329</v>
      </c>
      <c r="AW4" s="504">
        <f t="shared" si="9"/>
        <v>0.37136520503222031</v>
      </c>
      <c r="AX4" s="504">
        <f t="shared" si="9"/>
        <v>2.1561700523714051E-2</v>
      </c>
      <c r="AY4" s="504">
        <f t="shared" si="9"/>
        <v>0</v>
      </c>
      <c r="AZ4" s="206"/>
      <c r="BA4" s="503" t="e">
        <f>SUM(BC4:BG4)</f>
        <v>#DIV/0!</v>
      </c>
      <c r="BB4" s="503" t="e">
        <f>BC4+BD4</f>
        <v>#DIV/0!</v>
      </c>
      <c r="BC4" s="504" t="e">
        <f>(BC13+BC38+BC39)/(BA13+BA38+BA39)</f>
        <v>#DIV/0!</v>
      </c>
      <c r="BD4" s="504" t="e">
        <f>(BD13+BD38+BD39)/(BA13+BA38+BA39)</f>
        <v>#DIV/0!</v>
      </c>
      <c r="BE4" s="504" t="e">
        <f>(BE13+BE38+BE39)/(BA13+BA38+BA39)</f>
        <v>#DIV/0!</v>
      </c>
      <c r="BF4" s="504" t="e">
        <f>(BF13+BF38+BF39)/(BA13+BA38+BA39)</f>
        <v>#DIV/0!</v>
      </c>
      <c r="BG4" s="504" t="e">
        <f>(BG13+BG38+BG39)/(BA13+BA38+BA39)</f>
        <v>#DIV/0!</v>
      </c>
      <c r="BH4" s="206"/>
      <c r="BI4" s="503" t="e">
        <f>SUM(BK4:BO4)</f>
        <v>#DIV/0!</v>
      </c>
      <c r="BJ4" s="503" t="e">
        <f>BK4+BL4</f>
        <v>#DIV/0!</v>
      </c>
      <c r="BK4" s="504" t="e">
        <f>(BK13+BK38+BK39)/(BI13+BI38+BI39)</f>
        <v>#DIV/0!</v>
      </c>
      <c r="BL4" s="504" t="e">
        <f>(BL13+BL38+BL39)/(BI13+BI38+BI39)</f>
        <v>#DIV/0!</v>
      </c>
      <c r="BM4" s="504" t="e">
        <f>(BM13+BM38+BM39)/(BI13+BI38+BI39)</f>
        <v>#DIV/0!</v>
      </c>
      <c r="BN4" s="504" t="e">
        <f>(BN13+BN38+BN39)/(BI13+BI38+BI39)</f>
        <v>#DIV/0!</v>
      </c>
      <c r="BO4" s="504" t="e">
        <f>(BO13+BO38+BO39)/(BI13+BI38+BI39)</f>
        <v>#DIV/0!</v>
      </c>
      <c r="BP4" s="206"/>
      <c r="BQ4" s="503" t="e">
        <f>SUM(BS4:BW4)</f>
        <v>#DIV/0!</v>
      </c>
      <c r="BR4" s="503" t="e">
        <f>BS4+BT4</f>
        <v>#DIV/0!</v>
      </c>
      <c r="BS4" s="504" t="e">
        <f>(BS13+BS38+BS39)/(BQ13+BQ38+BQ39)</f>
        <v>#DIV/0!</v>
      </c>
      <c r="BT4" s="504" t="e">
        <f>(BT13+BT38+BT39)/(BQ13+BQ38+BQ39)</f>
        <v>#DIV/0!</v>
      </c>
      <c r="BU4" s="504" t="e">
        <f>(BU13+BU38+BU39)/(BQ13+BQ38+BQ39)</f>
        <v>#DIV/0!</v>
      </c>
      <c r="BV4" s="504" t="e">
        <f>(BV13+BV38+BV39)/(BQ13+BQ38+BQ39)</f>
        <v>#DIV/0!</v>
      </c>
      <c r="BW4" s="504" t="e">
        <f>(BW13+BW38+BW39)/(BQ13+BQ38+BQ39)</f>
        <v>#DIV/0!</v>
      </c>
      <c r="BX4" s="206"/>
      <c r="BY4" s="503" t="e">
        <f>SUM(CA4:CE4)</f>
        <v>#DIV/0!</v>
      </c>
      <c r="BZ4" s="503" t="e">
        <f>CA4+CB4</f>
        <v>#DIV/0!</v>
      </c>
      <c r="CA4" s="504" t="e">
        <f>(CA13+CA38+CA39)/(BY13+BY38+BY39)</f>
        <v>#DIV/0!</v>
      </c>
      <c r="CB4" s="504" t="e">
        <f>(CB13+CB38+CB39)/(BY13+BY38+BY39)</f>
        <v>#DIV/0!</v>
      </c>
      <c r="CC4" s="504" t="e">
        <f>(CC13+CC38+CC39)/(BY13+BY38+BY39)</f>
        <v>#DIV/0!</v>
      </c>
      <c r="CD4" s="504" t="e">
        <f>(CD13+CD38+CD39)/(BY13+BY38+BY39)</f>
        <v>#DIV/0!</v>
      </c>
      <c r="CE4" s="504" t="e">
        <f>(CE13+CE38+CE39)/(BY13+BY38+BY39)</f>
        <v>#DIV/0!</v>
      </c>
      <c r="CF4" s="206"/>
      <c r="CG4" s="503" t="e">
        <f>SUM(CI4:CM4)</f>
        <v>#DIV/0!</v>
      </c>
      <c r="CH4" s="503" t="e">
        <f>CI4+CJ4</f>
        <v>#DIV/0!</v>
      </c>
      <c r="CI4" s="504" t="e">
        <f>(CI13+CI38+CI39)/(CG13+CG38+CG39)</f>
        <v>#DIV/0!</v>
      </c>
      <c r="CJ4" s="504" t="e">
        <f>(CJ13+CJ38+CJ39)/(CG13+CG38+CG39)</f>
        <v>#DIV/0!</v>
      </c>
      <c r="CK4" s="504" t="e">
        <f>(CK13+CK38+CK39)/(CG13+CG38+CG39)</f>
        <v>#DIV/0!</v>
      </c>
      <c r="CL4" s="504" t="e">
        <f>(CL13+CL38+CL39)/(CG13+CG38+CG39)</f>
        <v>#DIV/0!</v>
      </c>
      <c r="CM4" s="504" t="e">
        <f>(CM13+CM38+CM39)/(CG13+CG38+CG39)</f>
        <v>#DIV/0!</v>
      </c>
      <c r="CN4" s="206"/>
      <c r="CO4" s="503" t="e">
        <f>SUM(CQ4:CU4)</f>
        <v>#DIV/0!</v>
      </c>
      <c r="CP4" s="503" t="e">
        <f>CQ4+CR4</f>
        <v>#DIV/0!</v>
      </c>
      <c r="CQ4" s="504" t="e">
        <f>(CQ13+CQ38+CQ39)/(CO13+CO38+CO39)</f>
        <v>#DIV/0!</v>
      </c>
      <c r="CR4" s="504" t="e">
        <f>(CR13+CR38+CR39)/(CO13+CO38+CO39)</f>
        <v>#DIV/0!</v>
      </c>
      <c r="CS4" s="504" t="e">
        <f>(CS13+CS38+CS39)/(CO13+CO38+CO39)</f>
        <v>#DIV/0!</v>
      </c>
      <c r="CT4" s="504" t="e">
        <f>(CT13+CT38+CT39)/(CO13+CO38+CO39)</f>
        <v>#DIV/0!</v>
      </c>
      <c r="CU4" s="504" t="e">
        <f>(CU13+CU38+CU39)/(CO13+CO38+CO39)</f>
        <v>#DIV/0!</v>
      </c>
      <c r="CV4" s="206"/>
      <c r="CW4" s="503" t="e">
        <f>SUM(CY4:DC4)</f>
        <v>#DIV/0!</v>
      </c>
      <c r="CX4" s="503" t="e">
        <f>CY4+CZ4</f>
        <v>#DIV/0!</v>
      </c>
      <c r="CY4" s="504" t="e">
        <f>(CY13+CY38+CY39)/(CW13+CW38+CW39)</f>
        <v>#DIV/0!</v>
      </c>
      <c r="CZ4" s="504" t="e">
        <f>(CZ13+CZ38+CZ39)/(CW13+CW38+CW39)</f>
        <v>#DIV/0!</v>
      </c>
      <c r="DA4" s="504" t="e">
        <f>(DA13+DA38+DA39)/(CW13+CW38+CW39)</f>
        <v>#DIV/0!</v>
      </c>
      <c r="DB4" s="504" t="e">
        <f>(DB13+DB38+DB39)/(CW13+CW38+CW39)</f>
        <v>#DIV/0!</v>
      </c>
      <c r="DC4" s="504" t="e">
        <f>(DC13+DC38+DC39)/(CW13+CW38+CW39)</f>
        <v>#DIV/0!</v>
      </c>
      <c r="DD4" s="206"/>
    </row>
    <row r="5" spans="1:114" s="624" customFormat="1" ht="21.75" customHeight="1">
      <c r="A5" s="633"/>
      <c r="B5" s="648" t="s">
        <v>186</v>
      </c>
      <c r="C5" s="641"/>
      <c r="D5" s="649">
        <f>SUM(F5:J5)</f>
        <v>1</v>
      </c>
      <c r="E5" s="650">
        <f t="shared" si="17"/>
        <v>0.77818673393708737</v>
      </c>
      <c r="F5" s="650">
        <f>'ТС-4 усл.ДКРЕМ'!F92</f>
        <v>0.44185279533405847</v>
      </c>
      <c r="G5" s="650">
        <f>'ТС-4 усл.ДКРЕМ'!G92</f>
        <v>0.33633393860302885</v>
      </c>
      <c r="H5" s="650">
        <f>'ТС-4 усл.ДКРЕМ'!H92</f>
        <v>0.20118077713725555</v>
      </c>
      <c r="I5" s="650">
        <f>'ТС-4 усл.ДКРЕМ'!I92</f>
        <v>2.0632488925657149E-2</v>
      </c>
      <c r="J5" s="650">
        <f>'ТС-4 усл.ДКРЕМ'!J92</f>
        <v>0</v>
      </c>
      <c r="K5" s="651"/>
      <c r="L5" s="206"/>
      <c r="M5" s="505">
        <f>SUM(O5:S5)</f>
        <v>1</v>
      </c>
      <c r="N5" s="505">
        <f t="shared" si="0"/>
        <v>0.77818673393708737</v>
      </c>
      <c r="O5" s="506">
        <f>F5</f>
        <v>0.44185279533405847</v>
      </c>
      <c r="P5" s="506">
        <f t="shared" si="1"/>
        <v>0.33633393860302885</v>
      </c>
      <c r="Q5" s="506">
        <f t="shared" si="1"/>
        <v>0.20118077713725555</v>
      </c>
      <c r="R5" s="506">
        <f t="shared" si="1"/>
        <v>2.0632488925657149E-2</v>
      </c>
      <c r="S5" s="506">
        <f t="shared" si="1"/>
        <v>0</v>
      </c>
      <c r="T5" s="206"/>
      <c r="U5" s="505">
        <f>SUM(W5:AA5)</f>
        <v>1</v>
      </c>
      <c r="V5" s="505">
        <f t="shared" si="2"/>
        <v>0.77818673393708737</v>
      </c>
      <c r="W5" s="652">
        <f>O5</f>
        <v>0.44185279533405847</v>
      </c>
      <c r="X5" s="652">
        <f t="shared" si="3"/>
        <v>0.33633393860302885</v>
      </c>
      <c r="Y5" s="652">
        <f t="shared" si="3"/>
        <v>0.20118077713725555</v>
      </c>
      <c r="Z5" s="652">
        <f t="shared" si="3"/>
        <v>2.0632488925657149E-2</v>
      </c>
      <c r="AA5" s="652">
        <f t="shared" si="3"/>
        <v>0</v>
      </c>
      <c r="AB5" s="206"/>
      <c r="AC5" s="505">
        <f>SUM(AE5:AI5)</f>
        <v>1</v>
      </c>
      <c r="AD5" s="505">
        <f t="shared" ref="AD5:AD6" si="18">AE5+AF5</f>
        <v>0.77818673393708737</v>
      </c>
      <c r="AE5" s="652">
        <f>W5</f>
        <v>0.44185279533405847</v>
      </c>
      <c r="AF5" s="652">
        <f t="shared" si="5"/>
        <v>0.33633393860302885</v>
      </c>
      <c r="AG5" s="652">
        <f t="shared" si="5"/>
        <v>0.20118077713725555</v>
      </c>
      <c r="AH5" s="652">
        <f t="shared" si="5"/>
        <v>2.0632488925657149E-2</v>
      </c>
      <c r="AI5" s="652">
        <f t="shared" si="5"/>
        <v>0</v>
      </c>
      <c r="AJ5" s="206"/>
      <c r="AK5" s="505">
        <f>SUM(AM5:AQ5)</f>
        <v>1</v>
      </c>
      <c r="AL5" s="505">
        <f t="shared" ref="AL5:AL6" si="19">AM5+AN5</f>
        <v>0.77818673393708737</v>
      </c>
      <c r="AM5" s="652">
        <f>AE5</f>
        <v>0.44185279533405847</v>
      </c>
      <c r="AN5" s="652">
        <f t="shared" si="7"/>
        <v>0.33633393860302885</v>
      </c>
      <c r="AO5" s="652">
        <f t="shared" si="7"/>
        <v>0.20118077713725555</v>
      </c>
      <c r="AP5" s="652">
        <f t="shared" si="7"/>
        <v>2.0632488925657149E-2</v>
      </c>
      <c r="AQ5" s="652">
        <f t="shared" si="7"/>
        <v>0</v>
      </c>
      <c r="AR5" s="206"/>
      <c r="AS5" s="505">
        <f>SUM(AU5:AY5)</f>
        <v>1</v>
      </c>
      <c r="AT5" s="505">
        <f t="shared" ref="AT5:AT6" si="20">AU5+AV5</f>
        <v>0.77818673393708737</v>
      </c>
      <c r="AU5" s="652">
        <f>AM5</f>
        <v>0.44185279533405847</v>
      </c>
      <c r="AV5" s="652">
        <f t="shared" si="9"/>
        <v>0.33633393860302885</v>
      </c>
      <c r="AW5" s="652">
        <f t="shared" si="9"/>
        <v>0.20118077713725555</v>
      </c>
      <c r="AX5" s="652">
        <f t="shared" si="9"/>
        <v>2.0632488925657149E-2</v>
      </c>
      <c r="AY5" s="652">
        <f t="shared" si="9"/>
        <v>0</v>
      </c>
      <c r="AZ5" s="206"/>
      <c r="BA5" s="505">
        <f>SUM(BC5:BG5)</f>
        <v>0.99999999999999978</v>
      </c>
      <c r="BB5" s="505">
        <f t="shared" ref="BB5:BB6" si="21">BC5+BD5</f>
        <v>0.75514669728415984</v>
      </c>
      <c r="BC5" s="652">
        <v>0.44239486058405414</v>
      </c>
      <c r="BD5" s="652">
        <v>0.31275183670010576</v>
      </c>
      <c r="BE5" s="652">
        <v>0.24107886002130974</v>
      </c>
      <c r="BF5" s="507">
        <v>3.7744426945302552E-3</v>
      </c>
      <c r="BG5" s="507"/>
      <c r="BH5" s="206"/>
      <c r="BI5" s="505">
        <f>SUM(BK5:BO5)</f>
        <v>0.99999999999999978</v>
      </c>
      <c r="BJ5" s="505">
        <f t="shared" ref="BJ5:BJ6" si="22">BK5+BL5</f>
        <v>0.75514669728415984</v>
      </c>
      <c r="BK5" s="652">
        <v>0.44239486058405414</v>
      </c>
      <c r="BL5" s="652">
        <v>0.31275183670010576</v>
      </c>
      <c r="BM5" s="652">
        <v>0.24107886002130974</v>
      </c>
      <c r="BN5" s="507">
        <v>3.7744426945302552E-3</v>
      </c>
      <c r="BO5" s="507"/>
      <c r="BP5" s="206"/>
      <c r="BQ5" s="505">
        <f>SUM(BS5:BW5)</f>
        <v>0.99999999999999978</v>
      </c>
      <c r="BR5" s="505">
        <f t="shared" ref="BR5:BR6" si="23">BS5+BT5</f>
        <v>0.75514669728415984</v>
      </c>
      <c r="BS5" s="652">
        <v>0.44239486058405414</v>
      </c>
      <c r="BT5" s="652">
        <v>0.31275183670010576</v>
      </c>
      <c r="BU5" s="652">
        <v>0.24107886002130974</v>
      </c>
      <c r="BV5" s="507">
        <v>3.7744426945302552E-3</v>
      </c>
      <c r="BW5" s="507"/>
      <c r="BX5" s="206"/>
      <c r="BY5" s="505">
        <f>SUM(CA5:CE5)</f>
        <v>0.99999999999999978</v>
      </c>
      <c r="BZ5" s="505">
        <f t="shared" ref="BZ5:BZ6" si="24">CA5+CB5</f>
        <v>0.75514669728415984</v>
      </c>
      <c r="CA5" s="652">
        <v>0.44239486058405414</v>
      </c>
      <c r="CB5" s="652">
        <v>0.31275183670010576</v>
      </c>
      <c r="CC5" s="652">
        <v>0.24107886002130974</v>
      </c>
      <c r="CD5" s="507">
        <v>3.7744426945302552E-3</v>
      </c>
      <c r="CE5" s="507"/>
      <c r="CF5" s="206"/>
      <c r="CG5" s="505">
        <f>SUM(CI5:CM5)</f>
        <v>1</v>
      </c>
      <c r="CH5" s="505">
        <f t="shared" ref="CH5:CH6" si="25">CI5+CJ5</f>
        <v>0.75514669728416006</v>
      </c>
      <c r="CI5" s="652">
        <v>0.44239486058405414</v>
      </c>
      <c r="CJ5" s="652">
        <v>0.31275183670010598</v>
      </c>
      <c r="CK5" s="652">
        <v>0.24107886002130974</v>
      </c>
      <c r="CL5" s="507">
        <v>3.7744426945302552E-3</v>
      </c>
      <c r="CM5" s="507"/>
      <c r="CN5" s="206"/>
      <c r="CO5" s="505">
        <f>SUM(CQ5:CU5)</f>
        <v>1</v>
      </c>
      <c r="CP5" s="505">
        <f t="shared" ref="CP5:CP6" si="26">CQ5+CR5</f>
        <v>0.75514669728416006</v>
      </c>
      <c r="CQ5" s="652">
        <v>0.44239486058405414</v>
      </c>
      <c r="CR5" s="652">
        <v>0.31275183670010598</v>
      </c>
      <c r="CS5" s="652">
        <v>0.24107886002130974</v>
      </c>
      <c r="CT5" s="507">
        <v>3.7744426945302552E-3</v>
      </c>
      <c r="CU5" s="507"/>
      <c r="CV5" s="206"/>
      <c r="CW5" s="505">
        <f>SUM(CY5:DC5)</f>
        <v>1</v>
      </c>
      <c r="CX5" s="505">
        <f t="shared" ref="CX5:CX6" si="27">CY5+CZ5</f>
        <v>0.75514669728416006</v>
      </c>
      <c r="CY5" s="652">
        <v>0.44239486058405414</v>
      </c>
      <c r="CZ5" s="652">
        <v>0.31275183670010598</v>
      </c>
      <c r="DA5" s="652">
        <v>0.24107886002130974</v>
      </c>
      <c r="DB5" s="507">
        <v>3.7744426945302552E-3</v>
      </c>
      <c r="DC5" s="507"/>
      <c r="DD5" s="206"/>
    </row>
    <row r="6" spans="1:114" s="624" customFormat="1" ht="21.75" customHeight="1">
      <c r="A6" s="633"/>
      <c r="B6" s="653" t="s">
        <v>202</v>
      </c>
      <c r="C6" s="641"/>
      <c r="D6" s="654">
        <f>SUM(F6:J6)</f>
        <v>1</v>
      </c>
      <c r="E6" s="655">
        <f t="shared" si="17"/>
        <v>0.90328307817684383</v>
      </c>
      <c r="F6" s="655">
        <f>'ТС-4 усл.ДКРЕМ'!F93</f>
        <v>0.3585191221840619</v>
      </c>
      <c r="G6" s="655">
        <f>'ТС-4 усл.ДКРЕМ'!G93</f>
        <v>0.54476395599278193</v>
      </c>
      <c r="H6" s="655">
        <f>'ТС-4 усл.ДКРЕМ'!H93</f>
        <v>9.6716921823156166E-2</v>
      </c>
      <c r="I6" s="655">
        <f>'ТС-4 усл.ДКРЕМ'!I93</f>
        <v>0</v>
      </c>
      <c r="J6" s="655">
        <f>'ТС-4 усл.ДКРЕМ'!J93</f>
        <v>0</v>
      </c>
      <c r="K6" s="651"/>
      <c r="L6" s="206"/>
      <c r="M6" s="508">
        <f>SUM(O6:S6)</f>
        <v>1</v>
      </c>
      <c r="N6" s="508">
        <f t="shared" si="0"/>
        <v>0.90328307817684383</v>
      </c>
      <c r="O6" s="509">
        <f>F6</f>
        <v>0.3585191221840619</v>
      </c>
      <c r="P6" s="509">
        <f t="shared" si="1"/>
        <v>0.54476395599278193</v>
      </c>
      <c r="Q6" s="509">
        <f t="shared" si="1"/>
        <v>9.6716921823156166E-2</v>
      </c>
      <c r="R6" s="509">
        <f t="shared" si="1"/>
        <v>0</v>
      </c>
      <c r="S6" s="509">
        <f t="shared" si="1"/>
        <v>0</v>
      </c>
      <c r="T6" s="206"/>
      <c r="U6" s="508">
        <f>SUM(W6:AA6)</f>
        <v>1</v>
      </c>
      <c r="V6" s="508">
        <f t="shared" si="2"/>
        <v>0.90328307817684383</v>
      </c>
      <c r="W6" s="509">
        <f>O6</f>
        <v>0.3585191221840619</v>
      </c>
      <c r="X6" s="509">
        <f t="shared" si="3"/>
        <v>0.54476395599278193</v>
      </c>
      <c r="Y6" s="509">
        <f t="shared" si="3"/>
        <v>9.6716921823156166E-2</v>
      </c>
      <c r="Z6" s="509">
        <f t="shared" si="3"/>
        <v>0</v>
      </c>
      <c r="AA6" s="509">
        <f t="shared" si="3"/>
        <v>0</v>
      </c>
      <c r="AB6" s="206"/>
      <c r="AC6" s="508">
        <f>SUM(AE6:AI6)</f>
        <v>1</v>
      </c>
      <c r="AD6" s="508">
        <f t="shared" si="18"/>
        <v>0.90328307817684383</v>
      </c>
      <c r="AE6" s="509">
        <f>W6</f>
        <v>0.3585191221840619</v>
      </c>
      <c r="AF6" s="509">
        <f t="shared" si="5"/>
        <v>0.54476395599278193</v>
      </c>
      <c r="AG6" s="509">
        <f t="shared" si="5"/>
        <v>9.6716921823156166E-2</v>
      </c>
      <c r="AH6" s="509">
        <f t="shared" si="5"/>
        <v>0</v>
      </c>
      <c r="AI6" s="509">
        <f t="shared" si="5"/>
        <v>0</v>
      </c>
      <c r="AJ6" s="206"/>
      <c r="AK6" s="508">
        <f>SUM(AM6:AQ6)</f>
        <v>1</v>
      </c>
      <c r="AL6" s="508">
        <f t="shared" si="19"/>
        <v>0.90328307817684383</v>
      </c>
      <c r="AM6" s="509">
        <f>AE6</f>
        <v>0.3585191221840619</v>
      </c>
      <c r="AN6" s="509">
        <f t="shared" si="7"/>
        <v>0.54476395599278193</v>
      </c>
      <c r="AO6" s="509">
        <f t="shared" si="7"/>
        <v>9.6716921823156166E-2</v>
      </c>
      <c r="AP6" s="509">
        <f t="shared" si="7"/>
        <v>0</v>
      </c>
      <c r="AQ6" s="509">
        <f t="shared" si="7"/>
        <v>0</v>
      </c>
      <c r="AR6" s="206"/>
      <c r="AS6" s="508">
        <f>SUM(AU6:AY6)</f>
        <v>1</v>
      </c>
      <c r="AT6" s="508">
        <f t="shared" si="20"/>
        <v>0.90328307817684383</v>
      </c>
      <c r="AU6" s="509">
        <f>AM6</f>
        <v>0.3585191221840619</v>
      </c>
      <c r="AV6" s="509">
        <f t="shared" si="9"/>
        <v>0.54476395599278193</v>
      </c>
      <c r="AW6" s="509">
        <f t="shared" si="9"/>
        <v>9.6716921823156166E-2</v>
      </c>
      <c r="AX6" s="509">
        <f t="shared" si="9"/>
        <v>0</v>
      </c>
      <c r="AY6" s="509">
        <f t="shared" si="9"/>
        <v>0</v>
      </c>
      <c r="AZ6" s="206"/>
      <c r="BA6" s="508">
        <f>SUM(BC6:BG6)</f>
        <v>1</v>
      </c>
      <c r="BB6" s="508">
        <f t="shared" si="21"/>
        <v>0.90328307817684383</v>
      </c>
      <c r="BC6" s="509">
        <v>0.3585191221840619</v>
      </c>
      <c r="BD6" s="509">
        <v>0.54476395599278193</v>
      </c>
      <c r="BE6" s="509">
        <v>9.6716921823156166E-2</v>
      </c>
      <c r="BF6" s="510">
        <v>0</v>
      </c>
      <c r="BG6" s="510">
        <v>0</v>
      </c>
      <c r="BH6" s="206"/>
      <c r="BI6" s="508">
        <f>SUM(BK6:BO6)</f>
        <v>1</v>
      </c>
      <c r="BJ6" s="508">
        <f t="shared" si="22"/>
        <v>0.90328307817684383</v>
      </c>
      <c r="BK6" s="509">
        <v>0.3585191221840619</v>
      </c>
      <c r="BL6" s="509">
        <v>0.54476395599278193</v>
      </c>
      <c r="BM6" s="509">
        <v>9.6716921823156166E-2</v>
      </c>
      <c r="BN6" s="510">
        <v>0</v>
      </c>
      <c r="BO6" s="510">
        <v>0</v>
      </c>
      <c r="BP6" s="206"/>
      <c r="BQ6" s="508">
        <f>SUM(BS6:BW6)</f>
        <v>1</v>
      </c>
      <c r="BR6" s="508">
        <f t="shared" si="23"/>
        <v>0.90328307817684383</v>
      </c>
      <c r="BS6" s="509">
        <v>0.3585191221840619</v>
      </c>
      <c r="BT6" s="509">
        <v>0.54476395599278193</v>
      </c>
      <c r="BU6" s="509">
        <v>9.6716921823156166E-2</v>
      </c>
      <c r="BV6" s="510">
        <v>0</v>
      </c>
      <c r="BW6" s="510">
        <v>0</v>
      </c>
      <c r="BX6" s="206"/>
      <c r="BY6" s="508">
        <f>SUM(CA6:CE6)</f>
        <v>1</v>
      </c>
      <c r="BZ6" s="508">
        <f t="shared" si="24"/>
        <v>0.90328307817684383</v>
      </c>
      <c r="CA6" s="509">
        <v>0.3585191221840619</v>
      </c>
      <c r="CB6" s="509">
        <v>0.54476395599278193</v>
      </c>
      <c r="CC6" s="509">
        <v>9.6716921823156166E-2</v>
      </c>
      <c r="CD6" s="510">
        <v>0</v>
      </c>
      <c r="CE6" s="510">
        <v>0</v>
      </c>
      <c r="CF6" s="206"/>
      <c r="CG6" s="508">
        <f>SUM(CI6:CM6)</f>
        <v>1</v>
      </c>
      <c r="CH6" s="508">
        <f t="shared" si="25"/>
        <v>0.90328307817684383</v>
      </c>
      <c r="CI6" s="509">
        <v>0.3585191221840619</v>
      </c>
      <c r="CJ6" s="509">
        <v>0.54476395599278193</v>
      </c>
      <c r="CK6" s="509">
        <v>9.6716921823156166E-2</v>
      </c>
      <c r="CL6" s="510">
        <v>0</v>
      </c>
      <c r="CM6" s="510">
        <v>0</v>
      </c>
      <c r="CN6" s="206"/>
      <c r="CO6" s="508">
        <f>SUM(CQ6:CU6)</f>
        <v>1</v>
      </c>
      <c r="CP6" s="508">
        <f t="shared" si="26"/>
        <v>0.90328307817684383</v>
      </c>
      <c r="CQ6" s="509">
        <v>0.3585191221840619</v>
      </c>
      <c r="CR6" s="509">
        <v>0.54476395599278193</v>
      </c>
      <c r="CS6" s="509">
        <v>9.6716921823156166E-2</v>
      </c>
      <c r="CT6" s="510">
        <v>0</v>
      </c>
      <c r="CU6" s="510">
        <v>0</v>
      </c>
      <c r="CV6" s="206"/>
      <c r="CW6" s="508">
        <f>SUM(CY6:DC6)</f>
        <v>1</v>
      </c>
      <c r="CX6" s="508">
        <f t="shared" si="27"/>
        <v>0.90328307817684383</v>
      </c>
      <c r="CY6" s="509">
        <v>0.3585191221840619</v>
      </c>
      <c r="CZ6" s="509">
        <v>0.54476395599278193</v>
      </c>
      <c r="DA6" s="509">
        <v>9.6716921823156166E-2</v>
      </c>
      <c r="DB6" s="510">
        <v>0</v>
      </c>
      <c r="DC6" s="510">
        <v>0</v>
      </c>
      <c r="DD6" s="206"/>
    </row>
    <row r="7" spans="1:114" s="624" customFormat="1" ht="21.75" customHeight="1">
      <c r="A7" s="633"/>
      <c r="B7" s="641"/>
      <c r="C7" s="641"/>
      <c r="D7" s="170"/>
      <c r="E7" s="170"/>
      <c r="F7" s="656"/>
      <c r="G7" s="656"/>
      <c r="H7" s="198"/>
      <c r="I7" s="198"/>
      <c r="J7" s="198"/>
      <c r="K7" s="206"/>
      <c r="L7" s="206"/>
      <c r="M7" s="657"/>
      <c r="N7" s="657"/>
      <c r="O7" s="658"/>
      <c r="P7" s="206"/>
      <c r="Q7" s="206"/>
      <c r="R7" s="206"/>
      <c r="S7" s="206"/>
      <c r="T7" s="206"/>
      <c r="U7" s="657"/>
      <c r="V7" s="657"/>
      <c r="W7" s="206"/>
      <c r="X7" s="206"/>
      <c r="Y7" s="206"/>
      <c r="Z7" s="206"/>
      <c r="AA7" s="206"/>
      <c r="AB7" s="206"/>
      <c r="AC7" s="657"/>
      <c r="AD7" s="657"/>
      <c r="AE7" s="206"/>
      <c r="AF7" s="206"/>
      <c r="AG7" s="206"/>
      <c r="AH7" s="206"/>
      <c r="AI7" s="206"/>
      <c r="AJ7" s="206"/>
      <c r="AK7" s="657"/>
      <c r="AL7" s="657"/>
      <c r="AM7" s="206"/>
      <c r="AN7" s="206"/>
      <c r="AO7" s="206"/>
      <c r="AP7" s="206"/>
      <c r="AQ7" s="206"/>
      <c r="AR7" s="206"/>
      <c r="AS7" s="657"/>
      <c r="AT7" s="657"/>
      <c r="AU7" s="206"/>
      <c r="AV7" s="206"/>
      <c r="AW7" s="206"/>
      <c r="AX7" s="206"/>
      <c r="AY7" s="206"/>
      <c r="AZ7" s="206"/>
      <c r="BA7" s="657"/>
      <c r="BB7" s="657"/>
      <c r="BC7" s="206"/>
      <c r="BD7" s="206"/>
      <c r="BE7" s="206"/>
      <c r="BF7" s="206"/>
      <c r="BG7" s="206"/>
      <c r="BH7" s="206"/>
      <c r="BI7" s="657"/>
      <c r="BJ7" s="657"/>
      <c r="BK7" s="206"/>
      <c r="BL7" s="206"/>
      <c r="BM7" s="206"/>
      <c r="BN7" s="206"/>
      <c r="BO7" s="206"/>
      <c r="BP7" s="206"/>
      <c r="BQ7" s="657"/>
      <c r="BR7" s="657"/>
      <c r="BS7" s="206"/>
      <c r="BT7" s="206"/>
      <c r="BU7" s="206"/>
      <c r="BV7" s="206"/>
      <c r="BW7" s="206"/>
      <c r="BX7" s="206"/>
      <c r="BY7" s="657"/>
      <c r="BZ7" s="657"/>
      <c r="CA7" s="206"/>
      <c r="CB7" s="206"/>
      <c r="CC7" s="206"/>
      <c r="CD7" s="206"/>
      <c r="CE7" s="206"/>
      <c r="CF7" s="206"/>
      <c r="CG7" s="657"/>
      <c r="CH7" s="657"/>
      <c r="CI7" s="206"/>
      <c r="CJ7" s="206"/>
      <c r="CK7" s="206"/>
      <c r="CL7" s="206"/>
      <c r="CM7" s="206"/>
      <c r="CN7" s="206"/>
      <c r="CO7" s="657"/>
      <c r="CP7" s="657"/>
      <c r="CQ7" s="206"/>
      <c r="CR7" s="206"/>
      <c r="CS7" s="206"/>
      <c r="CT7" s="206"/>
      <c r="CU7" s="206"/>
      <c r="CV7" s="206"/>
      <c r="CW7" s="657"/>
      <c r="CX7" s="657"/>
      <c r="CY7" s="206"/>
      <c r="CZ7" s="206"/>
      <c r="DA7" s="206"/>
      <c r="DB7" s="206"/>
      <c r="DC7" s="206"/>
      <c r="DD7" s="206"/>
    </row>
    <row r="8" spans="1:114" s="624" customFormat="1" ht="40.5" customHeight="1">
      <c r="A8" s="864" t="s">
        <v>0</v>
      </c>
      <c r="B8" s="865" t="s">
        <v>1</v>
      </c>
      <c r="C8" s="865" t="s">
        <v>2</v>
      </c>
      <c r="D8" s="849" t="s">
        <v>406</v>
      </c>
      <c r="E8" s="849"/>
      <c r="F8" s="849"/>
      <c r="G8" s="849"/>
      <c r="H8" s="849"/>
      <c r="I8" s="849"/>
      <c r="J8" s="659"/>
      <c r="K8" s="659"/>
      <c r="L8" s="206"/>
      <c r="M8" s="849" t="s">
        <v>407</v>
      </c>
      <c r="N8" s="849"/>
      <c r="O8" s="849"/>
      <c r="P8" s="849"/>
      <c r="Q8" s="849"/>
      <c r="R8" s="849"/>
      <c r="S8" s="849"/>
      <c r="T8" s="206"/>
      <c r="U8" s="849" t="s">
        <v>408</v>
      </c>
      <c r="V8" s="849"/>
      <c r="W8" s="849"/>
      <c r="X8" s="849"/>
      <c r="Y8" s="849"/>
      <c r="Z8" s="849"/>
      <c r="AA8" s="849"/>
      <c r="AB8" s="206"/>
      <c r="AC8" s="849" t="s">
        <v>409</v>
      </c>
      <c r="AD8" s="849"/>
      <c r="AE8" s="849"/>
      <c r="AF8" s="849"/>
      <c r="AG8" s="849"/>
      <c r="AH8" s="849"/>
      <c r="AI8" s="849"/>
      <c r="AJ8" s="206"/>
      <c r="AK8" s="849" t="s">
        <v>410</v>
      </c>
      <c r="AL8" s="849"/>
      <c r="AM8" s="849"/>
      <c r="AN8" s="849"/>
      <c r="AO8" s="849"/>
      <c r="AP8" s="849"/>
      <c r="AQ8" s="849"/>
      <c r="AR8" s="206"/>
      <c r="AS8" s="849" t="s">
        <v>411</v>
      </c>
      <c r="AT8" s="849"/>
      <c r="AU8" s="849"/>
      <c r="AV8" s="849"/>
      <c r="AW8" s="849"/>
      <c r="AX8" s="849"/>
      <c r="AY8" s="849"/>
      <c r="AZ8" s="206"/>
      <c r="BA8" s="849" t="s">
        <v>412</v>
      </c>
      <c r="BB8" s="849"/>
      <c r="BC8" s="849"/>
      <c r="BD8" s="849"/>
      <c r="BE8" s="849"/>
      <c r="BF8" s="849"/>
      <c r="BG8" s="849"/>
      <c r="BH8" s="206"/>
      <c r="BI8" s="849" t="s">
        <v>413</v>
      </c>
      <c r="BJ8" s="849"/>
      <c r="BK8" s="849"/>
      <c r="BL8" s="849"/>
      <c r="BM8" s="849"/>
      <c r="BN8" s="849"/>
      <c r="BO8" s="849"/>
      <c r="BP8" s="206"/>
      <c r="BQ8" s="849" t="s">
        <v>414</v>
      </c>
      <c r="BR8" s="849"/>
      <c r="BS8" s="849"/>
      <c r="BT8" s="849"/>
      <c r="BU8" s="849"/>
      <c r="BV8" s="849"/>
      <c r="BW8" s="849"/>
      <c r="BX8" s="206"/>
      <c r="BY8" s="849" t="s">
        <v>415</v>
      </c>
      <c r="BZ8" s="849"/>
      <c r="CA8" s="849"/>
      <c r="CB8" s="849"/>
      <c r="CC8" s="849"/>
      <c r="CD8" s="849"/>
      <c r="CE8" s="849"/>
      <c r="CF8" s="206"/>
      <c r="CG8" s="849" t="s">
        <v>416</v>
      </c>
      <c r="CH8" s="849"/>
      <c r="CI8" s="849"/>
      <c r="CJ8" s="849"/>
      <c r="CK8" s="849"/>
      <c r="CL8" s="849"/>
      <c r="CM8" s="849"/>
      <c r="CN8" s="206"/>
      <c r="CO8" s="849" t="s">
        <v>417</v>
      </c>
      <c r="CP8" s="849"/>
      <c r="CQ8" s="849"/>
      <c r="CR8" s="849"/>
      <c r="CS8" s="849"/>
      <c r="CT8" s="849"/>
      <c r="CU8" s="849"/>
      <c r="CV8" s="206"/>
      <c r="CW8" s="849" t="s">
        <v>418</v>
      </c>
      <c r="CX8" s="849"/>
      <c r="CY8" s="849"/>
      <c r="CZ8" s="849"/>
      <c r="DA8" s="849"/>
      <c r="DB8" s="849"/>
      <c r="DC8" s="849"/>
      <c r="DD8" s="206"/>
    </row>
    <row r="9" spans="1:114" ht="99" customHeight="1">
      <c r="A9" s="864"/>
      <c r="B9" s="865"/>
      <c r="C9" s="865"/>
      <c r="D9" s="660" t="s">
        <v>3</v>
      </c>
      <c r="E9" s="661" t="s">
        <v>395</v>
      </c>
      <c r="F9" s="55" t="s">
        <v>173</v>
      </c>
      <c r="G9" s="55" t="s">
        <v>174</v>
      </c>
      <c r="H9" s="55" t="s">
        <v>197</v>
      </c>
      <c r="I9" s="55" t="s">
        <v>198</v>
      </c>
      <c r="J9" s="55" t="s">
        <v>365</v>
      </c>
      <c r="K9" s="449"/>
      <c r="M9" s="660" t="s">
        <v>3</v>
      </c>
      <c r="N9" s="661" t="s">
        <v>395</v>
      </c>
      <c r="O9" s="55" t="s">
        <v>173</v>
      </c>
      <c r="P9" s="55" t="s">
        <v>174</v>
      </c>
      <c r="Q9" s="55" t="s">
        <v>197</v>
      </c>
      <c r="R9" s="55" t="s">
        <v>198</v>
      </c>
      <c r="S9" s="55" t="s">
        <v>365</v>
      </c>
      <c r="U9" s="660" t="s">
        <v>3</v>
      </c>
      <c r="V9" s="661" t="s">
        <v>395</v>
      </c>
      <c r="W9" s="55" t="s">
        <v>173</v>
      </c>
      <c r="X9" s="55" t="s">
        <v>174</v>
      </c>
      <c r="Y9" s="55" t="s">
        <v>197</v>
      </c>
      <c r="Z9" s="55" t="s">
        <v>198</v>
      </c>
      <c r="AA9" s="55" t="s">
        <v>365</v>
      </c>
      <c r="AC9" s="660" t="s">
        <v>3</v>
      </c>
      <c r="AD9" s="661" t="s">
        <v>395</v>
      </c>
      <c r="AE9" s="55" t="s">
        <v>173</v>
      </c>
      <c r="AF9" s="55" t="s">
        <v>174</v>
      </c>
      <c r="AG9" s="55" t="s">
        <v>197</v>
      </c>
      <c r="AH9" s="55" t="s">
        <v>198</v>
      </c>
      <c r="AI9" s="55" t="s">
        <v>365</v>
      </c>
      <c r="AK9" s="660" t="s">
        <v>3</v>
      </c>
      <c r="AL9" s="661" t="s">
        <v>395</v>
      </c>
      <c r="AM9" s="55" t="s">
        <v>173</v>
      </c>
      <c r="AN9" s="55" t="s">
        <v>174</v>
      </c>
      <c r="AO9" s="55" t="s">
        <v>197</v>
      </c>
      <c r="AP9" s="55" t="s">
        <v>198</v>
      </c>
      <c r="AQ9" s="55" t="s">
        <v>365</v>
      </c>
      <c r="AS9" s="660" t="s">
        <v>3</v>
      </c>
      <c r="AT9" s="661" t="s">
        <v>395</v>
      </c>
      <c r="AU9" s="55" t="s">
        <v>173</v>
      </c>
      <c r="AV9" s="55" t="s">
        <v>174</v>
      </c>
      <c r="AW9" s="55" t="s">
        <v>197</v>
      </c>
      <c r="AX9" s="55" t="s">
        <v>198</v>
      </c>
      <c r="AY9" s="55" t="s">
        <v>365</v>
      </c>
      <c r="BA9" s="660" t="s">
        <v>3</v>
      </c>
      <c r="BB9" s="661" t="s">
        <v>395</v>
      </c>
      <c r="BC9" s="55" t="s">
        <v>173</v>
      </c>
      <c r="BD9" s="55" t="s">
        <v>174</v>
      </c>
      <c r="BE9" s="55" t="s">
        <v>197</v>
      </c>
      <c r="BF9" s="55" t="s">
        <v>198</v>
      </c>
      <c r="BG9" s="55" t="s">
        <v>365</v>
      </c>
      <c r="BI9" s="660" t="s">
        <v>3</v>
      </c>
      <c r="BJ9" s="661" t="s">
        <v>395</v>
      </c>
      <c r="BK9" s="55" t="s">
        <v>173</v>
      </c>
      <c r="BL9" s="55" t="s">
        <v>174</v>
      </c>
      <c r="BM9" s="55" t="s">
        <v>197</v>
      </c>
      <c r="BN9" s="55" t="s">
        <v>198</v>
      </c>
      <c r="BO9" s="55" t="s">
        <v>365</v>
      </c>
      <c r="BQ9" s="660" t="s">
        <v>3</v>
      </c>
      <c r="BR9" s="661" t="s">
        <v>395</v>
      </c>
      <c r="BS9" s="55" t="s">
        <v>173</v>
      </c>
      <c r="BT9" s="55" t="s">
        <v>174</v>
      </c>
      <c r="BU9" s="55" t="s">
        <v>197</v>
      </c>
      <c r="BV9" s="55" t="s">
        <v>198</v>
      </c>
      <c r="BW9" s="55" t="s">
        <v>365</v>
      </c>
      <c r="BY9" s="660" t="s">
        <v>3</v>
      </c>
      <c r="BZ9" s="661" t="s">
        <v>395</v>
      </c>
      <c r="CA9" s="55" t="s">
        <v>173</v>
      </c>
      <c r="CB9" s="55" t="s">
        <v>174</v>
      </c>
      <c r="CC9" s="55" t="s">
        <v>197</v>
      </c>
      <c r="CD9" s="55" t="s">
        <v>198</v>
      </c>
      <c r="CE9" s="55" t="s">
        <v>365</v>
      </c>
      <c r="CG9" s="660" t="s">
        <v>3</v>
      </c>
      <c r="CH9" s="661" t="s">
        <v>395</v>
      </c>
      <c r="CI9" s="55" t="s">
        <v>173</v>
      </c>
      <c r="CJ9" s="55" t="s">
        <v>174</v>
      </c>
      <c r="CK9" s="55" t="s">
        <v>197</v>
      </c>
      <c r="CL9" s="55" t="s">
        <v>198</v>
      </c>
      <c r="CM9" s="55" t="s">
        <v>365</v>
      </c>
      <c r="CO9" s="660" t="s">
        <v>3</v>
      </c>
      <c r="CP9" s="661" t="s">
        <v>395</v>
      </c>
      <c r="CQ9" s="55" t="s">
        <v>173</v>
      </c>
      <c r="CR9" s="55" t="s">
        <v>174</v>
      </c>
      <c r="CS9" s="55" t="s">
        <v>197</v>
      </c>
      <c r="CT9" s="55" t="s">
        <v>198</v>
      </c>
      <c r="CU9" s="55" t="s">
        <v>365</v>
      </c>
      <c r="CW9" s="660" t="s">
        <v>3</v>
      </c>
      <c r="CX9" s="661" t="s">
        <v>395</v>
      </c>
      <c r="CY9" s="55" t="s">
        <v>173</v>
      </c>
      <c r="CZ9" s="55" t="s">
        <v>174</v>
      </c>
      <c r="DA9" s="55" t="s">
        <v>197</v>
      </c>
      <c r="DB9" s="55" t="s">
        <v>198</v>
      </c>
      <c r="DC9" s="55" t="s">
        <v>365</v>
      </c>
    </row>
    <row r="10" spans="1:114" s="668" customFormat="1" ht="12" customHeight="1">
      <c r="A10" s="663">
        <v>1</v>
      </c>
      <c r="B10" s="664">
        <v>2</v>
      </c>
      <c r="C10" s="664">
        <v>3</v>
      </c>
      <c r="D10" s="665">
        <v>4</v>
      </c>
      <c r="E10" s="665"/>
      <c r="F10" s="666">
        <v>5</v>
      </c>
      <c r="G10" s="666">
        <v>6</v>
      </c>
      <c r="H10" s="666">
        <v>7</v>
      </c>
      <c r="I10" s="666">
        <v>8</v>
      </c>
      <c r="J10" s="666">
        <v>8</v>
      </c>
      <c r="K10" s="667"/>
      <c r="M10" s="665">
        <v>1</v>
      </c>
      <c r="N10" s="665"/>
      <c r="O10" s="666">
        <v>2</v>
      </c>
      <c r="P10" s="666">
        <v>3</v>
      </c>
      <c r="Q10" s="666">
        <v>4</v>
      </c>
      <c r="R10" s="666">
        <v>5</v>
      </c>
      <c r="S10" s="666">
        <v>6</v>
      </c>
      <c r="U10" s="665">
        <v>4</v>
      </c>
      <c r="V10" s="665"/>
      <c r="W10" s="666">
        <v>5</v>
      </c>
      <c r="X10" s="666">
        <v>6</v>
      </c>
      <c r="Y10" s="666">
        <v>7</v>
      </c>
      <c r="Z10" s="666">
        <v>8</v>
      </c>
      <c r="AA10" s="666">
        <v>6</v>
      </c>
      <c r="AC10" s="665">
        <v>4</v>
      </c>
      <c r="AD10" s="665"/>
      <c r="AE10" s="666">
        <v>5</v>
      </c>
      <c r="AF10" s="666">
        <v>6</v>
      </c>
      <c r="AG10" s="666">
        <v>7</v>
      </c>
      <c r="AH10" s="666">
        <v>8</v>
      </c>
      <c r="AI10" s="666">
        <v>6</v>
      </c>
      <c r="AK10" s="665">
        <v>4</v>
      </c>
      <c r="AL10" s="665"/>
      <c r="AM10" s="666">
        <v>5</v>
      </c>
      <c r="AN10" s="666">
        <v>6</v>
      </c>
      <c r="AO10" s="666">
        <v>7</v>
      </c>
      <c r="AP10" s="666">
        <v>8</v>
      </c>
      <c r="AQ10" s="666">
        <v>6</v>
      </c>
      <c r="AS10" s="665">
        <v>4</v>
      </c>
      <c r="AT10" s="665"/>
      <c r="AU10" s="666">
        <v>5</v>
      </c>
      <c r="AV10" s="666">
        <v>6</v>
      </c>
      <c r="AW10" s="666">
        <v>7</v>
      </c>
      <c r="AX10" s="666">
        <v>8</v>
      </c>
      <c r="AY10" s="666">
        <v>6</v>
      </c>
      <c r="BA10" s="665">
        <v>4</v>
      </c>
      <c r="BB10" s="665"/>
      <c r="BC10" s="666">
        <v>5</v>
      </c>
      <c r="BD10" s="666">
        <v>6</v>
      </c>
      <c r="BE10" s="666">
        <v>7</v>
      </c>
      <c r="BF10" s="666">
        <v>8</v>
      </c>
      <c r="BG10" s="666">
        <v>6</v>
      </c>
      <c r="BI10" s="665">
        <v>4</v>
      </c>
      <c r="BJ10" s="665"/>
      <c r="BK10" s="666">
        <v>5</v>
      </c>
      <c r="BL10" s="666">
        <v>6</v>
      </c>
      <c r="BM10" s="666">
        <v>7</v>
      </c>
      <c r="BN10" s="666">
        <v>8</v>
      </c>
      <c r="BO10" s="666">
        <v>6</v>
      </c>
      <c r="BQ10" s="665">
        <v>4</v>
      </c>
      <c r="BR10" s="665"/>
      <c r="BS10" s="666">
        <v>5</v>
      </c>
      <c r="BT10" s="666">
        <v>6</v>
      </c>
      <c r="BU10" s="666">
        <v>7</v>
      </c>
      <c r="BV10" s="666">
        <v>8</v>
      </c>
      <c r="BW10" s="666">
        <v>6</v>
      </c>
      <c r="BY10" s="665">
        <v>4</v>
      </c>
      <c r="BZ10" s="665"/>
      <c r="CA10" s="666">
        <v>5</v>
      </c>
      <c r="CB10" s="666">
        <v>6</v>
      </c>
      <c r="CC10" s="666">
        <v>7</v>
      </c>
      <c r="CD10" s="666">
        <v>8</v>
      </c>
      <c r="CE10" s="666">
        <v>6</v>
      </c>
      <c r="CG10" s="665">
        <v>4</v>
      </c>
      <c r="CH10" s="665"/>
      <c r="CI10" s="666">
        <v>5</v>
      </c>
      <c r="CJ10" s="666">
        <v>6</v>
      </c>
      <c r="CK10" s="666">
        <v>7</v>
      </c>
      <c r="CL10" s="666">
        <v>8</v>
      </c>
      <c r="CM10" s="666">
        <v>6</v>
      </c>
      <c r="CO10" s="665">
        <v>4</v>
      </c>
      <c r="CP10" s="665"/>
      <c r="CQ10" s="666">
        <v>5</v>
      </c>
      <c r="CR10" s="666">
        <v>6</v>
      </c>
      <c r="CS10" s="666">
        <v>7</v>
      </c>
      <c r="CT10" s="666">
        <v>8</v>
      </c>
      <c r="CU10" s="666">
        <v>6</v>
      </c>
      <c r="CW10" s="665">
        <v>4</v>
      </c>
      <c r="CX10" s="665"/>
      <c r="CY10" s="666">
        <v>5</v>
      </c>
      <c r="CZ10" s="666">
        <v>6</v>
      </c>
      <c r="DA10" s="666">
        <v>7</v>
      </c>
      <c r="DB10" s="666">
        <v>8</v>
      </c>
      <c r="DC10" s="666">
        <v>6</v>
      </c>
    </row>
    <row r="11" spans="1:114" s="673" customFormat="1" ht="45.75" customHeight="1">
      <c r="A11" s="669" t="s">
        <v>4</v>
      </c>
      <c r="B11" s="670" t="s">
        <v>5</v>
      </c>
      <c r="C11" s="671" t="s">
        <v>6</v>
      </c>
      <c r="D11" s="550">
        <f>D13+D31+D37+D38+D39</f>
        <v>4760881.1499521928</v>
      </c>
      <c r="E11" s="550">
        <f>F11+G11</f>
        <v>2109471.4149244768</v>
      </c>
      <c r="F11" s="550">
        <f>F13+F31+F37+F38+F39</f>
        <v>1114587.5185424217</v>
      </c>
      <c r="G11" s="550">
        <f>G13+G31+G37+G38+G39</f>
        <v>994883.89638205501</v>
      </c>
      <c r="H11" s="550">
        <f>H13+H31+H37+H38+H39</f>
        <v>2554319.4428662541</v>
      </c>
      <c r="I11" s="550">
        <f t="shared" ref="I11:J11" si="28">I13+I31+I37+I38+I39</f>
        <v>97090.292161462014</v>
      </c>
      <c r="J11" s="550">
        <f t="shared" si="28"/>
        <v>0</v>
      </c>
      <c r="K11" s="672"/>
      <c r="M11" s="550">
        <f>M13+M31+M37+M38+M39</f>
        <v>369331.31761000003</v>
      </c>
      <c r="N11" s="550">
        <f>O11+P11</f>
        <v>209941.79270495864</v>
      </c>
      <c r="O11" s="550">
        <f>O13+O31+O37+O38+O39</f>
        <v>115894.40278951003</v>
      </c>
      <c r="P11" s="550">
        <f>P13+P31+P37+P38+P39</f>
        <v>94047.389915448613</v>
      </c>
      <c r="Q11" s="550">
        <f>Q13+Q31+Q37+Q38+Q39</f>
        <v>147710.95790238402</v>
      </c>
      <c r="R11" s="550">
        <f t="shared" ref="R11:S11" si="29">R13+R31+R37+R38+R39</f>
        <v>11678.567002657335</v>
      </c>
      <c r="S11" s="550">
        <f t="shared" si="29"/>
        <v>0</v>
      </c>
      <c r="U11" s="550">
        <f>U13+U31+U37+U38+U39</f>
        <v>326250.41120999999</v>
      </c>
      <c r="V11" s="550">
        <f>W11+X11</f>
        <v>199849.01334070787</v>
      </c>
      <c r="W11" s="550">
        <f>W13+W31+W37+W38+W39</f>
        <v>111471.06999880586</v>
      </c>
      <c r="X11" s="550">
        <f>X13+X31+X37+X38+X39</f>
        <v>88377.943341902006</v>
      </c>
      <c r="Y11" s="550">
        <f>Y13+Y31+Y37+Y38+Y39</f>
        <v>117429.84937255637</v>
      </c>
      <c r="Z11" s="550">
        <f t="shared" ref="Z11:AA11" si="30">Z13+Z31+Z37+Z38+Z39</f>
        <v>8971.5484967357534</v>
      </c>
      <c r="AA11" s="550">
        <f t="shared" si="30"/>
        <v>0</v>
      </c>
      <c r="AC11" s="550">
        <f>AC13+AC31+AC37+AC38+AC39</f>
        <v>336298.82710000005</v>
      </c>
      <c r="AD11" s="550">
        <f>AE11+AF11</f>
        <v>201055.55826859566</v>
      </c>
      <c r="AE11" s="550">
        <f>AE13+AE31+AE37+AE38+AE39</f>
        <v>112012.60530692981</v>
      </c>
      <c r="AF11" s="550">
        <f>AF13+AF31+AF37+AF38+AF39</f>
        <v>89042.952961665855</v>
      </c>
      <c r="AG11" s="550">
        <f>AG13+AG31+AG37+AG38+AG39</f>
        <v>125979.72511223427</v>
      </c>
      <c r="AH11" s="550">
        <f t="shared" ref="AH11:AI11" si="31">AH13+AH31+AH37+AH38+AH39</f>
        <v>9263.5437191701185</v>
      </c>
      <c r="AI11" s="550">
        <f t="shared" si="31"/>
        <v>0</v>
      </c>
      <c r="AK11" s="550">
        <f>AK13+AK31+AK37+AK38+AK39</f>
        <v>360173.51560999994</v>
      </c>
      <c r="AL11" s="550">
        <f>AM11+AN11</f>
        <v>206245.15994698403</v>
      </c>
      <c r="AM11" s="550">
        <f>AM13+AM31+AM37+AM38+AM39</f>
        <v>114406.10629743512</v>
      </c>
      <c r="AN11" s="550">
        <f>AN13+AN31+AN37+AN38+AN39</f>
        <v>91839.053649548907</v>
      </c>
      <c r="AO11" s="550">
        <f>AO13+AO31+AO37+AO38+AO39</f>
        <v>143515.12385526826</v>
      </c>
      <c r="AP11" s="550">
        <f t="shared" ref="AP11:AQ11" si="32">AP13+AP31+AP37+AP38+AP39</f>
        <v>10413.231807747665</v>
      </c>
      <c r="AQ11" s="550">
        <f t="shared" si="32"/>
        <v>0</v>
      </c>
      <c r="AS11" s="550">
        <f>AS13+AS31+AS37+AS38+AS39</f>
        <v>281015.41910571419</v>
      </c>
      <c r="AT11" s="550">
        <f>AU11+AV11</f>
        <v>73077.534486917575</v>
      </c>
      <c r="AU11" s="550">
        <f>AU13+AU31+AU37+AU38+AU39</f>
        <v>34883.267474801643</v>
      </c>
      <c r="AV11" s="550">
        <f>AV13+AV31+AV37+AV38+AV39</f>
        <v>38194.267012115924</v>
      </c>
      <c r="AW11" s="550">
        <f>AW13+AW31+AW37+AW38+AW39</f>
        <v>193532.84240671847</v>
      </c>
      <c r="AX11" s="550">
        <f t="shared" ref="AX11:AY11" si="33">AX13+AX31+AX37+AX38+AX39</f>
        <v>14405.042462078185</v>
      </c>
      <c r="AY11" s="550">
        <f t="shared" si="33"/>
        <v>0</v>
      </c>
      <c r="BA11" s="550">
        <f>BA13+BA31+BA37+BA38+BA39</f>
        <v>0</v>
      </c>
      <c r="BB11" s="550">
        <f>BC11+BD11</f>
        <v>0</v>
      </c>
      <c r="BC11" s="550">
        <f>BC13+BC31+BC37+BC38+BC39</f>
        <v>0</v>
      </c>
      <c r="BD11" s="550">
        <f>BD13+BD31+BD37+BD38+BD39</f>
        <v>0</v>
      </c>
      <c r="BE11" s="550">
        <f>BE13+BE31+BE37+BE38+BE39</f>
        <v>0</v>
      </c>
      <c r="BF11" s="550">
        <f t="shared" ref="BF11:BG11" si="34">BF13+BF31+BF37+BF38+BF39</f>
        <v>0</v>
      </c>
      <c r="BG11" s="550">
        <f t="shared" si="34"/>
        <v>0</v>
      </c>
      <c r="BI11" s="550">
        <f>BI13+BI31+BI37+BI38+BI39</f>
        <v>0</v>
      </c>
      <c r="BJ11" s="550">
        <f>BK11+BL11</f>
        <v>0</v>
      </c>
      <c r="BK11" s="550">
        <f>BK13+BK31+BK37+BK38+BK39</f>
        <v>0</v>
      </c>
      <c r="BL11" s="550">
        <f>BL13+BL31+BL37+BL38+BL39</f>
        <v>0</v>
      </c>
      <c r="BM11" s="550">
        <f>BM13+BM31+BM37+BM38+BM39</f>
        <v>0</v>
      </c>
      <c r="BN11" s="550">
        <f t="shared" ref="BN11:BO11" si="35">BN13+BN31+BN37+BN38+BN39</f>
        <v>0</v>
      </c>
      <c r="BO11" s="550">
        <f t="shared" si="35"/>
        <v>0</v>
      </c>
      <c r="BQ11" s="550">
        <f>BQ13+BQ31+BQ37+BQ38+BQ39</f>
        <v>0</v>
      </c>
      <c r="BR11" s="550">
        <f>BS11+BT11</f>
        <v>0</v>
      </c>
      <c r="BS11" s="550">
        <f>BS13+BS31+BS37+BS38+BS39</f>
        <v>0</v>
      </c>
      <c r="BT11" s="550">
        <f>BT13+BT31+BT37+BT38+BT39</f>
        <v>0</v>
      </c>
      <c r="BU11" s="550">
        <f>BU13+BU31+BU37+BU38+BU39</f>
        <v>0</v>
      </c>
      <c r="BV11" s="550">
        <f t="shared" ref="BV11:BW11" si="36">BV13+BV31+BV37+BV38+BV39</f>
        <v>0</v>
      </c>
      <c r="BW11" s="550">
        <f t="shared" si="36"/>
        <v>0</v>
      </c>
      <c r="BY11" s="550">
        <f>BY13+BY31+BY37+BY38+BY39</f>
        <v>0</v>
      </c>
      <c r="BZ11" s="550">
        <f>CA11+CB11</f>
        <v>0</v>
      </c>
      <c r="CA11" s="550">
        <f>CA13+CA31+CA37+CA38+CA39</f>
        <v>0</v>
      </c>
      <c r="CB11" s="550">
        <f>CB13+CB31+CB37+CB38+CB39</f>
        <v>0</v>
      </c>
      <c r="CC11" s="550">
        <f>CC13+CC31+CC37+CC38+CC39</f>
        <v>0</v>
      </c>
      <c r="CD11" s="550">
        <f t="shared" ref="CD11:CE11" si="37">CD13+CD31+CD37+CD38+CD39</f>
        <v>0</v>
      </c>
      <c r="CE11" s="550">
        <f t="shared" si="37"/>
        <v>0</v>
      </c>
      <c r="CG11" s="550">
        <f>CG13+CG31+CG37+CG38+CG39</f>
        <v>0</v>
      </c>
      <c r="CH11" s="550">
        <f>CI11+CJ11</f>
        <v>0</v>
      </c>
      <c r="CI11" s="550">
        <f>CI13+CI31+CI37+CI38+CI39</f>
        <v>0</v>
      </c>
      <c r="CJ11" s="550">
        <f>CJ13+CJ31+CJ37+CJ38+CJ39</f>
        <v>0</v>
      </c>
      <c r="CK11" s="550">
        <f>CK13+CK31+CK37+CK38+CK39</f>
        <v>0</v>
      </c>
      <c r="CL11" s="550">
        <f t="shared" ref="CL11:CM11" si="38">CL13+CL31+CL37+CL38+CL39</f>
        <v>0</v>
      </c>
      <c r="CM11" s="550">
        <f t="shared" si="38"/>
        <v>0</v>
      </c>
      <c r="CO11" s="550">
        <f>CO13+CO31+CO37+CO38+CO39</f>
        <v>0</v>
      </c>
      <c r="CP11" s="550">
        <f>CQ11+CR11</f>
        <v>0</v>
      </c>
      <c r="CQ11" s="550">
        <f>CQ13+CQ31+CQ37+CQ38+CQ39</f>
        <v>0</v>
      </c>
      <c r="CR11" s="550">
        <f>CR13+CR31+CR37+CR38+CR39</f>
        <v>0</v>
      </c>
      <c r="CS11" s="550">
        <f>CS13+CS31+CS37+CS38+CS39</f>
        <v>0</v>
      </c>
      <c r="CT11" s="550">
        <f t="shared" ref="CT11:CU11" si="39">CT13+CT31+CT37+CT38+CT39</f>
        <v>0</v>
      </c>
      <c r="CU11" s="550">
        <f t="shared" si="39"/>
        <v>0</v>
      </c>
      <c r="CW11" s="550">
        <f>CW13+CW31+CW37+CW38+CW39</f>
        <v>0</v>
      </c>
      <c r="CX11" s="550">
        <f>CY11+CZ11</f>
        <v>0</v>
      </c>
      <c r="CY11" s="550">
        <f>CY13+CY31+CY37+CY38+CY39</f>
        <v>0</v>
      </c>
      <c r="CZ11" s="550">
        <f>CZ13+CZ31+CZ37+CZ38+CZ39</f>
        <v>0</v>
      </c>
      <c r="DA11" s="550">
        <f>DA13+DA31+DA37+DA38+DA39</f>
        <v>0</v>
      </c>
      <c r="DB11" s="550">
        <f t="shared" ref="DB11:DC11" si="40">DB13+DB31+DB37+DB38+DB39</f>
        <v>0</v>
      </c>
      <c r="DC11" s="550">
        <f t="shared" si="40"/>
        <v>0</v>
      </c>
      <c r="DF11" s="850" t="s">
        <v>419</v>
      </c>
      <c r="DG11" s="850"/>
      <c r="DH11" s="850"/>
      <c r="DI11" s="850"/>
      <c r="DJ11" s="850"/>
    </row>
    <row r="12" spans="1:114" s="673" customFormat="1">
      <c r="A12" s="674"/>
      <c r="B12" s="675" t="s">
        <v>7</v>
      </c>
      <c r="C12" s="660"/>
      <c r="D12" s="566"/>
      <c r="E12" s="566"/>
      <c r="F12" s="566"/>
      <c r="G12" s="566"/>
      <c r="H12" s="566"/>
      <c r="I12" s="566"/>
      <c r="J12" s="566"/>
      <c r="K12" s="676"/>
      <c r="M12" s="566"/>
      <c r="N12" s="566"/>
      <c r="O12" s="566"/>
      <c r="P12" s="566"/>
      <c r="Q12" s="566"/>
      <c r="R12" s="566"/>
      <c r="S12" s="566"/>
      <c r="U12" s="566"/>
      <c r="V12" s="566"/>
      <c r="W12" s="566"/>
      <c r="X12" s="566"/>
      <c r="Y12" s="566"/>
      <c r="Z12" s="566"/>
      <c r="AA12" s="566"/>
      <c r="AC12" s="566"/>
      <c r="AD12" s="566"/>
      <c r="AE12" s="566"/>
      <c r="AF12" s="566"/>
      <c r="AG12" s="566"/>
      <c r="AH12" s="566"/>
      <c r="AI12" s="566"/>
      <c r="AK12" s="566"/>
      <c r="AL12" s="566"/>
      <c r="AM12" s="566"/>
      <c r="AN12" s="566"/>
      <c r="AO12" s="566"/>
      <c r="AP12" s="566"/>
      <c r="AQ12" s="566"/>
      <c r="AS12" s="566"/>
      <c r="AT12" s="566"/>
      <c r="AU12" s="566"/>
      <c r="AV12" s="566"/>
      <c r="AW12" s="566"/>
      <c r="AX12" s="566"/>
      <c r="AY12" s="566"/>
      <c r="BA12" s="566"/>
      <c r="BB12" s="566"/>
      <c r="BC12" s="566"/>
      <c r="BD12" s="566"/>
      <c r="BE12" s="566"/>
      <c r="BF12" s="566"/>
      <c r="BG12" s="566"/>
      <c r="BI12" s="566"/>
      <c r="BJ12" s="566"/>
      <c r="BK12" s="566"/>
      <c r="BL12" s="566"/>
      <c r="BM12" s="566"/>
      <c r="BN12" s="566"/>
      <c r="BO12" s="566"/>
      <c r="BQ12" s="566"/>
      <c r="BR12" s="566"/>
      <c r="BS12" s="566"/>
      <c r="BT12" s="566"/>
      <c r="BU12" s="566"/>
      <c r="BV12" s="566"/>
      <c r="BW12" s="566"/>
      <c r="BY12" s="566"/>
      <c r="BZ12" s="566"/>
      <c r="CA12" s="566"/>
      <c r="CB12" s="566"/>
      <c r="CC12" s="566"/>
      <c r="CD12" s="566"/>
      <c r="CE12" s="566"/>
      <c r="CG12" s="566"/>
      <c r="CH12" s="566"/>
      <c r="CI12" s="566"/>
      <c r="CJ12" s="566"/>
      <c r="CK12" s="566"/>
      <c r="CL12" s="566"/>
      <c r="CM12" s="566"/>
      <c r="CO12" s="566"/>
      <c r="CP12" s="566"/>
      <c r="CQ12" s="566"/>
      <c r="CR12" s="566"/>
      <c r="CS12" s="566"/>
      <c r="CT12" s="566"/>
      <c r="CU12" s="566"/>
      <c r="CW12" s="566"/>
      <c r="CX12" s="566"/>
      <c r="CY12" s="566"/>
      <c r="CZ12" s="566"/>
      <c r="DA12" s="566"/>
      <c r="DB12" s="566"/>
      <c r="DC12" s="566"/>
    </row>
    <row r="13" spans="1:114" s="677" customFormat="1" ht="29.25" customHeight="1">
      <c r="A13" s="669" t="s">
        <v>8</v>
      </c>
      <c r="B13" s="670" t="s">
        <v>272</v>
      </c>
      <c r="C13" s="671" t="s">
        <v>9</v>
      </c>
      <c r="D13" s="550">
        <f>D15+D27+D30</f>
        <v>484789.71351999656</v>
      </c>
      <c r="E13" s="550">
        <f>F13+G13</f>
        <v>69792.534438744129</v>
      </c>
      <c r="F13" s="550">
        <f t="shared" ref="F13:J13" si="41">F15+F27+F30</f>
        <v>29230.400227509796</v>
      </c>
      <c r="G13" s="550">
        <f t="shared" si="41"/>
        <v>40562.134211234326</v>
      </c>
      <c r="H13" s="550">
        <f t="shared" si="41"/>
        <v>412813.56348907988</v>
      </c>
      <c r="I13" s="550">
        <f t="shared" si="41"/>
        <v>2183.615592172529</v>
      </c>
      <c r="J13" s="550">
        <f t="shared" si="41"/>
        <v>0</v>
      </c>
      <c r="K13" s="672"/>
      <c r="M13" s="550">
        <f>M15+M27+M30</f>
        <v>10501.721770000004</v>
      </c>
      <c r="N13" s="550">
        <f>O13+P13</f>
        <v>1130.1093836221892</v>
      </c>
      <c r="O13" s="550">
        <f>O15+O27+O30</f>
        <v>619.56911381633381</v>
      </c>
      <c r="P13" s="550">
        <f t="shared" ref="P13:S13" si="42">P15+P27+P30</f>
        <v>510.54026980585536</v>
      </c>
      <c r="Q13" s="550">
        <f t="shared" si="42"/>
        <v>9304.8651988837701</v>
      </c>
      <c r="R13" s="550">
        <f t="shared" si="42"/>
        <v>66.7471874940438</v>
      </c>
      <c r="S13" s="550">
        <f t="shared" si="42"/>
        <v>0</v>
      </c>
      <c r="U13" s="550">
        <f>U15+U27+U30</f>
        <v>9389.8158500000027</v>
      </c>
      <c r="V13" s="550">
        <f>W13+X13</f>
        <v>1136.2600503335002</v>
      </c>
      <c r="W13" s="550">
        <f>W15+W27+W30</f>
        <v>618.96996971803833</v>
      </c>
      <c r="X13" s="550">
        <f t="shared" ref="X13:AA13" si="43">X15+X27+X30</f>
        <v>517.29008061546176</v>
      </c>
      <c r="Y13" s="550">
        <f t="shared" si="43"/>
        <v>8202.8664580731711</v>
      </c>
      <c r="Z13" s="550">
        <f t="shared" si="43"/>
        <v>50.689341593331804</v>
      </c>
      <c r="AA13" s="550">
        <f t="shared" si="43"/>
        <v>0</v>
      </c>
      <c r="AC13" s="550">
        <f>AC15+AC27+AC30</f>
        <v>17303.402790000047</v>
      </c>
      <c r="AD13" s="550">
        <f>AE13+AF13</f>
        <v>1868.634603692677</v>
      </c>
      <c r="AE13" s="550">
        <f>AE15+AE27+AE30</f>
        <v>979.04539462662274</v>
      </c>
      <c r="AF13" s="550">
        <f t="shared" ref="AF13:AI13" si="44">AF15+AF27+AF30</f>
        <v>889.58920906605431</v>
      </c>
      <c r="AG13" s="550">
        <f t="shared" si="44"/>
        <v>15266.840259380482</v>
      </c>
      <c r="AH13" s="550">
        <f t="shared" si="44"/>
        <v>167.92792692688585</v>
      </c>
      <c r="AI13" s="550">
        <f t="shared" si="44"/>
        <v>0</v>
      </c>
      <c r="AK13" s="550">
        <f>AK15+AK27+AK30</f>
        <v>25242.647839999983</v>
      </c>
      <c r="AL13" s="550">
        <f>AM13+AN13</f>
        <v>3282.4694843394518</v>
      </c>
      <c r="AM13" s="550">
        <f>AM15+AM27+AM30</f>
        <v>1565.5702629997213</v>
      </c>
      <c r="AN13" s="550">
        <f t="shared" ref="AN13:AQ13" si="45">AN15+AN27+AN30</f>
        <v>1716.8992213397305</v>
      </c>
      <c r="AO13" s="550">
        <f t="shared" si="45"/>
        <v>21382.884853915388</v>
      </c>
      <c r="AP13" s="550">
        <f t="shared" si="45"/>
        <v>577.29350174514491</v>
      </c>
      <c r="AQ13" s="550">
        <f t="shared" si="45"/>
        <v>0</v>
      </c>
      <c r="AS13" s="550">
        <f>AS15+AS27+AS30</f>
        <v>27112.893829999961</v>
      </c>
      <c r="AT13" s="550">
        <f>AU13+AV13</f>
        <v>2065.356478371762</v>
      </c>
      <c r="AU13" s="550">
        <f>AU15+AU27+AU30</f>
        <v>1052.455263237234</v>
      </c>
      <c r="AV13" s="550">
        <f t="shared" ref="AV13:AY13" si="46">AV15+AV27+AV30</f>
        <v>1012.9012151345281</v>
      </c>
      <c r="AW13" s="550">
        <f t="shared" si="46"/>
        <v>24589.418666861387</v>
      </c>
      <c r="AX13" s="550">
        <f t="shared" si="46"/>
        <v>458.11893476681263</v>
      </c>
      <c r="AY13" s="550">
        <f t="shared" si="46"/>
        <v>0</v>
      </c>
      <c r="BA13" s="550">
        <f>BA15+BA27+BA30</f>
        <v>0</v>
      </c>
      <c r="BB13" s="550">
        <f>BC13+BD13</f>
        <v>0</v>
      </c>
      <c r="BC13" s="550">
        <f>BC15+BC27+BC30</f>
        <v>0</v>
      </c>
      <c r="BD13" s="550">
        <f t="shared" ref="BD13:BG13" si="47">BD15+BD27+BD30</f>
        <v>0</v>
      </c>
      <c r="BE13" s="550">
        <f t="shared" si="47"/>
        <v>0</v>
      </c>
      <c r="BF13" s="550">
        <f t="shared" si="47"/>
        <v>0</v>
      </c>
      <c r="BG13" s="550">
        <f t="shared" si="47"/>
        <v>0</v>
      </c>
      <c r="BI13" s="550">
        <f>BI15+BI27+BI30</f>
        <v>0</v>
      </c>
      <c r="BJ13" s="550">
        <f>BK13+BL13</f>
        <v>0</v>
      </c>
      <c r="BK13" s="550">
        <f>BK15+BK27+BK30</f>
        <v>0</v>
      </c>
      <c r="BL13" s="550">
        <f t="shared" ref="BL13:BO13" si="48">BL15+BL27+BL30</f>
        <v>0</v>
      </c>
      <c r="BM13" s="550">
        <f t="shared" si="48"/>
        <v>0</v>
      </c>
      <c r="BN13" s="550">
        <f t="shared" si="48"/>
        <v>0</v>
      </c>
      <c r="BO13" s="550">
        <f t="shared" si="48"/>
        <v>0</v>
      </c>
      <c r="BQ13" s="550">
        <f>BQ15+BQ27+BQ30</f>
        <v>0</v>
      </c>
      <c r="BR13" s="550">
        <f>BS13+BT13</f>
        <v>0</v>
      </c>
      <c r="BS13" s="550">
        <f>BS15+BS27+BS30</f>
        <v>0</v>
      </c>
      <c r="BT13" s="550">
        <f t="shared" ref="BT13:BW13" si="49">BT15+BT27+BT30</f>
        <v>0</v>
      </c>
      <c r="BU13" s="550">
        <f t="shared" si="49"/>
        <v>0</v>
      </c>
      <c r="BV13" s="550">
        <f t="shared" si="49"/>
        <v>0</v>
      </c>
      <c r="BW13" s="550">
        <f t="shared" si="49"/>
        <v>0</v>
      </c>
      <c r="BY13" s="550">
        <f>BY15+BY27+BY30</f>
        <v>0</v>
      </c>
      <c r="BZ13" s="550">
        <f>CA13+CB13</f>
        <v>0</v>
      </c>
      <c r="CA13" s="550">
        <f>CA15+CA27+CA30</f>
        <v>0</v>
      </c>
      <c r="CB13" s="550">
        <f t="shared" ref="CB13:CE13" si="50">CB15+CB27+CB30</f>
        <v>0</v>
      </c>
      <c r="CC13" s="550">
        <f t="shared" si="50"/>
        <v>0</v>
      </c>
      <c r="CD13" s="550">
        <f t="shared" si="50"/>
        <v>0</v>
      </c>
      <c r="CE13" s="550">
        <f t="shared" si="50"/>
        <v>0</v>
      </c>
      <c r="CG13" s="550">
        <f>CG15+CG27+CG30</f>
        <v>0</v>
      </c>
      <c r="CH13" s="550">
        <f>CI13+CJ13</f>
        <v>0</v>
      </c>
      <c r="CI13" s="550">
        <f>CI15+CI27+CI30</f>
        <v>0</v>
      </c>
      <c r="CJ13" s="550">
        <f t="shared" ref="CJ13:CM13" si="51">CJ15+CJ27+CJ30</f>
        <v>0</v>
      </c>
      <c r="CK13" s="550">
        <f t="shared" si="51"/>
        <v>0</v>
      </c>
      <c r="CL13" s="550">
        <f t="shared" si="51"/>
        <v>0</v>
      </c>
      <c r="CM13" s="550">
        <f t="shared" si="51"/>
        <v>0</v>
      </c>
      <c r="CO13" s="550">
        <f>CO15+CO27+CO30</f>
        <v>0</v>
      </c>
      <c r="CP13" s="550">
        <f>CQ13+CR13</f>
        <v>0</v>
      </c>
      <c r="CQ13" s="550">
        <f>CQ15+CQ27+CQ30</f>
        <v>0</v>
      </c>
      <c r="CR13" s="550">
        <f t="shared" ref="CR13:CU13" si="52">CR15+CR27+CR30</f>
        <v>0</v>
      </c>
      <c r="CS13" s="550">
        <f t="shared" si="52"/>
        <v>0</v>
      </c>
      <c r="CT13" s="550">
        <f t="shared" si="52"/>
        <v>0</v>
      </c>
      <c r="CU13" s="550">
        <f t="shared" si="52"/>
        <v>0</v>
      </c>
      <c r="CW13" s="550">
        <f>CW15+CW27+CW30</f>
        <v>0</v>
      </c>
      <c r="CX13" s="550">
        <f>CY13+CZ13</f>
        <v>0</v>
      </c>
      <c r="CY13" s="550">
        <f>CY15+CY27+CY30</f>
        <v>0</v>
      </c>
      <c r="CZ13" s="550">
        <f t="shared" ref="CZ13:DC13" si="53">CZ15+CZ27+CZ30</f>
        <v>0</v>
      </c>
      <c r="DA13" s="550">
        <f t="shared" si="53"/>
        <v>0</v>
      </c>
      <c r="DB13" s="550">
        <f t="shared" si="53"/>
        <v>0</v>
      </c>
      <c r="DC13" s="550">
        <f t="shared" si="53"/>
        <v>0</v>
      </c>
    </row>
    <row r="14" spans="1:114" s="673" customFormat="1">
      <c r="A14" s="674"/>
      <c r="B14" s="675" t="s">
        <v>7</v>
      </c>
      <c r="C14" s="660"/>
      <c r="D14" s="566"/>
      <c r="E14" s="566"/>
      <c r="F14" s="566"/>
      <c r="G14" s="566"/>
      <c r="H14" s="566"/>
      <c r="I14" s="566"/>
      <c r="J14" s="566"/>
      <c r="K14" s="676"/>
      <c r="M14" s="566"/>
      <c r="N14" s="566"/>
      <c r="O14" s="566"/>
      <c r="P14" s="566"/>
      <c r="Q14" s="566"/>
      <c r="R14" s="566"/>
      <c r="S14" s="566"/>
      <c r="U14" s="566"/>
      <c r="V14" s="566"/>
      <c r="W14" s="566"/>
      <c r="X14" s="566"/>
      <c r="Y14" s="566"/>
      <c r="Z14" s="566"/>
      <c r="AA14" s="566"/>
      <c r="AC14" s="566"/>
      <c r="AD14" s="566"/>
      <c r="AE14" s="566"/>
      <c r="AF14" s="566"/>
      <c r="AG14" s="566"/>
      <c r="AH14" s="566"/>
      <c r="AI14" s="566"/>
      <c r="AK14" s="566"/>
      <c r="AL14" s="566"/>
      <c r="AM14" s="566"/>
      <c r="AN14" s="566"/>
      <c r="AO14" s="566"/>
      <c r="AP14" s="566"/>
      <c r="AQ14" s="566"/>
      <c r="AS14" s="566"/>
      <c r="AT14" s="566"/>
      <c r="AU14" s="566"/>
      <c r="AV14" s="566"/>
      <c r="AW14" s="566"/>
      <c r="AX14" s="566"/>
      <c r="AY14" s="566"/>
      <c r="BA14" s="566"/>
      <c r="BB14" s="566"/>
      <c r="BC14" s="566"/>
      <c r="BD14" s="566"/>
      <c r="BE14" s="566"/>
      <c r="BF14" s="566"/>
      <c r="BG14" s="566"/>
      <c r="BI14" s="566"/>
      <c r="BJ14" s="566"/>
      <c r="BK14" s="566"/>
      <c r="BL14" s="566"/>
      <c r="BM14" s="566"/>
      <c r="BN14" s="566"/>
      <c r="BO14" s="566"/>
      <c r="BQ14" s="566"/>
      <c r="BR14" s="566"/>
      <c r="BS14" s="566"/>
      <c r="BT14" s="566"/>
      <c r="BU14" s="566"/>
      <c r="BV14" s="566"/>
      <c r="BW14" s="566"/>
      <c r="BY14" s="566"/>
      <c r="BZ14" s="566"/>
      <c r="CA14" s="566"/>
      <c r="CB14" s="566"/>
      <c r="CC14" s="566"/>
      <c r="CD14" s="566"/>
      <c r="CE14" s="566"/>
      <c r="CG14" s="566"/>
      <c r="CH14" s="566"/>
      <c r="CI14" s="566"/>
      <c r="CJ14" s="566"/>
      <c r="CK14" s="566"/>
      <c r="CL14" s="566"/>
      <c r="CM14" s="566"/>
      <c r="CO14" s="566"/>
      <c r="CP14" s="566"/>
      <c r="CQ14" s="566"/>
      <c r="CR14" s="566"/>
      <c r="CS14" s="566"/>
      <c r="CT14" s="566"/>
      <c r="CU14" s="566"/>
      <c r="CW14" s="566"/>
      <c r="CX14" s="566"/>
      <c r="CY14" s="566"/>
      <c r="CZ14" s="566"/>
      <c r="DA14" s="566"/>
      <c r="DB14" s="566"/>
      <c r="DC14" s="566"/>
    </row>
    <row r="15" spans="1:114" s="673" customFormat="1" ht="30" customHeight="1">
      <c r="A15" s="674" t="s">
        <v>10</v>
      </c>
      <c r="B15" s="675" t="s">
        <v>420</v>
      </c>
      <c r="C15" s="660" t="s">
        <v>9</v>
      </c>
      <c r="D15" s="566">
        <f>SUM(D16:D26)</f>
        <v>111957.85165392877</v>
      </c>
      <c r="E15" s="557">
        <f t="shared" ref="E15:E31" si="54">F15+G15</f>
        <v>43970.900456065894</v>
      </c>
      <c r="F15" s="566">
        <f>SUM(F16:F26)</f>
        <v>18945.091618240342</v>
      </c>
      <c r="G15" s="566">
        <f>SUM(G16:G26)</f>
        <v>25025.808837825552</v>
      </c>
      <c r="H15" s="566">
        <f t="shared" ref="H15:H31" si="55">D15-F15-G15-I15</f>
        <v>66270.423639007247</v>
      </c>
      <c r="I15" s="566">
        <f t="shared" ref="I15:J15" si="56">SUM(I16:I26)</f>
        <v>1716.5275588556301</v>
      </c>
      <c r="J15" s="566">
        <f t="shared" si="56"/>
        <v>0</v>
      </c>
      <c r="K15" s="676"/>
      <c r="M15" s="566">
        <f>SUM(M16:M26)</f>
        <v>840.57683999999995</v>
      </c>
      <c r="N15" s="557">
        <f t="shared" ref="N15:N31" si="57">O15+P15</f>
        <v>66.527414650491409</v>
      </c>
      <c r="O15" s="566">
        <f>SUM(O16:O26)</f>
        <v>27.96477402212976</v>
      </c>
      <c r="P15" s="566">
        <f>SUM(P16:P26)</f>
        <v>38.562640628361649</v>
      </c>
      <c r="Q15" s="566">
        <f>SUM(Q16:Q26)</f>
        <v>754.16009025359926</v>
      </c>
      <c r="R15" s="566">
        <f>SUM(R16:R26)</f>
        <v>19.889335095909267</v>
      </c>
      <c r="S15" s="566">
        <f>SUM(S16:S26)</f>
        <v>0</v>
      </c>
      <c r="U15" s="566">
        <f>SUM(U16:U26)</f>
        <v>2722.5069200000003</v>
      </c>
      <c r="V15" s="557">
        <f t="shared" ref="V15:V31" si="58">W15+X15</f>
        <v>4.9905497978551612</v>
      </c>
      <c r="W15" s="566">
        <f>SUM(W16:W26)</f>
        <v>2.0977757526937668</v>
      </c>
      <c r="X15" s="566">
        <f>SUM(X16:X26)</f>
        <v>2.8927740451613944</v>
      </c>
      <c r="Y15" s="566">
        <f>SUM(Y16:Y26)</f>
        <v>2716.024372989209</v>
      </c>
      <c r="Z15" s="566">
        <f>SUM(Z16:Z26)</f>
        <v>1.4919972129358912</v>
      </c>
      <c r="AA15" s="566">
        <f>SUM(AA16:AA26)</f>
        <v>0</v>
      </c>
      <c r="AC15" s="566">
        <f>SUM(AC16:AC26)</f>
        <v>4202.9033200000003</v>
      </c>
      <c r="AD15" s="557">
        <f t="shared" ref="AD15:AD31" si="59">AE15+AF15</f>
        <v>410.15506744417246</v>
      </c>
      <c r="AE15" s="566">
        <f>SUM(AE16:AE26)</f>
        <v>171.6133113818513</v>
      </c>
      <c r="AF15" s="566">
        <f>SUM(AF16:AF26)</f>
        <v>238.54175606232118</v>
      </c>
      <c r="AG15" s="566">
        <f>SUM(AG16:AG26)</f>
        <v>3680.2677743816284</v>
      </c>
      <c r="AH15" s="566">
        <f>SUM(AH16:AH26)</f>
        <v>112.48047817419879</v>
      </c>
      <c r="AI15" s="566">
        <f>SUM(AI16:AI26)</f>
        <v>0</v>
      </c>
      <c r="AK15" s="566">
        <f>SUM(AK16:AK26)</f>
        <v>11594.266</v>
      </c>
      <c r="AL15" s="557">
        <f t="shared" ref="AL15:AL31" si="60">AM15+AN15</f>
        <v>1797.6347311736365</v>
      </c>
      <c r="AM15" s="566">
        <f>SUM(AM16:AM26)</f>
        <v>753.89264315850846</v>
      </c>
      <c r="AN15" s="566">
        <f>SUM(AN16:AN26)</f>
        <v>1043.742088015128</v>
      </c>
      <c r="AO15" s="566">
        <f>SUM(AO16:AO26)</f>
        <v>9281.4235253358602</v>
      </c>
      <c r="AP15" s="566">
        <f>SUM(AP16:AP26)</f>
        <v>515.2077434905035</v>
      </c>
      <c r="AQ15" s="566">
        <f>SUM(AQ16:AQ26)</f>
        <v>0</v>
      </c>
      <c r="AS15" s="566">
        <f>SUM(AS16:AS26)</f>
        <v>12747.93332</v>
      </c>
      <c r="AT15" s="557">
        <f t="shared" ref="AT15:AT31" si="61">AU15+AV15</f>
        <v>530.31806905704468</v>
      </c>
      <c r="AU15" s="566">
        <f>SUM(AU16:AU26)</f>
        <v>220.30533117249107</v>
      </c>
      <c r="AV15" s="566">
        <f>SUM(AV16:AV26)</f>
        <v>310.01273788455364</v>
      </c>
      <c r="AW15" s="566">
        <f>SUM(AW16:AW26)</f>
        <v>11840.496808328651</v>
      </c>
      <c r="AX15" s="566">
        <f>SUM(AX16:AX26)</f>
        <v>377.11869261430274</v>
      </c>
      <c r="AY15" s="566">
        <f>SUM(AY16:AY26)</f>
        <v>0</v>
      </c>
      <c r="BA15" s="566">
        <f>SUM(BA16:BA26)</f>
        <v>0</v>
      </c>
      <c r="BB15" s="557">
        <f t="shared" ref="BB15:BB31" si="62">BC15+BD15</f>
        <v>0</v>
      </c>
      <c r="BC15" s="566">
        <f>SUM(BC16:BC26)</f>
        <v>0</v>
      </c>
      <c r="BD15" s="566">
        <f>SUM(BD16:BD26)</f>
        <v>0</v>
      </c>
      <c r="BE15" s="566">
        <f>SUM(BE16:BE26)</f>
        <v>0</v>
      </c>
      <c r="BF15" s="566">
        <f>SUM(BF16:BF26)</f>
        <v>0</v>
      </c>
      <c r="BG15" s="566">
        <f>SUM(BG16:BG26)</f>
        <v>0</v>
      </c>
      <c r="BI15" s="566">
        <f>SUM(BI16:BI26)</f>
        <v>0</v>
      </c>
      <c r="BJ15" s="557">
        <f t="shared" ref="BJ15:BJ31" si="63">BK15+BL15</f>
        <v>0</v>
      </c>
      <c r="BK15" s="566">
        <f>SUM(BK16:BK26)</f>
        <v>0</v>
      </c>
      <c r="BL15" s="566">
        <f>SUM(BL16:BL26)</f>
        <v>0</v>
      </c>
      <c r="BM15" s="566">
        <f>SUM(BM16:BM26)</f>
        <v>0</v>
      </c>
      <c r="BN15" s="566">
        <f>SUM(BN16:BN26)</f>
        <v>0</v>
      </c>
      <c r="BO15" s="566">
        <f>SUM(BO16:BO26)</f>
        <v>0</v>
      </c>
      <c r="BQ15" s="566">
        <f>SUM(BQ16:BQ26)</f>
        <v>0</v>
      </c>
      <c r="BR15" s="557">
        <f t="shared" ref="BR15:BR31" si="64">BS15+BT15</f>
        <v>0</v>
      </c>
      <c r="BS15" s="566">
        <f>SUM(BS16:BS26)</f>
        <v>0</v>
      </c>
      <c r="BT15" s="566">
        <f>SUM(BT16:BT26)</f>
        <v>0</v>
      </c>
      <c r="BU15" s="566">
        <f>SUM(BU16:BU26)</f>
        <v>0</v>
      </c>
      <c r="BV15" s="566">
        <f>SUM(BV16:BV26)</f>
        <v>0</v>
      </c>
      <c r="BW15" s="566">
        <f>SUM(BW16:BW26)</f>
        <v>0</v>
      </c>
      <c r="BY15" s="566">
        <f>SUM(BY16:BY26)</f>
        <v>0</v>
      </c>
      <c r="BZ15" s="557">
        <f t="shared" ref="BZ15:BZ31" si="65">CA15+CB15</f>
        <v>0</v>
      </c>
      <c r="CA15" s="566">
        <f>SUM(CA16:CA26)</f>
        <v>0</v>
      </c>
      <c r="CB15" s="566">
        <f>SUM(CB16:CB26)</f>
        <v>0</v>
      </c>
      <c r="CC15" s="566">
        <f>SUM(CC16:CC26)</f>
        <v>0</v>
      </c>
      <c r="CD15" s="566">
        <f>SUM(CD16:CD26)</f>
        <v>0</v>
      </c>
      <c r="CE15" s="566">
        <f>SUM(CE16:CE26)</f>
        <v>0</v>
      </c>
      <c r="CG15" s="566">
        <f>SUM(CG16:CG26)</f>
        <v>0</v>
      </c>
      <c r="CH15" s="557">
        <f t="shared" ref="CH15:CH31" si="66">CI15+CJ15</f>
        <v>0</v>
      </c>
      <c r="CI15" s="566">
        <f>SUM(CI16:CI26)</f>
        <v>0</v>
      </c>
      <c r="CJ15" s="566">
        <f>SUM(CJ16:CJ26)</f>
        <v>0</v>
      </c>
      <c r="CK15" s="566">
        <f>SUM(CK16:CK26)</f>
        <v>0</v>
      </c>
      <c r="CL15" s="566">
        <f>SUM(CL16:CL26)</f>
        <v>0</v>
      </c>
      <c r="CM15" s="566">
        <f>SUM(CM16:CM26)</f>
        <v>0</v>
      </c>
      <c r="CO15" s="566">
        <f>SUM(CO16:CO26)</f>
        <v>0</v>
      </c>
      <c r="CP15" s="557">
        <f t="shared" ref="CP15:CP31" si="67">CQ15+CR15</f>
        <v>0</v>
      </c>
      <c r="CQ15" s="566">
        <f>SUM(CQ16:CQ26)</f>
        <v>0</v>
      </c>
      <c r="CR15" s="566">
        <f>SUM(CR16:CR26)</f>
        <v>0</v>
      </c>
      <c r="CS15" s="566">
        <f>SUM(CS16:CS26)</f>
        <v>0</v>
      </c>
      <c r="CT15" s="566">
        <f>SUM(CT16:CT26)</f>
        <v>0</v>
      </c>
      <c r="CU15" s="566">
        <f>SUM(CU16:CU26)</f>
        <v>0</v>
      </c>
      <c r="CW15" s="566">
        <f>SUM(CW16:CW26)</f>
        <v>0</v>
      </c>
      <c r="CX15" s="557">
        <f t="shared" ref="CX15:CX31" si="68">CY15+CZ15</f>
        <v>0</v>
      </c>
      <c r="CY15" s="566">
        <f>SUM(CY16:CY26)</f>
        <v>0</v>
      </c>
      <c r="CZ15" s="566">
        <f>SUM(CZ16:CZ26)</f>
        <v>0</v>
      </c>
      <c r="DA15" s="566">
        <f>SUM(DA16:DA26)</f>
        <v>0</v>
      </c>
      <c r="DB15" s="566">
        <f>SUM(DB16:DB26)</f>
        <v>0</v>
      </c>
      <c r="DC15" s="566">
        <f>SUM(DC16:DC26)</f>
        <v>0</v>
      </c>
      <c r="DF15" s="851" t="s">
        <v>421</v>
      </c>
      <c r="DG15" s="851"/>
      <c r="DH15" s="851"/>
      <c r="DI15" s="851"/>
      <c r="DJ15" s="851"/>
    </row>
    <row r="16" spans="1:114" s="673" customFormat="1" ht="20.25" customHeight="1">
      <c r="A16" s="674"/>
      <c r="B16" s="678" t="s">
        <v>422</v>
      </c>
      <c r="C16" s="671" t="s">
        <v>9</v>
      </c>
      <c r="D16" s="563">
        <v>806.75099999999998</v>
      </c>
      <c r="E16" s="560">
        <f t="shared" si="54"/>
        <v>154.63396302369651</v>
      </c>
      <c r="F16" s="563">
        <v>58.939221758667763</v>
      </c>
      <c r="G16" s="563">
        <v>95.694741265028753</v>
      </c>
      <c r="H16" s="563">
        <f t="shared" si="55"/>
        <v>621.03083608963857</v>
      </c>
      <c r="I16" s="563">
        <v>31.086200886665022</v>
      </c>
      <c r="J16" s="563"/>
      <c r="K16" s="679" t="s">
        <v>184</v>
      </c>
      <c r="M16" s="680"/>
      <c r="N16" s="560">
        <f t="shared" si="57"/>
        <v>0</v>
      </c>
      <c r="O16" s="681">
        <f>$M$16*$O$3</f>
        <v>0</v>
      </c>
      <c r="P16" s="681">
        <f>$M$16*$P$3</f>
        <v>0</v>
      </c>
      <c r="Q16" s="681">
        <f>$M$16*$Q$3</f>
        <v>0</v>
      </c>
      <c r="R16" s="681">
        <f>$M$16*$R$3</f>
        <v>0</v>
      </c>
      <c r="S16" s="681">
        <f>$M$16*$S$3</f>
        <v>0</v>
      </c>
      <c r="U16" s="680"/>
      <c r="V16" s="560">
        <f t="shared" si="58"/>
        <v>0</v>
      </c>
      <c r="W16" s="681">
        <f>U16*$W$3</f>
        <v>0</v>
      </c>
      <c r="X16" s="681">
        <f>U16*$X$3</f>
        <v>0</v>
      </c>
      <c r="Y16" s="681">
        <f>U16*$Y$3</f>
        <v>0</v>
      </c>
      <c r="Z16" s="681">
        <f>U16*$Z$3</f>
        <v>0</v>
      </c>
      <c r="AA16" s="681">
        <f>U16*AA3</f>
        <v>0</v>
      </c>
      <c r="AC16" s="680">
        <f>495892.85/1000</f>
        <v>495.89284999999995</v>
      </c>
      <c r="AD16" s="560">
        <f t="shared" si="59"/>
        <v>110.56052569546887</v>
      </c>
      <c r="AE16" s="681">
        <f>AC16*$AE$3</f>
        <v>46.474075884126066</v>
      </c>
      <c r="AF16" s="681">
        <f>AC16*$AF$3</f>
        <v>64.086449811342803</v>
      </c>
      <c r="AG16" s="681">
        <f>AC16*$AG$3</f>
        <v>352.27865228842148</v>
      </c>
      <c r="AH16" s="681">
        <f>AC16*$AH$3</f>
        <v>33.053672016109594</v>
      </c>
      <c r="AI16" s="681">
        <f>AC16*AI3</f>
        <v>0</v>
      </c>
      <c r="AK16" s="680"/>
      <c r="AL16" s="560">
        <f t="shared" si="60"/>
        <v>0</v>
      </c>
      <c r="AM16" s="681">
        <f>AK16*$AM$3</f>
        <v>0</v>
      </c>
      <c r="AN16" s="681">
        <f>AK16*$AN$3</f>
        <v>0</v>
      </c>
      <c r="AO16" s="681">
        <f>AK16*$AO$3</f>
        <v>0</v>
      </c>
      <c r="AP16" s="681">
        <f>AK16*$AP$3</f>
        <v>0</v>
      </c>
      <c r="AQ16" s="681">
        <f>AK16*AQ3</f>
        <v>0</v>
      </c>
      <c r="AS16" s="680"/>
      <c r="AT16" s="560">
        <f t="shared" si="61"/>
        <v>0</v>
      </c>
      <c r="AU16" s="681">
        <f>AS16*$AU$3</f>
        <v>0</v>
      </c>
      <c r="AV16" s="681">
        <f>AS16*$AV$3</f>
        <v>0</v>
      </c>
      <c r="AW16" s="681">
        <f>AS16*$AW$3</f>
        <v>0</v>
      </c>
      <c r="AX16" s="681">
        <f>AS16*$AX$3</f>
        <v>0</v>
      </c>
      <c r="AY16" s="681">
        <f>AS16*AY3</f>
        <v>0</v>
      </c>
      <c r="BA16" s="680"/>
      <c r="BB16" s="560">
        <f t="shared" si="62"/>
        <v>0</v>
      </c>
      <c r="BC16" s="681">
        <f>BA16*$BC$3</f>
        <v>0</v>
      </c>
      <c r="BD16" s="681">
        <f>BA16*$BD$3</f>
        <v>0</v>
      </c>
      <c r="BE16" s="681">
        <f>BA16*$BE$3</f>
        <v>0</v>
      </c>
      <c r="BF16" s="681">
        <f>BA16*$BF$3</f>
        <v>0</v>
      </c>
      <c r="BG16" s="681">
        <f>BA16*BG3</f>
        <v>0</v>
      </c>
      <c r="BI16" s="680"/>
      <c r="BJ16" s="560">
        <f t="shared" si="63"/>
        <v>0</v>
      </c>
      <c r="BK16" s="681">
        <f>BI16*$BK$3</f>
        <v>0</v>
      </c>
      <c r="BL16" s="681">
        <f>BI16*$BL$3</f>
        <v>0</v>
      </c>
      <c r="BM16" s="681">
        <f>BI16*$BM$3</f>
        <v>0</v>
      </c>
      <c r="BN16" s="681">
        <f>BI16*$BN$3</f>
        <v>0</v>
      </c>
      <c r="BO16" s="681">
        <f>BI16*BO3</f>
        <v>0</v>
      </c>
      <c r="BQ16" s="680"/>
      <c r="BR16" s="560">
        <f t="shared" si="64"/>
        <v>0</v>
      </c>
      <c r="BS16" s="681">
        <f>BQ16*$BS$3</f>
        <v>0</v>
      </c>
      <c r="BT16" s="681">
        <f>BQ16*$BT$3</f>
        <v>0</v>
      </c>
      <c r="BU16" s="681">
        <f>BQ16*$BU$3</f>
        <v>0</v>
      </c>
      <c r="BV16" s="681">
        <f>BQ16*$BV$3</f>
        <v>0</v>
      </c>
      <c r="BW16" s="681">
        <f>BQ16*BW3</f>
        <v>0</v>
      </c>
      <c r="BY16" s="680"/>
      <c r="BZ16" s="560">
        <f t="shared" si="65"/>
        <v>0</v>
      </c>
      <c r="CA16" s="681">
        <f>BY16*$CA$3</f>
        <v>0</v>
      </c>
      <c r="CB16" s="681">
        <f>BY16*$CB$3</f>
        <v>0</v>
      </c>
      <c r="CC16" s="681">
        <f>BY16*$CC$3</f>
        <v>0</v>
      </c>
      <c r="CD16" s="681">
        <f>BY16*$CD$3</f>
        <v>0</v>
      </c>
      <c r="CE16" s="681">
        <f>BY16*CE3</f>
        <v>0</v>
      </c>
      <c r="CG16" s="680"/>
      <c r="CH16" s="560">
        <f t="shared" si="66"/>
        <v>0</v>
      </c>
      <c r="CI16" s="681">
        <f>CG16*$CI$3</f>
        <v>0</v>
      </c>
      <c r="CJ16" s="681">
        <f>CG16*$CJ$3</f>
        <v>0</v>
      </c>
      <c r="CK16" s="681">
        <f>CG16*$CK$3</f>
        <v>0</v>
      </c>
      <c r="CL16" s="681">
        <f>CG16*$CL$3</f>
        <v>0</v>
      </c>
      <c r="CM16" s="681">
        <f>CG16*CM3</f>
        <v>0</v>
      </c>
      <c r="CO16" s="680"/>
      <c r="CP16" s="560">
        <f t="shared" si="67"/>
        <v>0</v>
      </c>
      <c r="CQ16" s="681">
        <f>CO16*$CQ$3</f>
        <v>0</v>
      </c>
      <c r="CR16" s="681">
        <f>CO16*$CR$3</f>
        <v>0</v>
      </c>
      <c r="CS16" s="681">
        <f>CO16*$CS$3</f>
        <v>0</v>
      </c>
      <c r="CT16" s="681">
        <f>CO16*$CT$3</f>
        <v>0</v>
      </c>
      <c r="CU16" s="681">
        <f>CO16*CU3</f>
        <v>0</v>
      </c>
      <c r="CW16" s="680"/>
      <c r="CX16" s="560">
        <f t="shared" si="68"/>
        <v>0</v>
      </c>
      <c r="CY16" s="681">
        <f>CW16*$CY$3</f>
        <v>0</v>
      </c>
      <c r="CZ16" s="681">
        <f>CW16*$CZ$3</f>
        <v>0</v>
      </c>
      <c r="DA16" s="681">
        <f>CW16*$DA$3</f>
        <v>0</v>
      </c>
      <c r="DB16" s="681">
        <f>CW16*$DB$3</f>
        <v>0</v>
      </c>
      <c r="DC16" s="681">
        <f>CW16*DC3</f>
        <v>0</v>
      </c>
      <c r="DF16" s="682" t="s">
        <v>423</v>
      </c>
      <c r="DG16" s="682" t="s">
        <v>424</v>
      </c>
      <c r="DH16" s="682" t="s">
        <v>425</v>
      </c>
      <c r="DI16" s="682" t="s">
        <v>426</v>
      </c>
      <c r="DJ16" s="682" t="s">
        <v>427</v>
      </c>
    </row>
    <row r="17" spans="1:114" s="673" customFormat="1" ht="20.25" customHeight="1" outlineLevel="1">
      <c r="A17" s="674"/>
      <c r="B17" s="678" t="s">
        <v>428</v>
      </c>
      <c r="C17" s="671" t="s">
        <v>9</v>
      </c>
      <c r="D17" s="563">
        <v>5337.4310388234471</v>
      </c>
      <c r="E17" s="560">
        <f t="shared" si="54"/>
        <v>4349.6166731240464</v>
      </c>
      <c r="F17" s="563">
        <v>112.512023841711</v>
      </c>
      <c r="G17" s="563">
        <v>4237.1046492823352</v>
      </c>
      <c r="H17" s="563">
        <f t="shared" si="55"/>
        <v>987.8143656994007</v>
      </c>
      <c r="I17" s="564"/>
      <c r="J17" s="564"/>
      <c r="K17" s="683" t="s">
        <v>429</v>
      </c>
      <c r="M17" s="680"/>
      <c r="N17" s="560">
        <f t="shared" si="57"/>
        <v>0</v>
      </c>
      <c r="O17" s="681">
        <f>M17*O3</f>
        <v>0</v>
      </c>
      <c r="P17" s="681">
        <f>M17*P3</f>
        <v>0</v>
      </c>
      <c r="Q17" s="681">
        <f>M17*Q3</f>
        <v>0</v>
      </c>
      <c r="R17" s="681">
        <f>M17*R3</f>
        <v>0</v>
      </c>
      <c r="S17" s="681">
        <f>M17*S3</f>
        <v>0</v>
      </c>
      <c r="U17" s="680"/>
      <c r="V17" s="560">
        <f t="shared" si="58"/>
        <v>0</v>
      </c>
      <c r="W17" s="681">
        <f>U17*W3</f>
        <v>0</v>
      </c>
      <c r="X17" s="681">
        <f>U17*X3</f>
        <v>0</v>
      </c>
      <c r="Y17" s="681">
        <f>U17*Y3</f>
        <v>0</v>
      </c>
      <c r="Z17" s="681">
        <f>U17*Z3</f>
        <v>0</v>
      </c>
      <c r="AA17" s="681">
        <f>U17*AA3</f>
        <v>0</v>
      </c>
      <c r="AC17" s="680"/>
      <c r="AD17" s="560">
        <f t="shared" si="59"/>
        <v>0</v>
      </c>
      <c r="AE17" s="681">
        <f>AC17*AE3</f>
        <v>0</v>
      </c>
      <c r="AF17" s="681">
        <f>AC17*AF3</f>
        <v>0</v>
      </c>
      <c r="AG17" s="681">
        <f>AC17*AG3</f>
        <v>0</v>
      </c>
      <c r="AH17" s="681">
        <f>AC17*AH3</f>
        <v>0</v>
      </c>
      <c r="AI17" s="681">
        <f>AC17*AI3</f>
        <v>0</v>
      </c>
      <c r="AK17" s="680"/>
      <c r="AL17" s="560">
        <f t="shared" si="60"/>
        <v>0</v>
      </c>
      <c r="AM17" s="681">
        <f>AK17*AM3</f>
        <v>0</v>
      </c>
      <c r="AN17" s="681">
        <f>AK17*AN3</f>
        <v>0</v>
      </c>
      <c r="AO17" s="681">
        <f>AK17*AO3</f>
        <v>0</v>
      </c>
      <c r="AP17" s="681">
        <f>AK17*AP3</f>
        <v>0</v>
      </c>
      <c r="AQ17" s="681">
        <f>AK17*AQ3</f>
        <v>0</v>
      </c>
      <c r="AS17" s="680"/>
      <c r="AT17" s="560">
        <f t="shared" si="61"/>
        <v>0</v>
      </c>
      <c r="AU17" s="681">
        <f>AS17*AU3</f>
        <v>0</v>
      </c>
      <c r="AV17" s="681">
        <f>AS17*AV3</f>
        <v>0</v>
      </c>
      <c r="AW17" s="681">
        <f>AS17*AW3</f>
        <v>0</v>
      </c>
      <c r="AX17" s="681">
        <f>AS17*AX3</f>
        <v>0</v>
      </c>
      <c r="AY17" s="681">
        <f>AS17*AY3</f>
        <v>0</v>
      </c>
      <c r="BA17" s="680"/>
      <c r="BB17" s="560">
        <f t="shared" si="62"/>
        <v>0</v>
      </c>
      <c r="BC17" s="684">
        <f>BA17*$DF$17</f>
        <v>0</v>
      </c>
      <c r="BD17" s="684">
        <f>BA17*$DG$17</f>
        <v>0</v>
      </c>
      <c r="BE17" s="684">
        <f>BA17*$DH$17</f>
        <v>0</v>
      </c>
      <c r="BF17" s="684">
        <f>BA17*$DI$17</f>
        <v>0</v>
      </c>
      <c r="BG17" s="684">
        <f>BA17*$DJ$17</f>
        <v>0</v>
      </c>
      <c r="BI17" s="680"/>
      <c r="BJ17" s="560">
        <f t="shared" si="63"/>
        <v>0</v>
      </c>
      <c r="BK17" s="684">
        <f>BI17*$DF$17</f>
        <v>0</v>
      </c>
      <c r="BL17" s="684">
        <f>BI17*$DG$17</f>
        <v>0</v>
      </c>
      <c r="BM17" s="684">
        <f>BI17*$DH$17</f>
        <v>0</v>
      </c>
      <c r="BN17" s="684">
        <f>BI17*$DI$17</f>
        <v>0</v>
      </c>
      <c r="BO17" s="684">
        <f>BI17*$DJ$17</f>
        <v>0</v>
      </c>
      <c r="BQ17" s="680"/>
      <c r="BR17" s="560">
        <f t="shared" si="64"/>
        <v>0</v>
      </c>
      <c r="BS17" s="684">
        <f>BQ17*$DF$17</f>
        <v>0</v>
      </c>
      <c r="BT17" s="684">
        <f>BQ17*$DG$17</f>
        <v>0</v>
      </c>
      <c r="BU17" s="684">
        <f>BQ17*$DH$17</f>
        <v>0</v>
      </c>
      <c r="BV17" s="684">
        <f>BQ17*$DI$17</f>
        <v>0</v>
      </c>
      <c r="BW17" s="684">
        <f>BQ17*$DJ$17</f>
        <v>0</v>
      </c>
      <c r="BY17" s="680"/>
      <c r="BZ17" s="560">
        <f t="shared" si="65"/>
        <v>0</v>
      </c>
      <c r="CA17" s="684">
        <f>BY17*$DF$17</f>
        <v>0</v>
      </c>
      <c r="CB17" s="684">
        <f>BY17*$DG$17</f>
        <v>0</v>
      </c>
      <c r="CC17" s="684">
        <f>BY17*$DH$17</f>
        <v>0</v>
      </c>
      <c r="CD17" s="684">
        <f>BY17*$DI$17</f>
        <v>0</v>
      </c>
      <c r="CE17" s="684">
        <f>BY17*$DJ$17</f>
        <v>0</v>
      </c>
      <c r="CG17" s="680"/>
      <c r="CH17" s="560">
        <f t="shared" si="66"/>
        <v>0</v>
      </c>
      <c r="CI17" s="684">
        <f>CG17*$DF$17</f>
        <v>0</v>
      </c>
      <c r="CJ17" s="684">
        <f>CG17*$DG$17</f>
        <v>0</v>
      </c>
      <c r="CK17" s="684">
        <f>CG17*$DH$17</f>
        <v>0</v>
      </c>
      <c r="CL17" s="684">
        <f>CG17*$DI$17</f>
        <v>0</v>
      </c>
      <c r="CM17" s="684">
        <f>CG17*$DJ$17</f>
        <v>0</v>
      </c>
      <c r="CO17" s="680"/>
      <c r="CP17" s="560">
        <f t="shared" si="67"/>
        <v>0</v>
      </c>
      <c r="CQ17" s="684">
        <f>CO17*$DF$17</f>
        <v>0</v>
      </c>
      <c r="CR17" s="684">
        <f>CO17*$DG$17</f>
        <v>0</v>
      </c>
      <c r="CS17" s="684">
        <f>CO17*$DH$17</f>
        <v>0</v>
      </c>
      <c r="CT17" s="684">
        <f>CO17*$DI$17</f>
        <v>0</v>
      </c>
      <c r="CU17" s="684">
        <f>CO17*$DJ$17</f>
        <v>0</v>
      </c>
      <c r="CW17" s="680"/>
      <c r="CX17" s="560">
        <f t="shared" si="68"/>
        <v>0</v>
      </c>
      <c r="CY17" s="684">
        <f>CW17*$DF$17</f>
        <v>0</v>
      </c>
      <c r="CZ17" s="684">
        <f>CW17*$DG$17</f>
        <v>0</v>
      </c>
      <c r="DA17" s="684">
        <f>CW17*$DH$17</f>
        <v>0</v>
      </c>
      <c r="DB17" s="684">
        <f>CW17*$DI$17</f>
        <v>0</v>
      </c>
      <c r="DC17" s="684">
        <f>CW17*$DJ$17</f>
        <v>0</v>
      </c>
      <c r="DF17" s="685">
        <f>F17/$D$17</f>
        <v>2.1079808436553122E-2</v>
      </c>
      <c r="DG17" s="685">
        <f>G17/$D$17</f>
        <v>0.79384719324005326</v>
      </c>
      <c r="DH17" s="685">
        <f>H17/$D$17</f>
        <v>0.18507299832339358</v>
      </c>
      <c r="DI17" s="685">
        <f>I17/$D$17</f>
        <v>0</v>
      </c>
      <c r="DJ17" s="685">
        <f>J17/$D$17</f>
        <v>0</v>
      </c>
    </row>
    <row r="18" spans="1:114" s="673" customFormat="1" ht="25.5" customHeight="1" outlineLevel="1">
      <c r="A18" s="674"/>
      <c r="B18" s="678" t="s">
        <v>430</v>
      </c>
      <c r="C18" s="671" t="s">
        <v>9</v>
      </c>
      <c r="D18" s="563">
        <v>29338.055386615877</v>
      </c>
      <c r="E18" s="560">
        <f t="shared" si="54"/>
        <v>26500.568977345123</v>
      </c>
      <c r="F18" s="563">
        <v>10518.253863796914</v>
      </c>
      <c r="G18" s="563">
        <v>15982.315113548211</v>
      </c>
      <c r="H18" s="563">
        <f t="shared" si="55"/>
        <v>2837.4864092707503</v>
      </c>
      <c r="I18" s="563">
        <v>0</v>
      </c>
      <c r="J18" s="563"/>
      <c r="K18" s="686" t="s">
        <v>202</v>
      </c>
      <c r="M18" s="680"/>
      <c r="N18" s="560">
        <f t="shared" si="57"/>
        <v>0</v>
      </c>
      <c r="O18" s="687">
        <f>$M$18*$O$6</f>
        <v>0</v>
      </c>
      <c r="P18" s="687">
        <f>$M$18*$P$6</f>
        <v>0</v>
      </c>
      <c r="Q18" s="687">
        <f>$M$18*$Q$6</f>
        <v>0</v>
      </c>
      <c r="R18" s="687">
        <f>$M$18*$R$6</f>
        <v>0</v>
      </c>
      <c r="S18" s="687">
        <f>$M$18*$S$6</f>
        <v>0</v>
      </c>
      <c r="U18" s="680"/>
      <c r="V18" s="560">
        <f t="shared" si="58"/>
        <v>0</v>
      </c>
      <c r="W18" s="687">
        <f>U18*$W$6</f>
        <v>0</v>
      </c>
      <c r="X18" s="687">
        <f>U18*$X$6</f>
        <v>0</v>
      </c>
      <c r="Y18" s="687">
        <f>U18*$Y$6</f>
        <v>0</v>
      </c>
      <c r="Z18" s="687">
        <f>U18*$Z$6</f>
        <v>0</v>
      </c>
      <c r="AA18" s="687">
        <f>U18*AA6</f>
        <v>0</v>
      </c>
      <c r="AC18" s="680">
        <f>37553.57/1000</f>
        <v>37.553570000000001</v>
      </c>
      <c r="AD18" s="560">
        <f t="shared" si="59"/>
        <v>33.921504306129577</v>
      </c>
      <c r="AE18" s="687">
        <f>AC18*$W$6</f>
        <v>13.463672951277722</v>
      </c>
      <c r="AF18" s="687">
        <f>AC18*$X$6</f>
        <v>20.457831354851855</v>
      </c>
      <c r="AG18" s="687">
        <f>AC18*$Y$6</f>
        <v>3.6320656938704228</v>
      </c>
      <c r="AH18" s="687">
        <f>AC18*$Z$6</f>
        <v>0</v>
      </c>
      <c r="AI18" s="687">
        <f>AC18*AI6</f>
        <v>0</v>
      </c>
      <c r="AK18" s="680">
        <f>82285.71/1000</f>
        <v>82.285710000000009</v>
      </c>
      <c r="AL18" s="560">
        <f t="shared" si="60"/>
        <v>74.327289418767108</v>
      </c>
      <c r="AM18" s="687">
        <f>AK18*$W$6</f>
        <v>29.501000517492287</v>
      </c>
      <c r="AN18" s="687">
        <f>AK18*$X$6</f>
        <v>44.826288901274822</v>
      </c>
      <c r="AO18" s="687">
        <f>AK18*$Y$6</f>
        <v>7.9584205812329003</v>
      </c>
      <c r="AP18" s="687">
        <f>AK18*$Z$6</f>
        <v>0</v>
      </c>
      <c r="AQ18" s="687">
        <f>AK18*AQ6</f>
        <v>0</v>
      </c>
      <c r="AS18" s="680">
        <f>123428.57/1000</f>
        <v>123.42857000000001</v>
      </c>
      <c r="AT18" s="560">
        <f t="shared" si="61"/>
        <v>111.49093864456604</v>
      </c>
      <c r="AU18" s="687">
        <f>AS18*$W$6</f>
        <v>44.251502568834042</v>
      </c>
      <c r="AV18" s="687">
        <f>AS18*$X$6</f>
        <v>67.239436075732002</v>
      </c>
      <c r="AW18" s="687">
        <f>AS18*$Y$6</f>
        <v>11.937631355433959</v>
      </c>
      <c r="AX18" s="687">
        <f>AS18*$Z$6</f>
        <v>0</v>
      </c>
      <c r="AY18" s="687">
        <f>AS18*AY6</f>
        <v>0</v>
      </c>
      <c r="BA18" s="680"/>
      <c r="BB18" s="560">
        <f t="shared" si="62"/>
        <v>0</v>
      </c>
      <c r="BC18" s="687">
        <f>BA18*$W$6</f>
        <v>0</v>
      </c>
      <c r="BD18" s="687">
        <f>BA18*$X$6</f>
        <v>0</v>
      </c>
      <c r="BE18" s="687">
        <f>BA18*$Y$6</f>
        <v>0</v>
      </c>
      <c r="BF18" s="687">
        <f>BA18*$Z$6</f>
        <v>0</v>
      </c>
      <c r="BG18" s="687">
        <f>BA18*BG6</f>
        <v>0</v>
      </c>
      <c r="BI18" s="680"/>
      <c r="BJ18" s="560">
        <f t="shared" si="63"/>
        <v>0</v>
      </c>
      <c r="BK18" s="687">
        <f>BI18*$W$6</f>
        <v>0</v>
      </c>
      <c r="BL18" s="687">
        <f>BI18*$X$6</f>
        <v>0</v>
      </c>
      <c r="BM18" s="687">
        <f>BI18*$Y$6</f>
        <v>0</v>
      </c>
      <c r="BN18" s="687">
        <f>BI18*$Z$6</f>
        <v>0</v>
      </c>
      <c r="BO18" s="687">
        <f>BI18*BO6</f>
        <v>0</v>
      </c>
      <c r="BQ18" s="680"/>
      <c r="BR18" s="560">
        <f t="shared" si="64"/>
        <v>0</v>
      </c>
      <c r="BS18" s="687">
        <f>BQ18*$W$6</f>
        <v>0</v>
      </c>
      <c r="BT18" s="687">
        <f>BQ18*$X$6</f>
        <v>0</v>
      </c>
      <c r="BU18" s="687">
        <f>BQ18*$Y$6</f>
        <v>0</v>
      </c>
      <c r="BV18" s="687">
        <f>BQ18*$Z$6</f>
        <v>0</v>
      </c>
      <c r="BW18" s="687">
        <f>BQ18*BW6</f>
        <v>0</v>
      </c>
      <c r="BY18" s="680"/>
      <c r="BZ18" s="560">
        <f t="shared" si="65"/>
        <v>0</v>
      </c>
      <c r="CA18" s="687">
        <f>BY18*$W$6</f>
        <v>0</v>
      </c>
      <c r="CB18" s="687">
        <f>BY18*$X$6</f>
        <v>0</v>
      </c>
      <c r="CC18" s="687">
        <f>BY18*$Y$6</f>
        <v>0</v>
      </c>
      <c r="CD18" s="687">
        <f>BY18*$Z$6</f>
        <v>0</v>
      </c>
      <c r="CE18" s="687">
        <f>BY18*CE6</f>
        <v>0</v>
      </c>
      <c r="CG18" s="680"/>
      <c r="CH18" s="560">
        <f t="shared" si="66"/>
        <v>0</v>
      </c>
      <c r="CI18" s="687">
        <f>CG18*$W$6</f>
        <v>0</v>
      </c>
      <c r="CJ18" s="687">
        <f>CG18*$X$6</f>
        <v>0</v>
      </c>
      <c r="CK18" s="687">
        <f>CG18*$Y$6</f>
        <v>0</v>
      </c>
      <c r="CL18" s="687">
        <f>CG18*$Z$6</f>
        <v>0</v>
      </c>
      <c r="CM18" s="687">
        <f>CG18*CM6</f>
        <v>0</v>
      </c>
      <c r="CO18" s="680"/>
      <c r="CP18" s="560">
        <f t="shared" si="67"/>
        <v>0</v>
      </c>
      <c r="CQ18" s="687">
        <f>CO18*$W$6</f>
        <v>0</v>
      </c>
      <c r="CR18" s="687">
        <f>CO18*$X$6</f>
        <v>0</v>
      </c>
      <c r="CS18" s="687">
        <f>CO18*$Y$6</f>
        <v>0</v>
      </c>
      <c r="CT18" s="687">
        <f>CO18*$Z$6</f>
        <v>0</v>
      </c>
      <c r="CU18" s="687">
        <f>CO18*CU6</f>
        <v>0</v>
      </c>
      <c r="CW18" s="680"/>
      <c r="CX18" s="560">
        <f t="shared" si="68"/>
        <v>0</v>
      </c>
      <c r="CY18" s="687">
        <f>CW18*$W$6</f>
        <v>0</v>
      </c>
      <c r="CZ18" s="687">
        <f>CW18*$X$6</f>
        <v>0</v>
      </c>
      <c r="DA18" s="687">
        <f>CW18*$Y$6</f>
        <v>0</v>
      </c>
      <c r="DB18" s="687">
        <f>CW18*$Z$6</f>
        <v>0</v>
      </c>
      <c r="DC18" s="687">
        <f>CW18*DC6</f>
        <v>0</v>
      </c>
      <c r="DF18" s="688"/>
      <c r="DG18" s="688"/>
      <c r="DH18" s="688"/>
      <c r="DI18" s="688"/>
      <c r="DJ18" s="688"/>
    </row>
    <row r="19" spans="1:114" s="673" customFormat="1" ht="20.25" customHeight="1" outlineLevel="1">
      <c r="A19" s="674"/>
      <c r="B19" s="678" t="s">
        <v>431</v>
      </c>
      <c r="C19" s="671" t="s">
        <v>9</v>
      </c>
      <c r="D19" s="563">
        <v>3332.3595</v>
      </c>
      <c r="E19" s="560">
        <f t="shared" si="54"/>
        <v>0</v>
      </c>
      <c r="F19" s="563"/>
      <c r="G19" s="563"/>
      <c r="H19" s="563">
        <f t="shared" si="55"/>
        <v>2997.8150000000001</v>
      </c>
      <c r="I19" s="564">
        <v>334.54450000000003</v>
      </c>
      <c r="J19" s="564"/>
      <c r="K19" s="683" t="s">
        <v>429</v>
      </c>
      <c r="M19" s="680"/>
      <c r="N19" s="560">
        <f t="shared" si="57"/>
        <v>0</v>
      </c>
      <c r="O19" s="684"/>
      <c r="P19" s="684"/>
      <c r="Q19" s="684">
        <f>M19-R19</f>
        <v>0</v>
      </c>
      <c r="R19" s="684"/>
      <c r="S19" s="684"/>
      <c r="U19" s="680"/>
      <c r="V19" s="560">
        <f t="shared" si="58"/>
        <v>0</v>
      </c>
      <c r="W19" s="684"/>
      <c r="X19" s="684"/>
      <c r="Y19" s="684">
        <f>U19-Z19</f>
        <v>0</v>
      </c>
      <c r="Z19" s="684"/>
      <c r="AA19" s="684"/>
      <c r="AC19" s="680"/>
      <c r="AD19" s="560">
        <f t="shared" si="59"/>
        <v>0</v>
      </c>
      <c r="AE19" s="684"/>
      <c r="AF19" s="684"/>
      <c r="AG19" s="684">
        <f>AC19-AH19</f>
        <v>0</v>
      </c>
      <c r="AH19" s="684"/>
      <c r="AI19" s="684"/>
      <c r="AK19" s="680"/>
      <c r="AL19" s="560">
        <f t="shared" si="60"/>
        <v>0</v>
      </c>
      <c r="AM19" s="684"/>
      <c r="AN19" s="684"/>
      <c r="AO19" s="684">
        <f>AK19-AP19</f>
        <v>0</v>
      </c>
      <c r="AP19" s="684"/>
      <c r="AQ19" s="684"/>
      <c r="AS19" s="680">
        <f>322383/1000</f>
        <v>322.38299999999998</v>
      </c>
      <c r="AT19" s="560">
        <f t="shared" si="61"/>
        <v>0</v>
      </c>
      <c r="AU19" s="684"/>
      <c r="AV19" s="684"/>
      <c r="AW19" s="684">
        <f>70479/1000</f>
        <v>70.478999999999999</v>
      </c>
      <c r="AX19" s="684">
        <f>251904.25/1000</f>
        <v>251.90424999999999</v>
      </c>
      <c r="AY19" s="684"/>
      <c r="BA19" s="680"/>
      <c r="BB19" s="560">
        <f t="shared" si="62"/>
        <v>0</v>
      </c>
      <c r="BC19" s="684">
        <f>BA19*$DF$19</f>
        <v>0</v>
      </c>
      <c r="BD19" s="684">
        <f>BA19*$DG$19</f>
        <v>0</v>
      </c>
      <c r="BE19" s="684">
        <f>BA19*$DH$19</f>
        <v>0</v>
      </c>
      <c r="BF19" s="684">
        <f>BA19*$DI$19</f>
        <v>0</v>
      </c>
      <c r="BG19" s="684">
        <f>BA19*$DJ$19</f>
        <v>0</v>
      </c>
      <c r="BI19" s="680"/>
      <c r="BJ19" s="560">
        <f t="shared" si="63"/>
        <v>0</v>
      </c>
      <c r="BK19" s="684">
        <f>BI19*$DF$19</f>
        <v>0</v>
      </c>
      <c r="BL19" s="684">
        <f>BI19*$DG$19</f>
        <v>0</v>
      </c>
      <c r="BM19" s="684">
        <f>BI19*$DH$19</f>
        <v>0</v>
      </c>
      <c r="BN19" s="684">
        <f>BI19*$DI$19</f>
        <v>0</v>
      </c>
      <c r="BO19" s="684">
        <f>BI19*$DJ$19</f>
        <v>0</v>
      </c>
      <c r="BQ19" s="680"/>
      <c r="BR19" s="560">
        <f t="shared" si="64"/>
        <v>0</v>
      </c>
      <c r="BS19" s="684">
        <f>BQ19*$DF$19</f>
        <v>0</v>
      </c>
      <c r="BT19" s="684">
        <f>BQ19*$DG$19</f>
        <v>0</v>
      </c>
      <c r="BU19" s="684">
        <f>BQ19*$DH$19</f>
        <v>0</v>
      </c>
      <c r="BV19" s="684">
        <f>BQ19*$DI$19</f>
        <v>0</v>
      </c>
      <c r="BW19" s="684">
        <f>BQ19*$DJ$19</f>
        <v>0</v>
      </c>
      <c r="BY19" s="680"/>
      <c r="BZ19" s="560">
        <f t="shared" si="65"/>
        <v>0</v>
      </c>
      <c r="CA19" s="684">
        <f>BY19*$DF$19</f>
        <v>0</v>
      </c>
      <c r="CB19" s="684">
        <f>BY19*$DG$19</f>
        <v>0</v>
      </c>
      <c r="CC19" s="684">
        <f>BY19*$DH$19</f>
        <v>0</v>
      </c>
      <c r="CD19" s="684">
        <f>BY19*$DI$19</f>
        <v>0</v>
      </c>
      <c r="CE19" s="684">
        <f>BY19*$DJ$19</f>
        <v>0</v>
      </c>
      <c r="CG19" s="680"/>
      <c r="CH19" s="560">
        <f t="shared" si="66"/>
        <v>0</v>
      </c>
      <c r="CI19" s="684">
        <f>CG19*$DF$19</f>
        <v>0</v>
      </c>
      <c r="CJ19" s="684">
        <f>CG19*$DG$19</f>
        <v>0</v>
      </c>
      <c r="CK19" s="684">
        <f>CG19*$DH$19</f>
        <v>0</v>
      </c>
      <c r="CL19" s="684">
        <f>CG19*$DI$19</f>
        <v>0</v>
      </c>
      <c r="CM19" s="684">
        <f>CG19*$DJ$19</f>
        <v>0</v>
      </c>
      <c r="CO19" s="680"/>
      <c r="CP19" s="560">
        <f t="shared" si="67"/>
        <v>0</v>
      </c>
      <c r="CQ19" s="684">
        <f>CO19*$DF$19</f>
        <v>0</v>
      </c>
      <c r="CR19" s="684">
        <f>CO19*$DG$19</f>
        <v>0</v>
      </c>
      <c r="CS19" s="684">
        <f>CO19*$DH$19</f>
        <v>0</v>
      </c>
      <c r="CT19" s="684">
        <f>CO19*$DI$19</f>
        <v>0</v>
      </c>
      <c r="CU19" s="684">
        <f>CO19*$DJ$19</f>
        <v>0</v>
      </c>
      <c r="CW19" s="680"/>
      <c r="CX19" s="560">
        <f t="shared" si="68"/>
        <v>0</v>
      </c>
      <c r="CY19" s="684">
        <f>CW19*$DF$19</f>
        <v>0</v>
      </c>
      <c r="CZ19" s="684">
        <f>CW19*$DG$19</f>
        <v>0</v>
      </c>
      <c r="DA19" s="684">
        <f>CW19*$DH$19</f>
        <v>0</v>
      </c>
      <c r="DB19" s="684">
        <f>CW19*$DI$19</f>
        <v>0</v>
      </c>
      <c r="DC19" s="684">
        <f>CW19*$DJ$19</f>
        <v>0</v>
      </c>
      <c r="DF19" s="685">
        <f>F19/$D$19</f>
        <v>0</v>
      </c>
      <c r="DG19" s="685">
        <f>G19/$D$19</f>
        <v>0</v>
      </c>
      <c r="DH19" s="685">
        <f>H19/$D$19</f>
        <v>0.89960732027861945</v>
      </c>
      <c r="DI19" s="685">
        <f>I19/$D$19</f>
        <v>0.10039267972138061</v>
      </c>
      <c r="DJ19" s="685">
        <f>J19/$D$19</f>
        <v>0</v>
      </c>
    </row>
    <row r="20" spans="1:114" s="673" customFormat="1" ht="20.25" customHeight="1" outlineLevel="1">
      <c r="A20" s="674"/>
      <c r="B20" s="678" t="s">
        <v>432</v>
      </c>
      <c r="C20" s="671" t="s">
        <v>9</v>
      </c>
      <c r="D20" s="563">
        <v>30488.188357142855</v>
      </c>
      <c r="E20" s="560">
        <f t="shared" si="54"/>
        <v>0</v>
      </c>
      <c r="F20" s="563"/>
      <c r="G20" s="563"/>
      <c r="H20" s="563">
        <f t="shared" si="55"/>
        <v>30488.188357142855</v>
      </c>
      <c r="I20" s="564"/>
      <c r="J20" s="564"/>
      <c r="K20" s="683" t="s">
        <v>429</v>
      </c>
      <c r="M20" s="680">
        <f>542184/1000</f>
        <v>542.18399999999997</v>
      </c>
      <c r="N20" s="560">
        <f t="shared" si="57"/>
        <v>0</v>
      </c>
      <c r="O20" s="684"/>
      <c r="P20" s="684"/>
      <c r="Q20" s="684">
        <f>M20</f>
        <v>542.18399999999997</v>
      </c>
      <c r="R20" s="684"/>
      <c r="S20" s="684"/>
      <c r="U20" s="680">
        <f>2700123/1000</f>
        <v>2700.123</v>
      </c>
      <c r="V20" s="560">
        <f t="shared" si="58"/>
        <v>0</v>
      </c>
      <c r="W20" s="684"/>
      <c r="X20" s="684"/>
      <c r="Y20" s="684">
        <f>U20</f>
        <v>2700.123</v>
      </c>
      <c r="Z20" s="684"/>
      <c r="AA20" s="684"/>
      <c r="AC20" s="680">
        <f>2477843.9/1000</f>
        <v>2477.8438999999998</v>
      </c>
      <c r="AD20" s="560">
        <f t="shared" si="59"/>
        <v>0</v>
      </c>
      <c r="AE20" s="684"/>
      <c r="AF20" s="684"/>
      <c r="AG20" s="684">
        <f>AC20</f>
        <v>2477.8438999999998</v>
      </c>
      <c r="AH20" s="684"/>
      <c r="AI20" s="684"/>
      <c r="AK20" s="680">
        <f>3782496.07/1000</f>
        <v>3782.4960699999997</v>
      </c>
      <c r="AL20" s="560">
        <f t="shared" si="60"/>
        <v>0</v>
      </c>
      <c r="AM20" s="684"/>
      <c r="AN20" s="684"/>
      <c r="AO20" s="684">
        <f>AK20</f>
        <v>3782.4960699999997</v>
      </c>
      <c r="AP20" s="684"/>
      <c r="AQ20" s="684"/>
      <c r="AS20" s="680">
        <f>10423572.62/1000</f>
        <v>10423.572619999999</v>
      </c>
      <c r="AT20" s="560">
        <f t="shared" si="61"/>
        <v>0</v>
      </c>
      <c r="AU20" s="684"/>
      <c r="AV20" s="684"/>
      <c r="AW20" s="684">
        <f>AS20</f>
        <v>10423.572619999999</v>
      </c>
      <c r="AX20" s="684"/>
      <c r="AY20" s="684"/>
      <c r="BA20" s="680"/>
      <c r="BB20" s="560">
        <f t="shared" si="62"/>
        <v>0</v>
      </c>
      <c r="BC20" s="684">
        <f>BA20*$DF$20</f>
        <v>0</v>
      </c>
      <c r="BD20" s="684">
        <f>BA20*$DG$20</f>
        <v>0</v>
      </c>
      <c r="BE20" s="684">
        <f>BA20*$DH$20</f>
        <v>0</v>
      </c>
      <c r="BF20" s="684">
        <f>BA20*$DI$20</f>
        <v>0</v>
      </c>
      <c r="BG20" s="684">
        <f>BA20*$DJ$20</f>
        <v>0</v>
      </c>
      <c r="BI20" s="680"/>
      <c r="BJ20" s="560">
        <f t="shared" si="63"/>
        <v>0</v>
      </c>
      <c r="BK20" s="684">
        <f>BI20*$DF$20</f>
        <v>0</v>
      </c>
      <c r="BL20" s="684">
        <f>BI20*$DG$20</f>
        <v>0</v>
      </c>
      <c r="BM20" s="684">
        <f>BI20*$DH$20</f>
        <v>0</v>
      </c>
      <c r="BN20" s="684">
        <f>BI20*$DI$20</f>
        <v>0</v>
      </c>
      <c r="BO20" s="684">
        <f>BI20*$DJ$20</f>
        <v>0</v>
      </c>
      <c r="BQ20" s="680"/>
      <c r="BR20" s="560">
        <f t="shared" si="64"/>
        <v>0</v>
      </c>
      <c r="BS20" s="684">
        <f>BQ20*$DF$20</f>
        <v>0</v>
      </c>
      <c r="BT20" s="684">
        <f>BQ20*$DG$20</f>
        <v>0</v>
      </c>
      <c r="BU20" s="684">
        <f>BQ20*$DH$20</f>
        <v>0</v>
      </c>
      <c r="BV20" s="684">
        <f>BQ20*$DI$20</f>
        <v>0</v>
      </c>
      <c r="BW20" s="684">
        <f>BQ20*$DJ$20</f>
        <v>0</v>
      </c>
      <c r="BY20" s="680"/>
      <c r="BZ20" s="560">
        <f t="shared" si="65"/>
        <v>0</v>
      </c>
      <c r="CA20" s="684">
        <f>BY20*$DF$20</f>
        <v>0</v>
      </c>
      <c r="CB20" s="684">
        <f>BY20*$DG$20</f>
        <v>0</v>
      </c>
      <c r="CC20" s="684">
        <f>BY20*$DH$20</f>
        <v>0</v>
      </c>
      <c r="CD20" s="684">
        <f>BY20*$DI$20</f>
        <v>0</v>
      </c>
      <c r="CE20" s="684">
        <f>BY20*$DJ$20</f>
        <v>0</v>
      </c>
      <c r="CG20" s="680"/>
      <c r="CH20" s="560">
        <f t="shared" si="66"/>
        <v>0</v>
      </c>
      <c r="CI20" s="684">
        <f>CG20*$DF$20</f>
        <v>0</v>
      </c>
      <c r="CJ20" s="684">
        <f>CG20*$DG$20</f>
        <v>0</v>
      </c>
      <c r="CK20" s="684">
        <f>CG20*$DH$20</f>
        <v>0</v>
      </c>
      <c r="CL20" s="684">
        <f>CG20*$DI$20</f>
        <v>0</v>
      </c>
      <c r="CM20" s="684">
        <f>CG20*$DJ$20</f>
        <v>0</v>
      </c>
      <c r="CO20" s="680"/>
      <c r="CP20" s="560">
        <f t="shared" si="67"/>
        <v>0</v>
      </c>
      <c r="CQ20" s="684">
        <f>CO20*$DF$20</f>
        <v>0</v>
      </c>
      <c r="CR20" s="684">
        <f>CO20*$DG$20</f>
        <v>0</v>
      </c>
      <c r="CS20" s="684">
        <f>CO20*$DH$20</f>
        <v>0</v>
      </c>
      <c r="CT20" s="684">
        <f>CO20*$DI$20</f>
        <v>0</v>
      </c>
      <c r="CU20" s="684">
        <f>CO20*$DJ$20</f>
        <v>0</v>
      </c>
      <c r="CW20" s="680"/>
      <c r="CX20" s="560">
        <f t="shared" si="68"/>
        <v>0</v>
      </c>
      <c r="CY20" s="684">
        <f>CW20*$DF$20</f>
        <v>0</v>
      </c>
      <c r="CZ20" s="684">
        <f>CW20*$DG$20</f>
        <v>0</v>
      </c>
      <c r="DA20" s="684">
        <f>CW20*$DH$20</f>
        <v>0</v>
      </c>
      <c r="DB20" s="684">
        <f>CW20*$DI$20</f>
        <v>0</v>
      </c>
      <c r="DC20" s="684">
        <f>CW20*$DJ$20</f>
        <v>0</v>
      </c>
      <c r="DF20" s="685">
        <f>F20/$D$20</f>
        <v>0</v>
      </c>
      <c r="DG20" s="685">
        <f>G20/$D$20</f>
        <v>0</v>
      </c>
      <c r="DH20" s="685">
        <f>H20/$D$20</f>
        <v>1</v>
      </c>
      <c r="DI20" s="685">
        <f>I20/$D$20</f>
        <v>0</v>
      </c>
      <c r="DJ20" s="685">
        <f>J20/$D$20</f>
        <v>0</v>
      </c>
    </row>
    <row r="21" spans="1:114" s="673" customFormat="1" ht="20.25" customHeight="1" outlineLevel="1">
      <c r="A21" s="674"/>
      <c r="B21" s="678" t="s">
        <v>433</v>
      </c>
      <c r="C21" s="671" t="s">
        <v>9</v>
      </c>
      <c r="D21" s="563">
        <v>1681.6496399999999</v>
      </c>
      <c r="E21" s="560">
        <f t="shared" si="54"/>
        <v>498.33012199622101</v>
      </c>
      <c r="F21" s="563">
        <f>122.857140620023+116</f>
        <v>238.85714062002302</v>
      </c>
      <c r="G21" s="563">
        <f>199.472981376198+60</f>
        <v>259.47298137619799</v>
      </c>
      <c r="H21" s="563">
        <f t="shared" si="55"/>
        <v>1118.5212115498321</v>
      </c>
      <c r="I21" s="563">
        <v>64.798306453946651</v>
      </c>
      <c r="J21" s="563"/>
      <c r="K21" s="679" t="s">
        <v>184</v>
      </c>
      <c r="M21" s="680"/>
      <c r="N21" s="560">
        <f t="shared" si="57"/>
        <v>0</v>
      </c>
      <c r="O21" s="681">
        <f>$M$21*$O$3</f>
        <v>0</v>
      </c>
      <c r="P21" s="681">
        <f>$M$21*$P$3</f>
        <v>0</v>
      </c>
      <c r="Q21" s="681">
        <f>$M$21*$Q$3</f>
        <v>0</v>
      </c>
      <c r="R21" s="681">
        <f>$M$21*$R$3</f>
        <v>0</v>
      </c>
      <c r="S21" s="681">
        <f>$M$16*$S$3</f>
        <v>0</v>
      </c>
      <c r="U21" s="680"/>
      <c r="V21" s="560">
        <f t="shared" si="58"/>
        <v>0</v>
      </c>
      <c r="W21" s="681">
        <f>U21*$W$3</f>
        <v>0</v>
      </c>
      <c r="X21" s="681">
        <f>U21*$X$3</f>
        <v>0</v>
      </c>
      <c r="Y21" s="681">
        <f>U21*$Y$3</f>
        <v>0</v>
      </c>
      <c r="Z21" s="681">
        <f>U21*$Z$3</f>
        <v>0</v>
      </c>
      <c r="AA21" s="681">
        <f>U21*AA3</f>
        <v>0</v>
      </c>
      <c r="AC21" s="680"/>
      <c r="AD21" s="560">
        <f t="shared" si="59"/>
        <v>0</v>
      </c>
      <c r="AE21" s="681">
        <f>AC21*$AE$3</f>
        <v>0</v>
      </c>
      <c r="AF21" s="681">
        <f>AC21*$AF$3</f>
        <v>0</v>
      </c>
      <c r="AG21" s="681">
        <f>AC21*$AG$3</f>
        <v>0</v>
      </c>
      <c r="AH21" s="681">
        <f>AC21*$AH$3</f>
        <v>0</v>
      </c>
      <c r="AI21" s="681">
        <f>AC21*AI3</f>
        <v>0</v>
      </c>
      <c r="AK21" s="680"/>
      <c r="AL21" s="560">
        <f t="shared" si="60"/>
        <v>0</v>
      </c>
      <c r="AM21" s="681">
        <f>AK21*$AM$3</f>
        <v>0</v>
      </c>
      <c r="AN21" s="681">
        <f>AK21*$AN$3</f>
        <v>0</v>
      </c>
      <c r="AO21" s="681">
        <f>AK21*$AO$3</f>
        <v>0</v>
      </c>
      <c r="AP21" s="681">
        <f>AK21*$AP$3</f>
        <v>0</v>
      </c>
      <c r="AQ21" s="681">
        <f>AK21*AQ3</f>
        <v>0</v>
      </c>
      <c r="AS21" s="680"/>
      <c r="AT21" s="560">
        <f t="shared" si="61"/>
        <v>0</v>
      </c>
      <c r="AU21" s="681">
        <f>AS21*$AU$3</f>
        <v>0</v>
      </c>
      <c r="AV21" s="681">
        <f>AS21*$AV$3</f>
        <v>0</v>
      </c>
      <c r="AW21" s="681">
        <f>AS21*$AW$3</f>
        <v>0</v>
      </c>
      <c r="AX21" s="681">
        <f>AS21*$AX$3</f>
        <v>0</v>
      </c>
      <c r="AY21" s="681">
        <f>AS21*AY3</f>
        <v>0</v>
      </c>
      <c r="BA21" s="680"/>
      <c r="BB21" s="560">
        <f t="shared" si="62"/>
        <v>0</v>
      </c>
      <c r="BC21" s="681">
        <f>BA21*$BC$3</f>
        <v>0</v>
      </c>
      <c r="BD21" s="681">
        <f>BA21*$BD$3</f>
        <v>0</v>
      </c>
      <c r="BE21" s="681">
        <f>BA21*$BE$3</f>
        <v>0</v>
      </c>
      <c r="BF21" s="681">
        <f>BA21*$BF$3</f>
        <v>0</v>
      </c>
      <c r="BG21" s="681">
        <f>BA21*BG3</f>
        <v>0</v>
      </c>
      <c r="BI21" s="680"/>
      <c r="BJ21" s="560">
        <f t="shared" si="63"/>
        <v>0</v>
      </c>
      <c r="BK21" s="681">
        <f>BI21*$BK$3</f>
        <v>0</v>
      </c>
      <c r="BL21" s="681">
        <f>BI21*$BL$3</f>
        <v>0</v>
      </c>
      <c r="BM21" s="681">
        <f>BI21*$BM$3</f>
        <v>0</v>
      </c>
      <c r="BN21" s="681">
        <f>BI21*$BN$3</f>
        <v>0</v>
      </c>
      <c r="BO21" s="681">
        <f>BI21*BO3</f>
        <v>0</v>
      </c>
      <c r="BQ21" s="680"/>
      <c r="BR21" s="560">
        <f t="shared" si="64"/>
        <v>0</v>
      </c>
      <c r="BS21" s="681">
        <f>BQ21*$BS$3</f>
        <v>0</v>
      </c>
      <c r="BT21" s="681">
        <f>BQ21*$BT$3</f>
        <v>0</v>
      </c>
      <c r="BU21" s="681">
        <f>BQ21*$BU$3</f>
        <v>0</v>
      </c>
      <c r="BV21" s="681">
        <f>BQ21*$BV$3</f>
        <v>0</v>
      </c>
      <c r="BW21" s="681">
        <f>BQ21*BW3</f>
        <v>0</v>
      </c>
      <c r="BY21" s="680"/>
      <c r="BZ21" s="560">
        <f t="shared" si="65"/>
        <v>0</v>
      </c>
      <c r="CA21" s="681">
        <f>BY21*$CA$3</f>
        <v>0</v>
      </c>
      <c r="CB21" s="681">
        <f>BY21*$CB$3</f>
        <v>0</v>
      </c>
      <c r="CC21" s="681">
        <f>BY21*$CC$3</f>
        <v>0</v>
      </c>
      <c r="CD21" s="681">
        <f>BY21*$CD$3</f>
        <v>0</v>
      </c>
      <c r="CE21" s="681">
        <f>BY21*CE3</f>
        <v>0</v>
      </c>
      <c r="CG21" s="680"/>
      <c r="CH21" s="560">
        <f t="shared" si="66"/>
        <v>0</v>
      </c>
      <c r="CI21" s="681">
        <f>CG21*$CI$3</f>
        <v>0</v>
      </c>
      <c r="CJ21" s="681">
        <f>CG21*$CJ$3</f>
        <v>0</v>
      </c>
      <c r="CK21" s="681">
        <f>CG21*$CK$3</f>
        <v>0</v>
      </c>
      <c r="CL21" s="681">
        <f>CG21*$CL$3</f>
        <v>0</v>
      </c>
      <c r="CM21" s="681">
        <f>CG21*CM3</f>
        <v>0</v>
      </c>
      <c r="CO21" s="680"/>
      <c r="CP21" s="560">
        <f t="shared" si="67"/>
        <v>0</v>
      </c>
      <c r="CQ21" s="681">
        <f>CO21*$CQ$3</f>
        <v>0</v>
      </c>
      <c r="CR21" s="681">
        <f>CO21*$CR$3</f>
        <v>0</v>
      </c>
      <c r="CS21" s="681">
        <f>CO21*$CS$3</f>
        <v>0</v>
      </c>
      <c r="CT21" s="681">
        <f>CO21*$CT$3</f>
        <v>0</v>
      </c>
      <c r="CU21" s="681">
        <f>CO21*CU3</f>
        <v>0</v>
      </c>
      <c r="CW21" s="680"/>
      <c r="CX21" s="560">
        <f t="shared" si="68"/>
        <v>0</v>
      </c>
      <c r="CY21" s="681">
        <f>CW21*$CY$3</f>
        <v>0</v>
      </c>
      <c r="CZ21" s="681">
        <f>CW21*$CZ$3</f>
        <v>0</v>
      </c>
      <c r="DA21" s="681">
        <f>CW21*$DA$3</f>
        <v>0</v>
      </c>
      <c r="DB21" s="681">
        <f>CW21*$DB$3</f>
        <v>0</v>
      </c>
      <c r="DC21" s="681">
        <f>CW21*DC3</f>
        <v>0</v>
      </c>
      <c r="DF21" s="688"/>
      <c r="DG21" s="688"/>
      <c r="DH21" s="688"/>
      <c r="DI21" s="688"/>
      <c r="DJ21" s="688"/>
    </row>
    <row r="22" spans="1:114" s="673" customFormat="1" ht="20.25" customHeight="1" outlineLevel="1">
      <c r="A22" s="674"/>
      <c r="B22" s="678" t="s">
        <v>434</v>
      </c>
      <c r="C22" s="671"/>
      <c r="D22" s="563">
        <v>5262.5255149999975</v>
      </c>
      <c r="E22" s="560">
        <f t="shared" si="54"/>
        <v>1482.9999965171132</v>
      </c>
      <c r="F22" s="563">
        <v>575.18565974657213</v>
      </c>
      <c r="G22" s="563">
        <v>907.81433677054122</v>
      </c>
      <c r="H22" s="563">
        <f t="shared" si="55"/>
        <v>3740.0940042314164</v>
      </c>
      <c r="I22" s="564">
        <v>39.431514251467881</v>
      </c>
      <c r="J22" s="564"/>
      <c r="K22" s="683" t="s">
        <v>429</v>
      </c>
      <c r="M22" s="680"/>
      <c r="N22" s="560">
        <f t="shared" si="57"/>
        <v>0</v>
      </c>
      <c r="O22" s="681">
        <f>M22*O3</f>
        <v>0</v>
      </c>
      <c r="P22" s="681">
        <f>M22*P3</f>
        <v>0</v>
      </c>
      <c r="Q22" s="681">
        <f>M22*Q3</f>
        <v>0</v>
      </c>
      <c r="R22" s="681">
        <f>M22*R3</f>
        <v>0</v>
      </c>
      <c r="S22" s="681">
        <f>M22*S3</f>
        <v>0</v>
      </c>
      <c r="U22" s="680">
        <f>22383.92/1000</f>
        <v>22.38392</v>
      </c>
      <c r="V22" s="560">
        <f t="shared" si="58"/>
        <v>4.9905497978551612</v>
      </c>
      <c r="W22" s="681">
        <f>U22*W3</f>
        <v>2.0977757526937668</v>
      </c>
      <c r="X22" s="681">
        <f>U22*X3</f>
        <v>2.8927740451613944</v>
      </c>
      <c r="Y22" s="681">
        <f>U22*Y3</f>
        <v>15.901372989208948</v>
      </c>
      <c r="Z22" s="681">
        <f>U22*Z3</f>
        <v>1.4919972129358912</v>
      </c>
      <c r="AA22" s="681">
        <f>U22*AA3</f>
        <v>0</v>
      </c>
      <c r="AC22" s="680"/>
      <c r="AD22" s="560">
        <f t="shared" si="59"/>
        <v>0</v>
      </c>
      <c r="AE22" s="681">
        <f>AC22*AE3</f>
        <v>0</v>
      </c>
      <c r="AF22" s="681">
        <f>AC22*AF3</f>
        <v>0</v>
      </c>
      <c r="AG22" s="681">
        <f>AC22*AG3</f>
        <v>0</v>
      </c>
      <c r="AH22" s="681">
        <f>AC22*AH3</f>
        <v>0</v>
      </c>
      <c r="AI22" s="681">
        <f>AC22*AI3</f>
        <v>0</v>
      </c>
      <c r="AK22" s="680">
        <f>141538.22/1000</f>
        <v>141.53822</v>
      </c>
      <c r="AL22" s="560">
        <f t="shared" si="60"/>
        <v>31.556292874964676</v>
      </c>
      <c r="AM22" s="681">
        <f>AK22*AM3</f>
        <v>13.264675981482956</v>
      </c>
      <c r="AN22" s="681">
        <f>AK22*AN3</f>
        <v>18.29161689348172</v>
      </c>
      <c r="AO22" s="681">
        <f>AK22*AO3</f>
        <v>100.54771588036026</v>
      </c>
      <c r="AP22" s="681">
        <f>AK22*AP3</f>
        <v>9.4342112446750619</v>
      </c>
      <c r="AQ22" s="681">
        <f>AK22*AQ3</f>
        <v>0</v>
      </c>
      <c r="AS22" s="680">
        <f>39554.98/1000</f>
        <v>39.55498</v>
      </c>
      <c r="AT22" s="560">
        <f t="shared" si="61"/>
        <v>8.81887968877502</v>
      </c>
      <c r="AU22" s="681">
        <f>AS22*AU3</f>
        <v>3.7070127994688549</v>
      </c>
      <c r="AV22" s="681">
        <f>AS22*AV3</f>
        <v>5.1118668893061647</v>
      </c>
      <c r="AW22" s="681">
        <f>AS22*AW3</f>
        <v>28.0995683759011</v>
      </c>
      <c r="AX22" s="681">
        <f>AS22*AX3</f>
        <v>2.6365319353238803</v>
      </c>
      <c r="AY22" s="681">
        <f>AS22*AY3</f>
        <v>0</v>
      </c>
      <c r="BA22" s="680"/>
      <c r="BB22" s="560">
        <f t="shared" si="62"/>
        <v>0</v>
      </c>
      <c r="BC22" s="684">
        <f>BA22*$DF$22</f>
        <v>0</v>
      </c>
      <c r="BD22" s="684">
        <f>BA22*$DG$22</f>
        <v>0</v>
      </c>
      <c r="BE22" s="684">
        <f>BA22*$DH$22</f>
        <v>0</v>
      </c>
      <c r="BF22" s="684">
        <f>BA22*$DI$22</f>
        <v>0</v>
      </c>
      <c r="BG22" s="684">
        <f>BA22*$DJ$22</f>
        <v>0</v>
      </c>
      <c r="BI22" s="680"/>
      <c r="BJ22" s="560">
        <f t="shared" si="63"/>
        <v>0</v>
      </c>
      <c r="BK22" s="684">
        <f>BI22*$DF$22</f>
        <v>0</v>
      </c>
      <c r="BL22" s="684">
        <f>BI22*$DG$22</f>
        <v>0</v>
      </c>
      <c r="BM22" s="684">
        <f>BI22*$DH$22</f>
        <v>0</v>
      </c>
      <c r="BN22" s="684">
        <f>BI22*$DI$22</f>
        <v>0</v>
      </c>
      <c r="BO22" s="684">
        <f>BI22*$DJ$22</f>
        <v>0</v>
      </c>
      <c r="BQ22" s="680"/>
      <c r="BR22" s="560">
        <f t="shared" si="64"/>
        <v>0</v>
      </c>
      <c r="BS22" s="684">
        <f>BQ22*$DF$22</f>
        <v>0</v>
      </c>
      <c r="BT22" s="684">
        <f>BQ22*$DG$22</f>
        <v>0</v>
      </c>
      <c r="BU22" s="684">
        <f>BQ22*$DH$22</f>
        <v>0</v>
      </c>
      <c r="BV22" s="684">
        <f>BQ22*$DI$22</f>
        <v>0</v>
      </c>
      <c r="BW22" s="684">
        <f>BQ22*$DJ$22</f>
        <v>0</v>
      </c>
      <c r="BY22" s="680"/>
      <c r="BZ22" s="560">
        <f t="shared" si="65"/>
        <v>0</v>
      </c>
      <c r="CA22" s="684">
        <f>BY22*$DF$22</f>
        <v>0</v>
      </c>
      <c r="CB22" s="684">
        <f>BY22*$DG$22</f>
        <v>0</v>
      </c>
      <c r="CC22" s="684">
        <f>BY22*$DH$22</f>
        <v>0</v>
      </c>
      <c r="CD22" s="684">
        <f>BY22*$DI$22</f>
        <v>0</v>
      </c>
      <c r="CE22" s="684">
        <f>BY22*$DJ$22</f>
        <v>0</v>
      </c>
      <c r="CG22" s="680"/>
      <c r="CH22" s="560">
        <f t="shared" si="66"/>
        <v>0</v>
      </c>
      <c r="CI22" s="684">
        <f>CG22*$DF$22</f>
        <v>0</v>
      </c>
      <c r="CJ22" s="684">
        <f>CG22*$DG$22</f>
        <v>0</v>
      </c>
      <c r="CK22" s="684">
        <f>CG22*$DH$22</f>
        <v>0</v>
      </c>
      <c r="CL22" s="684">
        <f>CG22*$DI$22</f>
        <v>0</v>
      </c>
      <c r="CM22" s="684">
        <f>CG22*$DJ$22</f>
        <v>0</v>
      </c>
      <c r="CO22" s="680"/>
      <c r="CP22" s="560">
        <f t="shared" si="67"/>
        <v>0</v>
      </c>
      <c r="CQ22" s="684">
        <f>CO22*$DF$22</f>
        <v>0</v>
      </c>
      <c r="CR22" s="684">
        <f>CO22*$DG$22</f>
        <v>0</v>
      </c>
      <c r="CS22" s="684">
        <f>CO22*$DH$22</f>
        <v>0</v>
      </c>
      <c r="CT22" s="684">
        <f>CO22*$DI$22</f>
        <v>0</v>
      </c>
      <c r="CU22" s="684">
        <f>CO22*$DJ$22</f>
        <v>0</v>
      </c>
      <c r="CW22" s="680"/>
      <c r="CX22" s="560">
        <f t="shared" si="68"/>
        <v>0</v>
      </c>
      <c r="CY22" s="684">
        <f>CW22*$DF$22</f>
        <v>0</v>
      </c>
      <c r="CZ22" s="684">
        <f>CW22*$DG$22</f>
        <v>0</v>
      </c>
      <c r="DA22" s="684">
        <f>CW22*$DH$22</f>
        <v>0</v>
      </c>
      <c r="DB22" s="684">
        <f>CW22*$DI$22</f>
        <v>0</v>
      </c>
      <c r="DC22" s="684">
        <f>CW22*$DJ$22</f>
        <v>0</v>
      </c>
      <c r="DF22" s="685">
        <f>F22/$D$22</f>
        <v>0.10929840779053636</v>
      </c>
      <c r="DG22" s="685">
        <f>G22/$D$22</f>
        <v>0.17250545088721372</v>
      </c>
      <c r="DH22" s="685">
        <f>H22/$D$22</f>
        <v>0.71070325332786877</v>
      </c>
      <c r="DI22" s="685">
        <f>I22/$D$22</f>
        <v>7.4928879943811349E-3</v>
      </c>
      <c r="DJ22" s="685"/>
    </row>
    <row r="23" spans="1:114" s="673" customFormat="1" ht="20.25" customHeight="1" outlineLevel="1">
      <c r="A23" s="674"/>
      <c r="B23" s="678" t="s">
        <v>435</v>
      </c>
      <c r="C23" s="671" t="s">
        <v>9</v>
      </c>
      <c r="D23" s="563">
        <v>2818.8024861878453</v>
      </c>
      <c r="E23" s="560">
        <f t="shared" si="54"/>
        <v>540.29384459427399</v>
      </c>
      <c r="F23" s="563">
        <v>205.93469958798866</v>
      </c>
      <c r="G23" s="563">
        <v>334.3591450062853</v>
      </c>
      <c r="H23" s="563">
        <f t="shared" si="55"/>
        <v>2169.8928972741141</v>
      </c>
      <c r="I23" s="563">
        <v>108.61574431945689</v>
      </c>
      <c r="J23" s="563"/>
      <c r="K23" s="679" t="s">
        <v>184</v>
      </c>
      <c r="M23" s="680"/>
      <c r="N23" s="560">
        <f t="shared" si="57"/>
        <v>0</v>
      </c>
      <c r="O23" s="681">
        <f>$M$23*$O$3</f>
        <v>0</v>
      </c>
      <c r="P23" s="681">
        <f>$M$23*$P$3</f>
        <v>0</v>
      </c>
      <c r="Q23" s="681">
        <f>$M$23*$Q$3</f>
        <v>0</v>
      </c>
      <c r="R23" s="681">
        <f>$M$23*$R$3</f>
        <v>0</v>
      </c>
      <c r="S23" s="681">
        <f>$M$16*$S$3</f>
        <v>0</v>
      </c>
      <c r="U23" s="680"/>
      <c r="V23" s="560">
        <f t="shared" si="58"/>
        <v>0</v>
      </c>
      <c r="W23" s="681">
        <f>U23*$W$3</f>
        <v>0</v>
      </c>
      <c r="X23" s="681">
        <f>U23*$X$3</f>
        <v>0</v>
      </c>
      <c r="Y23" s="681">
        <f>U23*$Y$3</f>
        <v>0</v>
      </c>
      <c r="Z23" s="681">
        <f>U23*$Z$3</f>
        <v>0</v>
      </c>
      <c r="AA23" s="681">
        <f>U23*AA3</f>
        <v>0</v>
      </c>
      <c r="AC23" s="680">
        <f>446300/1000</f>
        <v>446.3</v>
      </c>
      <c r="AD23" s="560">
        <f t="shared" si="59"/>
        <v>99.503678300438821</v>
      </c>
      <c r="AE23" s="681">
        <f t="shared" ref="AE23:AE24" si="69">AC23*$AE$3</f>
        <v>41.82633419111702</v>
      </c>
      <c r="AF23" s="681">
        <f t="shared" ref="AF23:AF24" si="70">AC23*$AF$3</f>
        <v>57.677344109321801</v>
      </c>
      <c r="AG23" s="681">
        <f t="shared" ref="AG23:AG24" si="71">AC23*$AG$3</f>
        <v>317.04825450966376</v>
      </c>
      <c r="AH23" s="681">
        <f t="shared" ref="AH23:AH24" si="72">AC23*$AH$3</f>
        <v>29.748067189897402</v>
      </c>
      <c r="AI23" s="681">
        <f>AC23*AI3</f>
        <v>0</v>
      </c>
      <c r="AK23" s="680"/>
      <c r="AL23" s="560">
        <f t="shared" si="60"/>
        <v>0</v>
      </c>
      <c r="AM23" s="681">
        <f>AK23*$AM$3</f>
        <v>0</v>
      </c>
      <c r="AN23" s="681">
        <f>AK23*$AN$3</f>
        <v>0</v>
      </c>
      <c r="AO23" s="681">
        <f>AK23*$AO$3</f>
        <v>0</v>
      </c>
      <c r="AP23" s="681">
        <f>AK23*$AP$3</f>
        <v>0</v>
      </c>
      <c r="AQ23" s="681">
        <f>AK23*AQ3</f>
        <v>0</v>
      </c>
      <c r="AS23" s="680"/>
      <c r="AT23" s="560">
        <f t="shared" si="61"/>
        <v>0</v>
      </c>
      <c r="AU23" s="681">
        <f>AS23*$AU$3</f>
        <v>0</v>
      </c>
      <c r="AV23" s="681">
        <f>AS23*$AV$3</f>
        <v>0</v>
      </c>
      <c r="AW23" s="681">
        <f>AS23*$AW$3</f>
        <v>0</v>
      </c>
      <c r="AX23" s="681">
        <f>AS23*$AX$3</f>
        <v>0</v>
      </c>
      <c r="AY23" s="681">
        <f>AS23*AY3</f>
        <v>0</v>
      </c>
      <c r="BA23" s="680"/>
      <c r="BB23" s="560">
        <f t="shared" si="62"/>
        <v>0</v>
      </c>
      <c r="BC23" s="681">
        <f t="shared" ref="BC23:BC24" si="73">BA23*$BC$3</f>
        <v>0</v>
      </c>
      <c r="BD23" s="681">
        <f t="shared" ref="BD23:BD24" si="74">BA23*$BD$3</f>
        <v>0</v>
      </c>
      <c r="BE23" s="681">
        <f t="shared" ref="BE23:BE24" si="75">BA23*$BE$3</f>
        <v>0</v>
      </c>
      <c r="BF23" s="681">
        <f t="shared" ref="BF23:BF24" si="76">BA23*$BF$3</f>
        <v>0</v>
      </c>
      <c r="BG23" s="681">
        <f>BA23*BG3</f>
        <v>0</v>
      </c>
      <c r="BI23" s="680"/>
      <c r="BJ23" s="560">
        <f t="shared" si="63"/>
        <v>0</v>
      </c>
      <c r="BK23" s="681">
        <f t="shared" ref="BK23:BK24" si="77">BI23*$BK$3</f>
        <v>0</v>
      </c>
      <c r="BL23" s="681">
        <f t="shared" ref="BL23:BL24" si="78">BI23*$BL$3</f>
        <v>0</v>
      </c>
      <c r="BM23" s="681">
        <f t="shared" ref="BM23:BM24" si="79">BI23*$BM$3</f>
        <v>0</v>
      </c>
      <c r="BN23" s="681">
        <f t="shared" ref="BN23:BN24" si="80">BI23*$BN$3</f>
        <v>0</v>
      </c>
      <c r="BO23" s="681">
        <f>BI23*BO3</f>
        <v>0</v>
      </c>
      <c r="BQ23" s="680"/>
      <c r="BR23" s="560">
        <f t="shared" si="64"/>
        <v>0</v>
      </c>
      <c r="BS23" s="681">
        <f t="shared" ref="BS23:BS24" si="81">BQ23*$BS$3</f>
        <v>0</v>
      </c>
      <c r="BT23" s="681">
        <f t="shared" ref="BT23:BT24" si="82">BQ23*$BT$3</f>
        <v>0</v>
      </c>
      <c r="BU23" s="681">
        <f t="shared" ref="BU23:BU24" si="83">BQ23*$BU$3</f>
        <v>0</v>
      </c>
      <c r="BV23" s="681">
        <f t="shared" ref="BV23:BV24" si="84">BQ23*$BV$3</f>
        <v>0</v>
      </c>
      <c r="BW23" s="681">
        <f>BQ23*BW3</f>
        <v>0</v>
      </c>
      <c r="BY23" s="680"/>
      <c r="BZ23" s="560">
        <f t="shared" si="65"/>
        <v>0</v>
      </c>
      <c r="CA23" s="681">
        <f t="shared" ref="CA23:CA24" si="85">BY23*$CA$3</f>
        <v>0</v>
      </c>
      <c r="CB23" s="681">
        <f t="shared" ref="CB23:CB24" si="86">BY23*$CB$3</f>
        <v>0</v>
      </c>
      <c r="CC23" s="681">
        <f t="shared" ref="CC23:CC24" si="87">BY23*$CC$3</f>
        <v>0</v>
      </c>
      <c r="CD23" s="681">
        <f t="shared" ref="CD23:CD24" si="88">BY23*$CD$3</f>
        <v>0</v>
      </c>
      <c r="CE23" s="681">
        <f>BY23*CE3</f>
        <v>0</v>
      </c>
      <c r="CG23" s="680"/>
      <c r="CH23" s="560">
        <f t="shared" si="66"/>
        <v>0</v>
      </c>
      <c r="CI23" s="681">
        <f>CG23*$CI$3</f>
        <v>0</v>
      </c>
      <c r="CJ23" s="681">
        <f>CG23*$CJ$3</f>
        <v>0</v>
      </c>
      <c r="CK23" s="681">
        <f>CG23*$CK$3</f>
        <v>0</v>
      </c>
      <c r="CL23" s="681">
        <f>CG23*$CL$3</f>
        <v>0</v>
      </c>
      <c r="CM23" s="681">
        <f>CG23*CM3</f>
        <v>0</v>
      </c>
      <c r="CO23" s="680"/>
      <c r="CP23" s="560">
        <f t="shared" si="67"/>
        <v>0</v>
      </c>
      <c r="CQ23" s="681">
        <f>CO23*$CQ$3</f>
        <v>0</v>
      </c>
      <c r="CR23" s="681">
        <f>CO23*$CR$3</f>
        <v>0</v>
      </c>
      <c r="CS23" s="681">
        <f>CO23*$CS$3</f>
        <v>0</v>
      </c>
      <c r="CT23" s="681">
        <f>CO23*$CT$3</f>
        <v>0</v>
      </c>
      <c r="CU23" s="681">
        <f>CO23*CU3</f>
        <v>0</v>
      </c>
      <c r="CW23" s="680"/>
      <c r="CX23" s="560">
        <f t="shared" si="68"/>
        <v>0</v>
      </c>
      <c r="CY23" s="681">
        <f>CW23*$CY$3</f>
        <v>0</v>
      </c>
      <c r="CZ23" s="681">
        <f>CW23*$CZ$3</f>
        <v>0</v>
      </c>
      <c r="DA23" s="681">
        <f>CW23*$DA$3</f>
        <v>0</v>
      </c>
      <c r="DB23" s="681">
        <f>CW23*$DB$3</f>
        <v>0</v>
      </c>
      <c r="DC23" s="681">
        <f>CW23*DC3</f>
        <v>0</v>
      </c>
      <c r="DF23" s="688"/>
      <c r="DG23" s="688"/>
      <c r="DH23" s="688"/>
      <c r="DI23" s="688"/>
      <c r="DJ23" s="688"/>
    </row>
    <row r="24" spans="1:114" s="673" customFormat="1" ht="22.5" customHeight="1" outlineLevel="1">
      <c r="A24" s="674"/>
      <c r="B24" s="678" t="s">
        <v>436</v>
      </c>
      <c r="C24" s="671" t="s">
        <v>9</v>
      </c>
      <c r="D24" s="563">
        <v>21637.560158730161</v>
      </c>
      <c r="E24" s="560">
        <f t="shared" si="54"/>
        <v>4147.3784073500847</v>
      </c>
      <c r="F24" s="563">
        <v>1580.7863349557811</v>
      </c>
      <c r="G24" s="563">
        <v>2566.5920723943041</v>
      </c>
      <c r="H24" s="563">
        <f t="shared" si="55"/>
        <v>16656.430641320607</v>
      </c>
      <c r="I24" s="563">
        <v>833.75111005946735</v>
      </c>
      <c r="J24" s="563"/>
      <c r="K24" s="679" t="s">
        <v>184</v>
      </c>
      <c r="M24" s="680">
        <f>298392.84/1000</f>
        <v>298.39284000000004</v>
      </c>
      <c r="N24" s="560">
        <f t="shared" si="57"/>
        <v>66.527414650491409</v>
      </c>
      <c r="O24" s="681">
        <f>$M$24*$O$3</f>
        <v>27.96477402212976</v>
      </c>
      <c r="P24" s="681">
        <f>$M$24*$P$3</f>
        <v>38.562640628361649</v>
      </c>
      <c r="Q24" s="681">
        <f>$M$24*$Q$3</f>
        <v>211.97609025359935</v>
      </c>
      <c r="R24" s="681">
        <f>$M$24*$R$3</f>
        <v>19.889335095909267</v>
      </c>
      <c r="S24" s="681">
        <f>$M$16*$S$3</f>
        <v>0</v>
      </c>
      <c r="U24" s="680"/>
      <c r="V24" s="560">
        <f t="shared" si="58"/>
        <v>0</v>
      </c>
      <c r="W24" s="681">
        <f>U24*$W$3</f>
        <v>0</v>
      </c>
      <c r="X24" s="681">
        <f>U24*$X$3</f>
        <v>0</v>
      </c>
      <c r="Y24" s="681">
        <f>U24*$Y$3</f>
        <v>0</v>
      </c>
      <c r="Z24" s="681">
        <f>U24*$Z$3</f>
        <v>0</v>
      </c>
      <c r="AA24" s="681">
        <f>U24*AA3</f>
        <v>0</v>
      </c>
      <c r="AC24" s="680">
        <f>6250/1000</f>
        <v>6.25</v>
      </c>
      <c r="AD24" s="560">
        <f t="shared" si="59"/>
        <v>1.3934528106156008</v>
      </c>
      <c r="AE24" s="681">
        <f t="shared" si="69"/>
        <v>0.58573737103849743</v>
      </c>
      <c r="AF24" s="681">
        <f t="shared" si="70"/>
        <v>0.80771543957710334</v>
      </c>
      <c r="AG24" s="681">
        <f t="shared" si="71"/>
        <v>4.4399542699650425</v>
      </c>
      <c r="AH24" s="681">
        <f t="shared" si="72"/>
        <v>0.41659291941935639</v>
      </c>
      <c r="AI24" s="681">
        <f>AC24*AI3</f>
        <v>0</v>
      </c>
      <c r="AK24" s="680">
        <f>7452946/1000</f>
        <v>7452.9459999999999</v>
      </c>
      <c r="AL24" s="560">
        <f t="shared" si="60"/>
        <v>1661.652568170608</v>
      </c>
      <c r="AM24" s="681">
        <f>AK24*$AM$3</f>
        <v>698.47503944510163</v>
      </c>
      <c r="AN24" s="681">
        <f>AK24*$AN$3</f>
        <v>963.17752872550625</v>
      </c>
      <c r="AO24" s="681">
        <f>AK24*$AO$3</f>
        <v>5294.5183066430218</v>
      </c>
      <c r="AP24" s="681">
        <f>AK24*$AP$3</f>
        <v>496.7751251863703</v>
      </c>
      <c r="AQ24" s="681">
        <f>AK24*AQ3</f>
        <v>0</v>
      </c>
      <c r="AS24" s="680">
        <f>1838994.15/1000</f>
        <v>1838.99415</v>
      </c>
      <c r="AT24" s="560">
        <f t="shared" si="61"/>
        <v>410.00825072370361</v>
      </c>
      <c r="AU24" s="681">
        <f>AS24*$AU$3</f>
        <v>172.34681580418817</v>
      </c>
      <c r="AV24" s="681">
        <f>AS24*$AV$3</f>
        <v>237.66143491951544</v>
      </c>
      <c r="AW24" s="681">
        <f>AS24*$AW$3</f>
        <v>1306.4079885973174</v>
      </c>
      <c r="AX24" s="681">
        <f>AS24*$AX$3</f>
        <v>122.57791067897884</v>
      </c>
      <c r="AY24" s="681">
        <f>AS24*AY3</f>
        <v>0</v>
      </c>
      <c r="BA24" s="680"/>
      <c r="BB24" s="560">
        <f t="shared" si="62"/>
        <v>0</v>
      </c>
      <c r="BC24" s="681">
        <f t="shared" si="73"/>
        <v>0</v>
      </c>
      <c r="BD24" s="681">
        <f t="shared" si="74"/>
        <v>0</v>
      </c>
      <c r="BE24" s="681">
        <f t="shared" si="75"/>
        <v>0</v>
      </c>
      <c r="BF24" s="681">
        <f t="shared" si="76"/>
        <v>0</v>
      </c>
      <c r="BG24" s="681">
        <f>BA24*BG3</f>
        <v>0</v>
      </c>
      <c r="BI24" s="680"/>
      <c r="BJ24" s="560">
        <f t="shared" si="63"/>
        <v>0</v>
      </c>
      <c r="BK24" s="681">
        <f t="shared" si="77"/>
        <v>0</v>
      </c>
      <c r="BL24" s="681">
        <f t="shared" si="78"/>
        <v>0</v>
      </c>
      <c r="BM24" s="681">
        <f t="shared" si="79"/>
        <v>0</v>
      </c>
      <c r="BN24" s="681">
        <f t="shared" si="80"/>
        <v>0</v>
      </c>
      <c r="BO24" s="681">
        <f>BI24*BO3</f>
        <v>0</v>
      </c>
      <c r="BQ24" s="680"/>
      <c r="BR24" s="560">
        <f t="shared" si="64"/>
        <v>0</v>
      </c>
      <c r="BS24" s="681">
        <f t="shared" si="81"/>
        <v>0</v>
      </c>
      <c r="BT24" s="681">
        <f t="shared" si="82"/>
        <v>0</v>
      </c>
      <c r="BU24" s="681">
        <f t="shared" si="83"/>
        <v>0</v>
      </c>
      <c r="BV24" s="681">
        <f t="shared" si="84"/>
        <v>0</v>
      </c>
      <c r="BW24" s="681">
        <f>BQ24*BW3</f>
        <v>0</v>
      </c>
      <c r="BY24" s="680"/>
      <c r="BZ24" s="560">
        <f t="shared" si="65"/>
        <v>0</v>
      </c>
      <c r="CA24" s="681">
        <f t="shared" si="85"/>
        <v>0</v>
      </c>
      <c r="CB24" s="681">
        <f t="shared" si="86"/>
        <v>0</v>
      </c>
      <c r="CC24" s="681">
        <f t="shared" si="87"/>
        <v>0</v>
      </c>
      <c r="CD24" s="681">
        <f t="shared" si="88"/>
        <v>0</v>
      </c>
      <c r="CE24" s="681">
        <f>BY24*CE3</f>
        <v>0</v>
      </c>
      <c r="CG24" s="680"/>
      <c r="CH24" s="560">
        <f t="shared" si="66"/>
        <v>0</v>
      </c>
      <c r="CI24" s="681">
        <f>CG24*$CI$3</f>
        <v>0</v>
      </c>
      <c r="CJ24" s="681">
        <f>CG24*$CJ$3</f>
        <v>0</v>
      </c>
      <c r="CK24" s="681">
        <f>CG24*$CK$3</f>
        <v>0</v>
      </c>
      <c r="CL24" s="681">
        <f>CG24*$CL$3</f>
        <v>0</v>
      </c>
      <c r="CM24" s="681">
        <f>CG24*CM3</f>
        <v>0</v>
      </c>
      <c r="CO24" s="680"/>
      <c r="CP24" s="560">
        <f t="shared" si="67"/>
        <v>0</v>
      </c>
      <c r="CQ24" s="681">
        <f>CO24*$CQ$3</f>
        <v>0</v>
      </c>
      <c r="CR24" s="681">
        <f>CO24*$CR$3</f>
        <v>0</v>
      </c>
      <c r="CS24" s="681">
        <f>CO24*$CS$3</f>
        <v>0</v>
      </c>
      <c r="CT24" s="681">
        <f>CO24*$CT$3</f>
        <v>0</v>
      </c>
      <c r="CU24" s="681">
        <f>CO24*CU3</f>
        <v>0</v>
      </c>
      <c r="CW24" s="680"/>
      <c r="CX24" s="560">
        <f t="shared" si="68"/>
        <v>0</v>
      </c>
      <c r="CY24" s="681">
        <f>CW24*$CY$3</f>
        <v>0</v>
      </c>
      <c r="CZ24" s="681">
        <f>CW24*$CZ$3</f>
        <v>0</v>
      </c>
      <c r="DA24" s="681">
        <f>CW24*$DA$3</f>
        <v>0</v>
      </c>
      <c r="DB24" s="681">
        <f>CW24*$DB$3</f>
        <v>0</v>
      </c>
      <c r="DC24" s="681">
        <f>CW24*DC3</f>
        <v>0</v>
      </c>
      <c r="DF24" s="688"/>
      <c r="DG24" s="688"/>
      <c r="DH24" s="688"/>
      <c r="DI24" s="688"/>
      <c r="DJ24" s="688"/>
    </row>
    <row r="25" spans="1:114" s="673" customFormat="1" ht="20.25" customHeight="1" outlineLevel="1">
      <c r="A25" s="674"/>
      <c r="B25" s="678" t="s">
        <v>437</v>
      </c>
      <c r="C25" s="671"/>
      <c r="D25" s="563">
        <v>5258.9285714285706</v>
      </c>
      <c r="E25" s="560">
        <f t="shared" si="54"/>
        <v>5258.9285714285706</v>
      </c>
      <c r="F25" s="563">
        <v>5258.9285714285706</v>
      </c>
      <c r="G25" s="563"/>
      <c r="H25" s="563">
        <f t="shared" si="55"/>
        <v>0</v>
      </c>
      <c r="I25" s="564"/>
      <c r="J25" s="564"/>
      <c r="K25" s="683" t="s">
        <v>429</v>
      </c>
      <c r="M25" s="680"/>
      <c r="N25" s="560">
        <f t="shared" si="57"/>
        <v>0</v>
      </c>
      <c r="O25" s="684">
        <f>M25</f>
        <v>0</v>
      </c>
      <c r="P25" s="684"/>
      <c r="Q25" s="684"/>
      <c r="R25" s="684"/>
      <c r="S25" s="684"/>
      <c r="U25" s="680"/>
      <c r="V25" s="560">
        <f t="shared" si="58"/>
        <v>0</v>
      </c>
      <c r="W25" s="684">
        <f>U25</f>
        <v>0</v>
      </c>
      <c r="X25" s="684"/>
      <c r="Y25" s="684"/>
      <c r="Z25" s="684"/>
      <c r="AA25" s="684"/>
      <c r="AC25" s="680"/>
      <c r="AD25" s="560">
        <f t="shared" si="59"/>
        <v>0</v>
      </c>
      <c r="AE25" s="684">
        <f>AC25</f>
        <v>0</v>
      </c>
      <c r="AF25" s="684"/>
      <c r="AG25" s="684"/>
      <c r="AH25" s="684"/>
      <c r="AI25" s="684"/>
      <c r="AK25" s="680"/>
      <c r="AL25" s="560">
        <f t="shared" si="60"/>
        <v>0</v>
      </c>
      <c r="AM25" s="684">
        <f>AK25</f>
        <v>0</v>
      </c>
      <c r="AN25" s="684"/>
      <c r="AO25" s="684"/>
      <c r="AP25" s="684"/>
      <c r="AQ25" s="684"/>
      <c r="AS25" s="680"/>
      <c r="AT25" s="560">
        <f t="shared" si="61"/>
        <v>0</v>
      </c>
      <c r="AU25" s="684">
        <f>AS25</f>
        <v>0</v>
      </c>
      <c r="AV25" s="684"/>
      <c r="AW25" s="684"/>
      <c r="AX25" s="684"/>
      <c r="AY25" s="684"/>
      <c r="BA25" s="680"/>
      <c r="BB25" s="560">
        <f t="shared" si="62"/>
        <v>0</v>
      </c>
      <c r="BC25" s="684">
        <f>BA25*$DF$25</f>
        <v>0</v>
      </c>
      <c r="BD25" s="684">
        <f>BA25*$DG$25</f>
        <v>0</v>
      </c>
      <c r="BE25" s="684">
        <f>BA25*$DH$25</f>
        <v>0</v>
      </c>
      <c r="BF25" s="684">
        <f>BA25*$DI$25</f>
        <v>0</v>
      </c>
      <c r="BG25" s="684">
        <f>BA25*$DJ$25</f>
        <v>0</v>
      </c>
      <c r="BI25" s="680"/>
      <c r="BJ25" s="560">
        <f t="shared" si="63"/>
        <v>0</v>
      </c>
      <c r="BK25" s="684">
        <f>BI25*$DF$25</f>
        <v>0</v>
      </c>
      <c r="BL25" s="684">
        <f>BI25*$DG$25</f>
        <v>0</v>
      </c>
      <c r="BM25" s="684">
        <f>BI25*$DH$25</f>
        <v>0</v>
      </c>
      <c r="BN25" s="684">
        <f>BI25*$DI$25</f>
        <v>0</v>
      </c>
      <c r="BO25" s="684">
        <f>BI25*$DJ$25</f>
        <v>0</v>
      </c>
      <c r="BQ25" s="680"/>
      <c r="BR25" s="560">
        <f t="shared" si="64"/>
        <v>0</v>
      </c>
      <c r="BS25" s="684">
        <f>BQ25*$DF$25</f>
        <v>0</v>
      </c>
      <c r="BT25" s="684">
        <f>BQ25*$DG$25</f>
        <v>0</v>
      </c>
      <c r="BU25" s="684">
        <f>BQ25*$DH$25</f>
        <v>0</v>
      </c>
      <c r="BV25" s="684">
        <f>BQ25*$DI$25</f>
        <v>0</v>
      </c>
      <c r="BW25" s="684">
        <f>BQ25*$DJ$25</f>
        <v>0</v>
      </c>
      <c r="BY25" s="680"/>
      <c r="BZ25" s="560">
        <f t="shared" si="65"/>
        <v>0</v>
      </c>
      <c r="CA25" s="684">
        <f>BY25*$DF$25</f>
        <v>0</v>
      </c>
      <c r="CB25" s="684">
        <f>BY25*$DG$25</f>
        <v>0</v>
      </c>
      <c r="CC25" s="684">
        <f>BY25*$DH$25</f>
        <v>0</v>
      </c>
      <c r="CD25" s="684">
        <f>BY25*$DI$25</f>
        <v>0</v>
      </c>
      <c r="CE25" s="684">
        <f>BY25*$DJ$25</f>
        <v>0</v>
      </c>
      <c r="CG25" s="680"/>
      <c r="CH25" s="560">
        <f t="shared" si="66"/>
        <v>0</v>
      </c>
      <c r="CI25" s="684">
        <f>CG25*$DF$25</f>
        <v>0</v>
      </c>
      <c r="CJ25" s="684">
        <f>CG25*$DG$25</f>
        <v>0</v>
      </c>
      <c r="CK25" s="684">
        <f>CG25*$DH$25</f>
        <v>0</v>
      </c>
      <c r="CL25" s="684">
        <f>CG25*$DI$25</f>
        <v>0</v>
      </c>
      <c r="CM25" s="684">
        <f>CG25*$DJ$25</f>
        <v>0</v>
      </c>
      <c r="CO25" s="680"/>
      <c r="CP25" s="560">
        <f t="shared" si="67"/>
        <v>0</v>
      </c>
      <c r="CQ25" s="684">
        <f>CO25*$DF$25</f>
        <v>0</v>
      </c>
      <c r="CR25" s="684">
        <f>CO25*$DG$25</f>
        <v>0</v>
      </c>
      <c r="CS25" s="684">
        <f>CO25*$DH$25</f>
        <v>0</v>
      </c>
      <c r="CT25" s="684">
        <f>CO25*$DI$25</f>
        <v>0</v>
      </c>
      <c r="CU25" s="684">
        <f>CO25*$DJ$25</f>
        <v>0</v>
      </c>
      <c r="CW25" s="680"/>
      <c r="CX25" s="560">
        <f t="shared" si="68"/>
        <v>0</v>
      </c>
      <c r="CY25" s="684">
        <f>CW25*$DF$25</f>
        <v>0</v>
      </c>
      <c r="CZ25" s="684">
        <f>CW25*$DG$25</f>
        <v>0</v>
      </c>
      <c r="DA25" s="684">
        <f>CW25*$DH$25</f>
        <v>0</v>
      </c>
      <c r="DB25" s="684">
        <f>CW25*$DI$25</f>
        <v>0</v>
      </c>
      <c r="DC25" s="684">
        <f>CW25*$DJ$25</f>
        <v>0</v>
      </c>
      <c r="DF25" s="685">
        <f>F25/$D$25</f>
        <v>1</v>
      </c>
      <c r="DG25" s="685">
        <f>G25/$D$25</f>
        <v>0</v>
      </c>
      <c r="DH25" s="685">
        <f>H25/$D$25</f>
        <v>0</v>
      </c>
      <c r="DI25" s="685">
        <f>I25/$D$25</f>
        <v>0</v>
      </c>
      <c r="DJ25" s="685">
        <f>J25/$D$25</f>
        <v>0</v>
      </c>
    </row>
    <row r="26" spans="1:114" s="673" customFormat="1" ht="20.25" customHeight="1" outlineLevel="1">
      <c r="A26" s="674"/>
      <c r="B26" s="678" t="s">
        <v>95</v>
      </c>
      <c r="C26" s="671"/>
      <c r="D26" s="563">
        <v>5995.6</v>
      </c>
      <c r="E26" s="560">
        <f t="shared" si="54"/>
        <v>1038.1499006867609</v>
      </c>
      <c r="F26" s="563">
        <v>395.6941025041138</v>
      </c>
      <c r="G26" s="563">
        <v>642.45579818264707</v>
      </c>
      <c r="H26" s="563">
        <f t="shared" si="55"/>
        <v>4653.1499164286124</v>
      </c>
      <c r="I26" s="564">
        <v>304.30018288462634</v>
      </c>
      <c r="J26" s="564"/>
      <c r="K26" s="683" t="s">
        <v>429</v>
      </c>
      <c r="M26" s="680"/>
      <c r="N26" s="560">
        <f t="shared" si="57"/>
        <v>0</v>
      </c>
      <c r="O26" s="681">
        <f>M26*O3</f>
        <v>0</v>
      </c>
      <c r="P26" s="681">
        <f>M26*P3</f>
        <v>0</v>
      </c>
      <c r="Q26" s="681">
        <f>M26*Q3</f>
        <v>0</v>
      </c>
      <c r="R26" s="681">
        <f>M26*R3</f>
        <v>0</v>
      </c>
      <c r="S26" s="681">
        <f>M26*S3</f>
        <v>0</v>
      </c>
      <c r="U26" s="680"/>
      <c r="V26" s="560">
        <f t="shared" si="58"/>
        <v>0</v>
      </c>
      <c r="W26" s="681">
        <f>U26*W3</f>
        <v>0</v>
      </c>
      <c r="X26" s="681">
        <f>U26*X3</f>
        <v>0</v>
      </c>
      <c r="Y26" s="681">
        <f>U26*Y3</f>
        <v>0</v>
      </c>
      <c r="Z26" s="681">
        <f>U26*Z3</f>
        <v>0</v>
      </c>
      <c r="AA26" s="681">
        <f>U26*AA3</f>
        <v>0</v>
      </c>
      <c r="AC26" s="680">
        <f>739063/1000</f>
        <v>739.06299999999999</v>
      </c>
      <c r="AD26" s="560">
        <f t="shared" si="59"/>
        <v>164.77590633151962</v>
      </c>
      <c r="AE26" s="681">
        <f>AC26*AE3</f>
        <v>69.263490984291991</v>
      </c>
      <c r="AF26" s="681">
        <f>AC26*AF3</f>
        <v>95.51241534722763</v>
      </c>
      <c r="AG26" s="681">
        <f>AC26*AG3</f>
        <v>525.02494761970786</v>
      </c>
      <c r="AH26" s="681">
        <f>AC26*AH3</f>
        <v>49.262146048772443</v>
      </c>
      <c r="AI26" s="681">
        <f>AC26*AI3</f>
        <v>0</v>
      </c>
      <c r="AK26" s="680">
        <f>135000/1000</f>
        <v>135</v>
      </c>
      <c r="AL26" s="560">
        <f t="shared" si="60"/>
        <v>30.098580709296975</v>
      </c>
      <c r="AM26" s="681">
        <f>AK26*AM3</f>
        <v>12.651927214431543</v>
      </c>
      <c r="AN26" s="681">
        <f>AK26*AN3</f>
        <v>17.446653494865433</v>
      </c>
      <c r="AO26" s="681">
        <f>AK26*AO3</f>
        <v>95.903012231244929</v>
      </c>
      <c r="AP26" s="681">
        <f>AK26*AP3</f>
        <v>8.9984070594580974</v>
      </c>
      <c r="AQ26" s="681">
        <f>AK26*AQ3</f>
        <v>0</v>
      </c>
      <c r="AS26" s="680"/>
      <c r="AT26" s="560">
        <f t="shared" si="61"/>
        <v>0</v>
      </c>
      <c r="AU26" s="681">
        <f>AS26*AU3</f>
        <v>0</v>
      </c>
      <c r="AV26" s="681">
        <f>AS26*AV3</f>
        <v>0</v>
      </c>
      <c r="AW26" s="681">
        <f>AS26*AW3</f>
        <v>0</v>
      </c>
      <c r="AX26" s="681">
        <f>AS26*AX3</f>
        <v>0</v>
      </c>
      <c r="AY26" s="681">
        <f>AS26*AY3</f>
        <v>0</v>
      </c>
      <c r="BA26" s="680"/>
      <c r="BB26" s="560">
        <f t="shared" si="62"/>
        <v>0</v>
      </c>
      <c r="BC26" s="684">
        <f>BA26*$DF$26</f>
        <v>0</v>
      </c>
      <c r="BD26" s="684">
        <f>BA26*$DG$26</f>
        <v>0</v>
      </c>
      <c r="BE26" s="684">
        <f>BA26*$DH$26</f>
        <v>0</v>
      </c>
      <c r="BF26" s="684">
        <f>BA26*$DI$26</f>
        <v>0</v>
      </c>
      <c r="BG26" s="684">
        <f>BA26*$DJ$26</f>
        <v>0</v>
      </c>
      <c r="BI26" s="680"/>
      <c r="BJ26" s="560">
        <f t="shared" si="63"/>
        <v>0</v>
      </c>
      <c r="BK26" s="684">
        <f>BI26*$DF$26</f>
        <v>0</v>
      </c>
      <c r="BL26" s="684">
        <f>BI26*$DG$26</f>
        <v>0</v>
      </c>
      <c r="BM26" s="684">
        <f>BI26*$DH$26</f>
        <v>0</v>
      </c>
      <c r="BN26" s="684">
        <f>BI26*$DI$26</f>
        <v>0</v>
      </c>
      <c r="BO26" s="684">
        <f>BI26*$DJ$26</f>
        <v>0</v>
      </c>
      <c r="BQ26" s="680"/>
      <c r="BR26" s="560">
        <f t="shared" si="64"/>
        <v>0</v>
      </c>
      <c r="BS26" s="684">
        <f>BQ26*$DF$26</f>
        <v>0</v>
      </c>
      <c r="BT26" s="684">
        <f>BQ26*$DG$26</f>
        <v>0</v>
      </c>
      <c r="BU26" s="684">
        <f>BQ26*$DH$26</f>
        <v>0</v>
      </c>
      <c r="BV26" s="684">
        <f>BQ26*$DI$26</f>
        <v>0</v>
      </c>
      <c r="BW26" s="684">
        <f>BQ26*$DJ$26</f>
        <v>0</v>
      </c>
      <c r="BY26" s="680"/>
      <c r="BZ26" s="560">
        <f t="shared" si="65"/>
        <v>0</v>
      </c>
      <c r="CA26" s="684">
        <f>BY26*$DF$26</f>
        <v>0</v>
      </c>
      <c r="CB26" s="684">
        <f>BY26*$DG$26</f>
        <v>0</v>
      </c>
      <c r="CC26" s="684">
        <f>BY26*$DH$26</f>
        <v>0</v>
      </c>
      <c r="CD26" s="684">
        <f>BY26*$DI$26</f>
        <v>0</v>
      </c>
      <c r="CE26" s="684">
        <f>BY26*$DJ$26</f>
        <v>0</v>
      </c>
      <c r="CG26" s="680"/>
      <c r="CH26" s="560">
        <f t="shared" si="66"/>
        <v>0</v>
      </c>
      <c r="CI26" s="684">
        <f>CG26*$DF$26</f>
        <v>0</v>
      </c>
      <c r="CJ26" s="684">
        <f>CG26*$DG$26</f>
        <v>0</v>
      </c>
      <c r="CK26" s="684">
        <f>CG26*$DH$26</f>
        <v>0</v>
      </c>
      <c r="CL26" s="684">
        <f>CG26*$DI$26</f>
        <v>0</v>
      </c>
      <c r="CM26" s="684">
        <f>CG26*$DJ$26</f>
        <v>0</v>
      </c>
      <c r="CO26" s="680"/>
      <c r="CP26" s="560">
        <f t="shared" si="67"/>
        <v>0</v>
      </c>
      <c r="CQ26" s="684">
        <f>CO26*$DF$26</f>
        <v>0</v>
      </c>
      <c r="CR26" s="684">
        <f>CO26*$DG$26</f>
        <v>0</v>
      </c>
      <c r="CS26" s="684">
        <f>CO26*$DH$26</f>
        <v>0</v>
      </c>
      <c r="CT26" s="684">
        <f>CO26*$DI$26</f>
        <v>0</v>
      </c>
      <c r="CU26" s="684">
        <f>CO26*$DJ$26</f>
        <v>0</v>
      </c>
      <c r="CW26" s="680"/>
      <c r="CX26" s="560">
        <f t="shared" si="68"/>
        <v>0</v>
      </c>
      <c r="CY26" s="684">
        <f>CW26*$DF$26</f>
        <v>0</v>
      </c>
      <c r="CZ26" s="684">
        <f>CW26*$DG$26</f>
        <v>0</v>
      </c>
      <c r="DA26" s="684">
        <f>CW26*$DH$26</f>
        <v>0</v>
      </c>
      <c r="DB26" s="684">
        <f>CW26*$DI$26</f>
        <v>0</v>
      </c>
      <c r="DC26" s="684">
        <f>CW26*$DJ$26</f>
        <v>0</v>
      </c>
      <c r="DF26" s="685">
        <f>F26/$D$26</f>
        <v>6.5997415188490519E-2</v>
      </c>
      <c r="DG26" s="685">
        <f>G26/$D$26</f>
        <v>0.10715454636444176</v>
      </c>
      <c r="DH26" s="685">
        <f>H26/$D$26</f>
        <v>0.77609412176072656</v>
      </c>
      <c r="DI26" s="685">
        <f>I26/$D$26</f>
        <v>5.0753916686341036E-2</v>
      </c>
      <c r="DJ26" s="685">
        <f>J26/$D$26</f>
        <v>0</v>
      </c>
    </row>
    <row r="27" spans="1:114" s="673" customFormat="1" ht="26.25" customHeight="1">
      <c r="A27" s="674" t="s">
        <v>12</v>
      </c>
      <c r="B27" s="675" t="s">
        <v>438</v>
      </c>
      <c r="C27" s="660" t="s">
        <v>9</v>
      </c>
      <c r="D27" s="566">
        <f>D28+D29</f>
        <v>310983.29078606778</v>
      </c>
      <c r="E27" s="557">
        <f t="shared" si="54"/>
        <v>22472.210684360514</v>
      </c>
      <c r="F27" s="566">
        <f>F28+F29</f>
        <v>8955.9</v>
      </c>
      <c r="G27" s="566">
        <f>G28+G29</f>
        <v>13516.310684360516</v>
      </c>
      <c r="H27" s="566">
        <f t="shared" si="55"/>
        <v>288240.09643439035</v>
      </c>
      <c r="I27" s="566">
        <f t="shared" ref="I27:J27" si="89">I28+I29</f>
        <v>270.98366731689896</v>
      </c>
      <c r="J27" s="566">
        <f t="shared" si="89"/>
        <v>0</v>
      </c>
      <c r="K27" s="689"/>
      <c r="M27" s="566">
        <f>M28+M29</f>
        <v>8399.1329300000034</v>
      </c>
      <c r="N27" s="557">
        <f t="shared" si="57"/>
        <v>81.500972502286288</v>
      </c>
      <c r="O27" s="566">
        <f>O28+O29</f>
        <v>33.980809849078199</v>
      </c>
      <c r="P27" s="566">
        <f>P28+P29</f>
        <v>47.520162653208097</v>
      </c>
      <c r="Q27" s="566">
        <f>Q28+Q29</f>
        <v>8296.8125537136293</v>
      </c>
      <c r="R27" s="566">
        <f t="shared" ref="R27" si="90">R28+R29</f>
        <v>20.819403784088099</v>
      </c>
      <c r="S27" s="566">
        <f>S28+S29</f>
        <v>0</v>
      </c>
      <c r="U27" s="566">
        <f>U28+U29</f>
        <v>5418.8560800000032</v>
      </c>
      <c r="V27" s="557">
        <f t="shared" si="58"/>
        <v>159.74005471969639</v>
      </c>
      <c r="W27" s="566">
        <f>W28+W29</f>
        <v>65.239812350072498</v>
      </c>
      <c r="X27" s="566">
        <f>X28+X29</f>
        <v>94.500242369623905</v>
      </c>
      <c r="Y27" s="566">
        <f>Y28+Y29</f>
        <v>5235.6773705017404</v>
      </c>
      <c r="Z27" s="566">
        <f t="shared" ref="Z27" si="91">Z28+Z29</f>
        <v>23.438654778565802</v>
      </c>
      <c r="AA27" s="566">
        <f>AA28+AA29</f>
        <v>0</v>
      </c>
      <c r="AC27" s="566">
        <f>AC28+AC29</f>
        <v>11393.805520000045</v>
      </c>
      <c r="AD27" s="557">
        <f t="shared" si="59"/>
        <v>130.35294546781802</v>
      </c>
      <c r="AE27" s="566">
        <f>AE28+AE29</f>
        <v>53.324590657545606</v>
      </c>
      <c r="AF27" s="566">
        <f>AF28+AF29</f>
        <v>77.028354810272404</v>
      </c>
      <c r="AG27" s="566">
        <f>AG28+AG29</f>
        <v>11243.218469802401</v>
      </c>
      <c r="AH27" s="566">
        <f t="shared" ref="AH27" si="92">AH28+AH29</f>
        <v>20.234104729825997</v>
      </c>
      <c r="AI27" s="566">
        <f>AI28+AI29</f>
        <v>0</v>
      </c>
      <c r="AK27" s="566">
        <f>AK28+AK29</f>
        <v>11992.960589999984</v>
      </c>
      <c r="AL27" s="557">
        <f t="shared" si="60"/>
        <v>196.60789733826471</v>
      </c>
      <c r="AM27" s="566">
        <f>AM28+AM29</f>
        <v>80.225113073311704</v>
      </c>
      <c r="AN27" s="566">
        <f>AN28+AN29</f>
        <v>116.382784264953</v>
      </c>
      <c r="AO27" s="566">
        <f>AO28+AO29</f>
        <v>11768.422395015001</v>
      </c>
      <c r="AP27" s="566">
        <f t="shared" ref="AP27" si="93">AP28+AP29</f>
        <v>27.930297646718898</v>
      </c>
      <c r="AQ27" s="566">
        <f>AQ28+AQ29</f>
        <v>0</v>
      </c>
      <c r="AS27" s="566">
        <f>AS28+AS29</f>
        <v>12716.672009999962</v>
      </c>
      <c r="AT27" s="557">
        <f t="shared" si="61"/>
        <v>252.36216491365656</v>
      </c>
      <c r="AU27" s="566">
        <f>AU28+AU29</f>
        <v>103.84905082276065</v>
      </c>
      <c r="AV27" s="566">
        <f>AV28+AV29</f>
        <v>148.5131140908959</v>
      </c>
      <c r="AW27" s="566">
        <f>AW28+AW29</f>
        <v>12417.317897156336</v>
      </c>
      <c r="AX27" s="566">
        <f t="shared" ref="AX27" si="94">AX28+AX29</f>
        <v>46.991947929971822</v>
      </c>
      <c r="AY27" s="566">
        <f>AY28+AY29</f>
        <v>0</v>
      </c>
      <c r="BA27" s="566">
        <f>BA28+BA29</f>
        <v>0</v>
      </c>
      <c r="BB27" s="557">
        <f t="shared" si="62"/>
        <v>0</v>
      </c>
      <c r="BC27" s="566">
        <f>BC28+BC29</f>
        <v>0</v>
      </c>
      <c r="BD27" s="566">
        <f>BD28+BD29</f>
        <v>0</v>
      </c>
      <c r="BE27" s="566">
        <f>BE28+BE29</f>
        <v>0</v>
      </c>
      <c r="BF27" s="566">
        <f t="shared" ref="BF27" si="95">BF28+BF29</f>
        <v>0</v>
      </c>
      <c r="BG27" s="566">
        <f>BG28+BG29</f>
        <v>0</v>
      </c>
      <c r="BI27" s="566">
        <f>BI28+BI29</f>
        <v>0</v>
      </c>
      <c r="BJ27" s="557">
        <f t="shared" si="63"/>
        <v>0</v>
      </c>
      <c r="BK27" s="566">
        <f>BK28+BK29</f>
        <v>0</v>
      </c>
      <c r="BL27" s="566">
        <f>BL28+BL29</f>
        <v>0</v>
      </c>
      <c r="BM27" s="566">
        <f>BM28+BM29</f>
        <v>0</v>
      </c>
      <c r="BN27" s="566">
        <f t="shared" ref="BN27" si="96">BN28+BN29</f>
        <v>0</v>
      </c>
      <c r="BO27" s="566">
        <f>BO28+BO29</f>
        <v>0</v>
      </c>
      <c r="BQ27" s="566">
        <f>BQ28+BQ29</f>
        <v>0</v>
      </c>
      <c r="BR27" s="557">
        <f t="shared" si="64"/>
        <v>0</v>
      </c>
      <c r="BS27" s="566">
        <f>BS28+BS29</f>
        <v>0</v>
      </c>
      <c r="BT27" s="566">
        <f>BT28+BT29</f>
        <v>0</v>
      </c>
      <c r="BU27" s="566">
        <f>BU28+BU29</f>
        <v>0</v>
      </c>
      <c r="BV27" s="566">
        <f t="shared" ref="BV27" si="97">BV28+BV29</f>
        <v>0</v>
      </c>
      <c r="BW27" s="566">
        <f>BW28+BW29</f>
        <v>0</v>
      </c>
      <c r="BY27" s="566">
        <f>BY28+BY29</f>
        <v>0</v>
      </c>
      <c r="BZ27" s="557">
        <f t="shared" si="65"/>
        <v>0</v>
      </c>
      <c r="CA27" s="566">
        <f>CA28+CA29</f>
        <v>0</v>
      </c>
      <c r="CB27" s="566">
        <f>CB28+CB29</f>
        <v>0</v>
      </c>
      <c r="CC27" s="566">
        <f>CC28+CC29</f>
        <v>0</v>
      </c>
      <c r="CD27" s="566">
        <f t="shared" ref="CD27" si="98">CD28+CD29</f>
        <v>0</v>
      </c>
      <c r="CE27" s="566">
        <f>CE28+CE29</f>
        <v>0</v>
      </c>
      <c r="CG27" s="566">
        <f>CG28+CG29</f>
        <v>0</v>
      </c>
      <c r="CH27" s="557">
        <f t="shared" si="66"/>
        <v>0</v>
      </c>
      <c r="CI27" s="566">
        <f>CI28+CI29</f>
        <v>0</v>
      </c>
      <c r="CJ27" s="566">
        <f>CJ28+CJ29</f>
        <v>0</v>
      </c>
      <c r="CK27" s="566">
        <f>CK28+CK29</f>
        <v>0</v>
      </c>
      <c r="CL27" s="566">
        <f t="shared" ref="CL27" si="99">CL28+CL29</f>
        <v>0</v>
      </c>
      <c r="CM27" s="566">
        <f>CM28+CM29</f>
        <v>0</v>
      </c>
      <c r="CO27" s="566">
        <f>CO28+CO29</f>
        <v>0</v>
      </c>
      <c r="CP27" s="557">
        <f t="shared" si="67"/>
        <v>0</v>
      </c>
      <c r="CQ27" s="566">
        <f>CQ28+CQ29</f>
        <v>0</v>
      </c>
      <c r="CR27" s="566">
        <f>CR28+CR29</f>
        <v>0</v>
      </c>
      <c r="CS27" s="566">
        <f>CS28+CS29</f>
        <v>0</v>
      </c>
      <c r="CT27" s="566">
        <f t="shared" ref="CT27" si="100">CT28+CT29</f>
        <v>0</v>
      </c>
      <c r="CU27" s="566">
        <f>CU28+CU29</f>
        <v>0</v>
      </c>
      <c r="CW27" s="566">
        <f>CW28+CW29</f>
        <v>0</v>
      </c>
      <c r="CX27" s="557">
        <f t="shared" si="68"/>
        <v>0</v>
      </c>
      <c r="CY27" s="566">
        <f>CY28+CY29</f>
        <v>0</v>
      </c>
      <c r="CZ27" s="566">
        <f>CZ28+CZ29</f>
        <v>0</v>
      </c>
      <c r="DA27" s="566">
        <f>DA28+DA29</f>
        <v>0</v>
      </c>
      <c r="DB27" s="566">
        <f t="shared" ref="DB27" si="101">DB28+DB29</f>
        <v>0</v>
      </c>
      <c r="DC27" s="566">
        <f>DC28+DC29</f>
        <v>0</v>
      </c>
      <c r="DF27" s="688"/>
      <c r="DG27" s="688"/>
      <c r="DH27" s="688"/>
      <c r="DI27" s="688"/>
      <c r="DJ27" s="688"/>
    </row>
    <row r="28" spans="1:114" s="673" customFormat="1" outlineLevel="1">
      <c r="A28" s="674"/>
      <c r="B28" s="678" t="s">
        <v>439</v>
      </c>
      <c r="C28" s="690"/>
      <c r="D28" s="563">
        <v>288011.72081999999</v>
      </c>
      <c r="E28" s="560">
        <f t="shared" si="54"/>
        <v>12126.874478645268</v>
      </c>
      <c r="F28" s="563">
        <v>4836.3999999999996</v>
      </c>
      <c r="G28" s="563">
        <v>7290.4744786452684</v>
      </c>
      <c r="H28" s="563">
        <f t="shared" si="55"/>
        <v>275713.47486284637</v>
      </c>
      <c r="I28" s="563">
        <v>171.37147850835498</v>
      </c>
      <c r="J28" s="563"/>
      <c r="K28" s="683" t="s">
        <v>429</v>
      </c>
      <c r="M28" s="680">
        <f>SUM(O28:S28)</f>
        <v>8399.1329300000034</v>
      </c>
      <c r="N28" s="560">
        <f t="shared" si="57"/>
        <v>81.500972502286288</v>
      </c>
      <c r="O28" s="684">
        <f>33980.8098490782/1000</f>
        <v>33.980809849078199</v>
      </c>
      <c r="P28" s="684">
        <f>47520.1626532081/1000</f>
        <v>47.520162653208097</v>
      </c>
      <c r="Q28" s="684">
        <f>8296812.55371363/1000</f>
        <v>8296.8125537136293</v>
      </c>
      <c r="R28" s="684">
        <f>20819.4037840881/1000</f>
        <v>20.819403784088099</v>
      </c>
      <c r="S28" s="684"/>
      <c r="U28" s="680">
        <f>SUM(W28:AA28)</f>
        <v>5333.4416400000036</v>
      </c>
      <c r="V28" s="560">
        <f t="shared" si="58"/>
        <v>159.74005471969639</v>
      </c>
      <c r="W28" s="684">
        <f>65239.8123500725/1000</f>
        <v>65.239812350072498</v>
      </c>
      <c r="X28" s="684">
        <f>94500.2423696239/1000</f>
        <v>94.500242369623905</v>
      </c>
      <c r="Y28" s="684">
        <f>5150262.93050174/1000</f>
        <v>5150.2629305017408</v>
      </c>
      <c r="Z28" s="684">
        <f>23438.6547785658/1000</f>
        <v>23.438654778565802</v>
      </c>
      <c r="AA28" s="684">
        <v>0</v>
      </c>
      <c r="AC28" s="680">
        <f>SUM(AE28:AI28)</f>
        <v>11276.644120000044</v>
      </c>
      <c r="AD28" s="560">
        <f t="shared" si="59"/>
        <v>130.35294546781802</v>
      </c>
      <c r="AE28" s="684">
        <f>53324.5906575456/1000</f>
        <v>53.324590657545606</v>
      </c>
      <c r="AF28" s="684">
        <f>77028.3548102724/1000</f>
        <v>77.028354810272404</v>
      </c>
      <c r="AG28" s="684">
        <f>11126057.0698024/1000</f>
        <v>11126.0570698024</v>
      </c>
      <c r="AH28" s="684">
        <f>20234.104729826/1000</f>
        <v>20.234104729825997</v>
      </c>
      <c r="AI28" s="684"/>
      <c r="AK28" s="680">
        <f>SUM(AM28:AQ28)</f>
        <v>11876.543569999983</v>
      </c>
      <c r="AL28" s="560">
        <f t="shared" si="60"/>
        <v>196.60789733826471</v>
      </c>
      <c r="AM28" s="684">
        <f>80225.1130733117/1000</f>
        <v>80.225113073311704</v>
      </c>
      <c r="AN28" s="684">
        <f>116382.784264953/1000</f>
        <v>116.382784264953</v>
      </c>
      <c r="AO28" s="684">
        <f>11652005.375015/1000</f>
        <v>11652.005375015</v>
      </c>
      <c r="AP28" s="684">
        <f>27930.2976467189/1000</f>
        <v>27.930297646718898</v>
      </c>
      <c r="AQ28" s="684"/>
      <c r="AS28" s="680">
        <f>SUM(AU28:AY28)</f>
        <v>12549.524109999962</v>
      </c>
      <c r="AT28" s="560">
        <f t="shared" si="61"/>
        <v>241.82766166540262</v>
      </c>
      <c r="AU28" s="684">
        <f>99420.8762977096/1000</f>
        <v>99.420876297709611</v>
      </c>
      <c r="AV28" s="684">
        <f>142406.785367693/1000</f>
        <v>142.406785367693</v>
      </c>
      <c r="AW28" s="684">
        <f>12263853.9428754/1000</f>
        <v>12263.853942875399</v>
      </c>
      <c r="AX28" s="684">
        <f>43842.5054591615/1000</f>
        <v>43.842505459161494</v>
      </c>
      <c r="AY28" s="684"/>
      <c r="BA28" s="680"/>
      <c r="BB28" s="560">
        <f t="shared" si="62"/>
        <v>0</v>
      </c>
      <c r="BC28" s="684">
        <f>BA28*$DF$28</f>
        <v>0</v>
      </c>
      <c r="BD28" s="684">
        <f>BA28*$DG$28</f>
        <v>0</v>
      </c>
      <c r="BE28" s="684">
        <f>BA28*$DH$28</f>
        <v>0</v>
      </c>
      <c r="BF28" s="684">
        <f>BA28*$DI$28</f>
        <v>0</v>
      </c>
      <c r="BG28" s="684">
        <f>BA28*$DJ$28</f>
        <v>0</v>
      </c>
      <c r="BI28" s="680"/>
      <c r="BJ28" s="560">
        <f t="shared" si="63"/>
        <v>0</v>
      </c>
      <c r="BK28" s="684">
        <f>BI28*$DF$28</f>
        <v>0</v>
      </c>
      <c r="BL28" s="684">
        <f>BI28*$DG$28</f>
        <v>0</v>
      </c>
      <c r="BM28" s="684">
        <f>BI28*$DH$28</f>
        <v>0</v>
      </c>
      <c r="BN28" s="684">
        <f>BI28*$DI$28</f>
        <v>0</v>
      </c>
      <c r="BO28" s="684">
        <f>BI28*$DJ$28</f>
        <v>0</v>
      </c>
      <c r="BQ28" s="680"/>
      <c r="BR28" s="560">
        <f t="shared" si="64"/>
        <v>0</v>
      </c>
      <c r="BS28" s="684">
        <f>BQ28*$DF$28</f>
        <v>0</v>
      </c>
      <c r="BT28" s="684">
        <f>BQ28*$DG$28</f>
        <v>0</v>
      </c>
      <c r="BU28" s="684">
        <f>BQ28*$DH$28</f>
        <v>0</v>
      </c>
      <c r="BV28" s="684">
        <f>BQ28*$DI$28</f>
        <v>0</v>
      </c>
      <c r="BW28" s="684">
        <f>BQ28*$DJ$28</f>
        <v>0</v>
      </c>
      <c r="BY28" s="680"/>
      <c r="BZ28" s="560">
        <f t="shared" si="65"/>
        <v>0</v>
      </c>
      <c r="CA28" s="684">
        <f>BY28*$DF$28</f>
        <v>0</v>
      </c>
      <c r="CB28" s="684">
        <f>BY28*$DG$28</f>
        <v>0</v>
      </c>
      <c r="CC28" s="684">
        <f>BY28*$DH$28</f>
        <v>0</v>
      </c>
      <c r="CD28" s="684">
        <f>BY28*$DI$28</f>
        <v>0</v>
      </c>
      <c r="CE28" s="684">
        <f>BY28*$DJ$28</f>
        <v>0</v>
      </c>
      <c r="CG28" s="680"/>
      <c r="CH28" s="560">
        <f t="shared" si="66"/>
        <v>0</v>
      </c>
      <c r="CI28" s="684">
        <f>CG28*$DF$28</f>
        <v>0</v>
      </c>
      <c r="CJ28" s="684">
        <f>CG28*$DG$28</f>
        <v>0</v>
      </c>
      <c r="CK28" s="684">
        <f>CG28*$DH$28</f>
        <v>0</v>
      </c>
      <c r="CL28" s="684">
        <f>CG28*$DI$28</f>
        <v>0</v>
      </c>
      <c r="CM28" s="684">
        <f>CG28*$DJ$28</f>
        <v>0</v>
      </c>
      <c r="CO28" s="680"/>
      <c r="CP28" s="560">
        <f t="shared" si="67"/>
        <v>0</v>
      </c>
      <c r="CQ28" s="684">
        <f>CO28*$DF$28</f>
        <v>0</v>
      </c>
      <c r="CR28" s="684">
        <f>CO28*$DG$28</f>
        <v>0</v>
      </c>
      <c r="CS28" s="684">
        <f>CO28*$DH$28</f>
        <v>0</v>
      </c>
      <c r="CT28" s="684">
        <f>CO28*$DI$28</f>
        <v>0</v>
      </c>
      <c r="CU28" s="684">
        <f>CO28*$DJ$28</f>
        <v>0</v>
      </c>
      <c r="CW28" s="680"/>
      <c r="CX28" s="560">
        <f t="shared" si="68"/>
        <v>0</v>
      </c>
      <c r="CY28" s="684">
        <f>CW28*$DF$28</f>
        <v>0</v>
      </c>
      <c r="CZ28" s="684">
        <f>CW28*$DG$28</f>
        <v>0</v>
      </c>
      <c r="DA28" s="684">
        <f>CW28*$DH$28</f>
        <v>0</v>
      </c>
      <c r="DB28" s="684">
        <f>CW28*$DI$28</f>
        <v>0</v>
      </c>
      <c r="DC28" s="684">
        <f>CW28*$DJ$28</f>
        <v>0</v>
      </c>
      <c r="DF28" s="685">
        <f>F28/$D$28</f>
        <v>1.6792372151488332E-2</v>
      </c>
      <c r="DG28" s="685">
        <f>G28/$D$28</f>
        <v>2.5313117319977509E-2</v>
      </c>
      <c r="DH28" s="685">
        <f>H28/$D$28</f>
        <v>0.95729949488812749</v>
      </c>
      <c r="DI28" s="685">
        <f>I28/$D$28</f>
        <v>5.9501564040672435E-4</v>
      </c>
      <c r="DJ28" s="685">
        <f>J28/$D$28</f>
        <v>0</v>
      </c>
    </row>
    <row r="29" spans="1:114" s="673" customFormat="1" outlineLevel="1">
      <c r="A29" s="674"/>
      <c r="B29" s="678" t="s">
        <v>440</v>
      </c>
      <c r="C29" s="690"/>
      <c r="D29" s="563">
        <v>22971.569966067818</v>
      </c>
      <c r="E29" s="560">
        <f t="shared" si="54"/>
        <v>10345.336205715248</v>
      </c>
      <c r="F29" s="563">
        <v>4119.5</v>
      </c>
      <c r="G29" s="563">
        <v>6225.8362057152472</v>
      </c>
      <c r="H29" s="563">
        <f t="shared" si="55"/>
        <v>12526.621571544027</v>
      </c>
      <c r="I29" s="563">
        <v>99.612188808543962</v>
      </c>
      <c r="J29" s="563"/>
      <c r="K29" s="683" t="s">
        <v>429</v>
      </c>
      <c r="M29" s="680">
        <f>SUM(O29:S29)</f>
        <v>0</v>
      </c>
      <c r="N29" s="560">
        <f t="shared" si="57"/>
        <v>0</v>
      </c>
      <c r="O29" s="684"/>
      <c r="P29" s="684"/>
      <c r="Q29" s="684"/>
      <c r="R29" s="684"/>
      <c r="S29" s="684"/>
      <c r="U29" s="680">
        <f>SUM(W29:AA29)</f>
        <v>85.414439999999999</v>
      </c>
      <c r="V29" s="560">
        <f t="shared" si="58"/>
        <v>0</v>
      </c>
      <c r="W29" s="684"/>
      <c r="X29" s="684"/>
      <c r="Y29" s="684">
        <v>85.414439999999999</v>
      </c>
      <c r="Z29" s="684"/>
      <c r="AA29" s="684">
        <v>0</v>
      </c>
      <c r="AC29" s="680">
        <f>SUM(AE29:AI29)</f>
        <v>117.1614</v>
      </c>
      <c r="AD29" s="560">
        <f t="shared" si="59"/>
        <v>0</v>
      </c>
      <c r="AE29" s="684"/>
      <c r="AF29" s="684"/>
      <c r="AG29" s="684">
        <v>117.1614</v>
      </c>
      <c r="AH29" s="684"/>
      <c r="AI29" s="684"/>
      <c r="AK29" s="680">
        <f>SUM(AM29:AQ29)</f>
        <v>116.41702000000001</v>
      </c>
      <c r="AL29" s="560">
        <f t="shared" si="60"/>
        <v>0</v>
      </c>
      <c r="AM29" s="684"/>
      <c r="AN29" s="684"/>
      <c r="AO29" s="684">
        <v>116.41702000000001</v>
      </c>
      <c r="AP29" s="684"/>
      <c r="AQ29" s="684"/>
      <c r="AS29" s="680">
        <f>SUM(AU29:AY29)</f>
        <v>167.14790000000028</v>
      </c>
      <c r="AT29" s="560">
        <f t="shared" si="61"/>
        <v>10.534503248253941</v>
      </c>
      <c r="AU29" s="684">
        <f>4428.17452505104/1000</f>
        <v>4.4281745250510403</v>
      </c>
      <c r="AV29" s="684">
        <f>6106.3287232029/1000</f>
        <v>6.1063287232028998</v>
      </c>
      <c r="AW29" s="684">
        <f>153463.954280936/1000</f>
        <v>153.46395428093601</v>
      </c>
      <c r="AX29" s="684">
        <f>3149.44247081033/1000</f>
        <v>3.1494424708103304</v>
      </c>
      <c r="AY29" s="684"/>
      <c r="BA29" s="680"/>
      <c r="BB29" s="560">
        <f t="shared" si="62"/>
        <v>0</v>
      </c>
      <c r="BC29" s="684">
        <f>BA29*$DF$29</f>
        <v>0</v>
      </c>
      <c r="BD29" s="684">
        <f>BA29*$DG$29</f>
        <v>0</v>
      </c>
      <c r="BE29" s="684">
        <f>BA29*$DH$29</f>
        <v>0</v>
      </c>
      <c r="BF29" s="684">
        <f>BA29*$DI$29</f>
        <v>0</v>
      </c>
      <c r="BG29" s="684">
        <f>BA29*$DJ$29</f>
        <v>0</v>
      </c>
      <c r="BI29" s="680"/>
      <c r="BJ29" s="560">
        <f t="shared" si="63"/>
        <v>0</v>
      </c>
      <c r="BK29" s="684">
        <f>BI29*$DF$29</f>
        <v>0</v>
      </c>
      <c r="BL29" s="684">
        <f>BI29*$DG$29</f>
        <v>0</v>
      </c>
      <c r="BM29" s="684">
        <f>BI29*$DH$29</f>
        <v>0</v>
      </c>
      <c r="BN29" s="684">
        <f>BI29*$DI$29</f>
        <v>0</v>
      </c>
      <c r="BO29" s="684">
        <f>BI29*$DJ$29</f>
        <v>0</v>
      </c>
      <c r="BQ29" s="680"/>
      <c r="BR29" s="560">
        <f t="shared" si="64"/>
        <v>0</v>
      </c>
      <c r="BS29" s="684">
        <f>BQ29*$DF$29</f>
        <v>0</v>
      </c>
      <c r="BT29" s="684">
        <f>BQ29*$DG$29</f>
        <v>0</v>
      </c>
      <c r="BU29" s="684">
        <f>BQ29*$DH$29</f>
        <v>0</v>
      </c>
      <c r="BV29" s="684">
        <f>BQ29*$DI$29</f>
        <v>0</v>
      </c>
      <c r="BW29" s="684">
        <f>BQ29*$DJ$29</f>
        <v>0</v>
      </c>
      <c r="BY29" s="680"/>
      <c r="BZ29" s="560">
        <f t="shared" si="65"/>
        <v>0</v>
      </c>
      <c r="CA29" s="684">
        <f>BY29*$DF$29</f>
        <v>0</v>
      </c>
      <c r="CB29" s="684">
        <f>BY29*$DG$29</f>
        <v>0</v>
      </c>
      <c r="CC29" s="684">
        <f>BY29*$DH$29</f>
        <v>0</v>
      </c>
      <c r="CD29" s="684">
        <f>BY29*$DI$29</f>
        <v>0</v>
      </c>
      <c r="CE29" s="684">
        <f>BY29*$DJ$29</f>
        <v>0</v>
      </c>
      <c r="CG29" s="680"/>
      <c r="CH29" s="560">
        <f t="shared" si="66"/>
        <v>0</v>
      </c>
      <c r="CI29" s="684">
        <f>CG29*$DF$29</f>
        <v>0</v>
      </c>
      <c r="CJ29" s="684">
        <f>CG29*$DG$29</f>
        <v>0</v>
      </c>
      <c r="CK29" s="684">
        <f>CG29*$DH$29</f>
        <v>0</v>
      </c>
      <c r="CL29" s="684">
        <f>CG29*$DI$29</f>
        <v>0</v>
      </c>
      <c r="CM29" s="684">
        <f>CG29*$DJ$29</f>
        <v>0</v>
      </c>
      <c r="CO29" s="680"/>
      <c r="CP29" s="560">
        <f t="shared" si="67"/>
        <v>0</v>
      </c>
      <c r="CQ29" s="684">
        <f>CO29*$DF$29</f>
        <v>0</v>
      </c>
      <c r="CR29" s="684">
        <f>CO29*$DG$29</f>
        <v>0</v>
      </c>
      <c r="CS29" s="684">
        <f>CO29*$DH$29</f>
        <v>0</v>
      </c>
      <c r="CT29" s="684">
        <f>CO29*$DI$29</f>
        <v>0</v>
      </c>
      <c r="CU29" s="684">
        <f>CO29*$DJ$29</f>
        <v>0</v>
      </c>
      <c r="CW29" s="680"/>
      <c r="CX29" s="560">
        <f t="shared" si="68"/>
        <v>0</v>
      </c>
      <c r="CY29" s="684">
        <f>CW29*$DF$29</f>
        <v>0</v>
      </c>
      <c r="CZ29" s="684">
        <f>CW29*$DG$29</f>
        <v>0</v>
      </c>
      <c r="DA29" s="684">
        <f>CW29*$DH$29</f>
        <v>0</v>
      </c>
      <c r="DB29" s="684">
        <f>CW29*$DI$29</f>
        <v>0</v>
      </c>
      <c r="DC29" s="684">
        <f>CW29*$DJ$29</f>
        <v>0</v>
      </c>
      <c r="DF29" s="685">
        <f>F29/$D$29</f>
        <v>0.17933036384039361</v>
      </c>
      <c r="DG29" s="685">
        <f>G29/$D$29</f>
        <v>0.27102353974550575</v>
      </c>
      <c r="DH29" s="685">
        <f>H29/$D$29</f>
        <v>0.54530977160235794</v>
      </c>
      <c r="DI29" s="685">
        <f>I29/$D$29</f>
        <v>4.3363248117427294E-3</v>
      </c>
      <c r="DJ29" s="685">
        <f>J29/$D$29</f>
        <v>0</v>
      </c>
    </row>
    <row r="30" spans="1:114" s="673" customFormat="1" ht="27.75" customHeight="1">
      <c r="A30" s="674" t="s">
        <v>15</v>
      </c>
      <c r="B30" s="675" t="s">
        <v>323</v>
      </c>
      <c r="C30" s="660" t="s">
        <v>9</v>
      </c>
      <c r="D30" s="566">
        <v>61848.571080000009</v>
      </c>
      <c r="E30" s="557">
        <f t="shared" si="54"/>
        <v>3349.4232983177139</v>
      </c>
      <c r="F30" s="566">
        <v>1329.408609269457</v>
      </c>
      <c r="G30" s="566">
        <v>2020.014689048257</v>
      </c>
      <c r="H30" s="566">
        <f t="shared" si="55"/>
        <v>58303.043415682296</v>
      </c>
      <c r="I30" s="566">
        <v>196.10436599999997</v>
      </c>
      <c r="J30" s="566"/>
      <c r="K30" s="683" t="s">
        <v>429</v>
      </c>
      <c r="M30" s="691">
        <f>1262012/1000</f>
        <v>1262.0119999999999</v>
      </c>
      <c r="N30" s="557">
        <f t="shared" si="57"/>
        <v>982.0809964694115</v>
      </c>
      <c r="O30" s="692">
        <f>M30*O5</f>
        <v>557.62352994512582</v>
      </c>
      <c r="P30" s="692">
        <f>M30*P5</f>
        <v>424.45746652428562</v>
      </c>
      <c r="Q30" s="692">
        <f>M30*Q5</f>
        <v>253.89255491654214</v>
      </c>
      <c r="R30" s="692">
        <f>M30*R5</f>
        <v>26.03844861404643</v>
      </c>
      <c r="S30" s="692">
        <f>M30*S5</f>
        <v>0</v>
      </c>
      <c r="U30" s="691">
        <f>1248452.85/1000</f>
        <v>1248.4528500000001</v>
      </c>
      <c r="V30" s="557">
        <f t="shared" si="58"/>
        <v>971.52944581594852</v>
      </c>
      <c r="W30" s="692">
        <f>U30*W5</f>
        <v>551.63238161527204</v>
      </c>
      <c r="X30" s="692">
        <f>U30*X5</f>
        <v>419.89706420067643</v>
      </c>
      <c r="Y30" s="692">
        <f>U30*Y5</f>
        <v>251.16471458222156</v>
      </c>
      <c r="Z30" s="692">
        <f>U30*Z5</f>
        <v>25.75868960183011</v>
      </c>
      <c r="AA30" s="692">
        <f>U30*AA5</f>
        <v>0</v>
      </c>
      <c r="AC30" s="691">
        <f>1706693.95/1000</f>
        <v>1706.6939499999999</v>
      </c>
      <c r="AD30" s="557">
        <f t="shared" si="59"/>
        <v>1328.1265907806865</v>
      </c>
      <c r="AE30" s="692">
        <f>AC30*AE5</f>
        <v>754.10749258722581</v>
      </c>
      <c r="AF30" s="692">
        <f>AC30*AF5</f>
        <v>574.01909819346076</v>
      </c>
      <c r="AG30" s="692">
        <f>AC30*AG5</f>
        <v>343.35401519645234</v>
      </c>
      <c r="AH30" s="692">
        <f>AC30*AH5</f>
        <v>35.213344022861051</v>
      </c>
      <c r="AI30" s="692">
        <f>AC30*AI5</f>
        <v>0</v>
      </c>
      <c r="AK30" s="691">
        <f>1655421.25/1000</f>
        <v>1655.4212500000001</v>
      </c>
      <c r="AL30" s="557">
        <f t="shared" si="60"/>
        <v>1288.2268558275505</v>
      </c>
      <c r="AM30" s="692">
        <f>AK30*AM5</f>
        <v>731.45250676790124</v>
      </c>
      <c r="AN30" s="692">
        <f>AK30*AN5</f>
        <v>556.77434905964935</v>
      </c>
      <c r="AO30" s="692">
        <f>AK30*AO5</f>
        <v>333.03893356452704</v>
      </c>
      <c r="AP30" s="692">
        <f>AK30*AP5</f>
        <v>34.155460607922514</v>
      </c>
      <c r="AQ30" s="692">
        <f>AK30*AQ5</f>
        <v>0</v>
      </c>
      <c r="AS30" s="691">
        <f>1648288.5/1000</f>
        <v>1648.2885000000001</v>
      </c>
      <c r="AT30" s="557">
        <f t="shared" si="61"/>
        <v>1282.676244401061</v>
      </c>
      <c r="AU30" s="692">
        <f>AS30*AU5</f>
        <v>728.30088124198232</v>
      </c>
      <c r="AV30" s="692">
        <f>AS30*AV5</f>
        <v>554.37536315907857</v>
      </c>
      <c r="AW30" s="692">
        <f>AS30*AW5</f>
        <v>331.60396137640129</v>
      </c>
      <c r="AX30" s="692">
        <f>AS30*AX5</f>
        <v>34.008294222538034</v>
      </c>
      <c r="AY30" s="692">
        <f>AS30*AY5</f>
        <v>0</v>
      </c>
      <c r="BA30" s="691"/>
      <c r="BB30" s="557">
        <f t="shared" si="62"/>
        <v>0</v>
      </c>
      <c r="BC30" s="693">
        <f>BA30*$DF$30</f>
        <v>0</v>
      </c>
      <c r="BD30" s="693">
        <f>BA30*$DG$30</f>
        <v>0</v>
      </c>
      <c r="BE30" s="693">
        <f>BA30*$DH$30</f>
        <v>0</v>
      </c>
      <c r="BF30" s="693">
        <f>BA30*$DI$30</f>
        <v>0</v>
      </c>
      <c r="BG30" s="693">
        <f>BA30*$DJ$30</f>
        <v>0</v>
      </c>
      <c r="BI30" s="691"/>
      <c r="BJ30" s="557">
        <f t="shared" si="63"/>
        <v>0</v>
      </c>
      <c r="BK30" s="693">
        <f>BI30*$DF$30</f>
        <v>0</v>
      </c>
      <c r="BL30" s="693">
        <f>BI30*$DG$30</f>
        <v>0</v>
      </c>
      <c r="BM30" s="693">
        <f>BI30*$DH$30</f>
        <v>0</v>
      </c>
      <c r="BN30" s="693">
        <f>BI30*$DI$30</f>
        <v>0</v>
      </c>
      <c r="BO30" s="693">
        <f>BI30*$DJ$30</f>
        <v>0</v>
      </c>
      <c r="BQ30" s="691"/>
      <c r="BR30" s="557">
        <f t="shared" si="64"/>
        <v>0</v>
      </c>
      <c r="BS30" s="693">
        <f>BQ30*$DF$30</f>
        <v>0</v>
      </c>
      <c r="BT30" s="693">
        <f>BQ30*$DG$30</f>
        <v>0</v>
      </c>
      <c r="BU30" s="693">
        <f>BQ30*$DH$30</f>
        <v>0</v>
      </c>
      <c r="BV30" s="693">
        <f>BQ30*$DI$30</f>
        <v>0</v>
      </c>
      <c r="BW30" s="693">
        <f>BQ30*$DJ$30</f>
        <v>0</v>
      </c>
      <c r="BY30" s="691"/>
      <c r="BZ30" s="557">
        <f t="shared" si="65"/>
        <v>0</v>
      </c>
      <c r="CA30" s="693">
        <f>BY30*$DF$30</f>
        <v>0</v>
      </c>
      <c r="CB30" s="693">
        <f>BY30*$DG$30</f>
        <v>0</v>
      </c>
      <c r="CC30" s="693">
        <f>BY30*$DH$30</f>
        <v>0</v>
      </c>
      <c r="CD30" s="693">
        <f>BY30*$DI$30</f>
        <v>0</v>
      </c>
      <c r="CE30" s="693">
        <f>BY30*$DJ$30</f>
        <v>0</v>
      </c>
      <c r="CG30" s="691"/>
      <c r="CH30" s="557">
        <f t="shared" si="66"/>
        <v>0</v>
      </c>
      <c r="CI30" s="693">
        <f>CG30*$DF$30</f>
        <v>0</v>
      </c>
      <c r="CJ30" s="693">
        <f>CG30*$DG$30</f>
        <v>0</v>
      </c>
      <c r="CK30" s="693">
        <f>CG30*$DH$30</f>
        <v>0</v>
      </c>
      <c r="CL30" s="693">
        <f>CG30*$DI$30</f>
        <v>0</v>
      </c>
      <c r="CM30" s="693">
        <f>CG30*$DJ$30</f>
        <v>0</v>
      </c>
      <c r="CO30" s="691"/>
      <c r="CP30" s="557">
        <f t="shared" si="67"/>
        <v>0</v>
      </c>
      <c r="CQ30" s="693">
        <f>CO30*$DF$30</f>
        <v>0</v>
      </c>
      <c r="CR30" s="693">
        <f>CO30*$DG$30</f>
        <v>0</v>
      </c>
      <c r="CS30" s="693">
        <f>CO30*$DH$30</f>
        <v>0</v>
      </c>
      <c r="CT30" s="693">
        <f>CO30*$DI$30</f>
        <v>0</v>
      </c>
      <c r="CU30" s="693">
        <f>CO30*$DJ$30</f>
        <v>0</v>
      </c>
      <c r="CW30" s="691"/>
      <c r="CX30" s="557">
        <f t="shared" si="68"/>
        <v>0</v>
      </c>
      <c r="CY30" s="693">
        <f>CW30*$DF$30</f>
        <v>0</v>
      </c>
      <c r="CZ30" s="693">
        <f>CW30*$DG$30</f>
        <v>0</v>
      </c>
      <c r="DA30" s="693">
        <f>CW30*$DH$30</f>
        <v>0</v>
      </c>
      <c r="DB30" s="693">
        <f>CW30*$DI$30</f>
        <v>0</v>
      </c>
      <c r="DC30" s="693">
        <f>CW30*$DJ$30</f>
        <v>0</v>
      </c>
      <c r="DF30" s="685">
        <f>F30/$D$30</f>
        <v>2.1494572729091686E-2</v>
      </c>
      <c r="DG30" s="685">
        <f>G30/$D$30</f>
        <v>3.2660652522358266E-2</v>
      </c>
      <c r="DH30" s="685">
        <f>H30/$D$30</f>
        <v>0.94267405693606665</v>
      </c>
      <c r="DI30" s="685">
        <f>I30/$D$30</f>
        <v>3.1707178124833718E-3</v>
      </c>
      <c r="DJ30" s="685">
        <f>J30/$D$30</f>
        <v>0</v>
      </c>
    </row>
    <row r="31" spans="1:114" s="677" customFormat="1" ht="33" customHeight="1">
      <c r="A31" s="669" t="s">
        <v>16</v>
      </c>
      <c r="B31" s="670" t="s">
        <v>273</v>
      </c>
      <c r="C31" s="671" t="s">
        <v>9</v>
      </c>
      <c r="D31" s="550">
        <f>SUM(D33:D36)</f>
        <v>1196407.4733271997</v>
      </c>
      <c r="E31" s="550">
        <f t="shared" si="54"/>
        <v>62083.399999999994</v>
      </c>
      <c r="F31" s="550">
        <f t="shared" ref="F31:G31" si="102">SUM(F33:F36)</f>
        <v>24795</v>
      </c>
      <c r="G31" s="550">
        <f t="shared" si="102"/>
        <v>37288.399999999994</v>
      </c>
      <c r="H31" s="694">
        <f t="shared" si="55"/>
        <v>1061989.4570583715</v>
      </c>
      <c r="I31" s="550">
        <f t="shared" ref="I31:J31" si="103">SUM(I33:I36)</f>
        <v>72334.61626882838</v>
      </c>
      <c r="J31" s="550">
        <f t="shared" si="103"/>
        <v>0</v>
      </c>
      <c r="K31" s="695"/>
      <c r="M31" s="550">
        <f>SUM(M33:M36)</f>
        <v>93717.215339999995</v>
      </c>
      <c r="N31" s="550">
        <f t="shared" si="57"/>
        <v>20894.482738974479</v>
      </c>
      <c r="O31" s="550">
        <f t="shared" ref="O31:S31" si="104">SUM(O33:O36)</f>
        <v>8782.988053488054</v>
      </c>
      <c r="P31" s="550">
        <f t="shared" si="104"/>
        <v>12111.494685486425</v>
      </c>
      <c r="Q31" s="550">
        <f t="shared" si="104"/>
        <v>66576.024066890634</v>
      </c>
      <c r="R31" s="550">
        <f t="shared" si="104"/>
        <v>6246.7085341348939</v>
      </c>
      <c r="S31" s="550">
        <f t="shared" si="104"/>
        <v>0</v>
      </c>
      <c r="U31" s="550">
        <f>SUM(U33:U36)</f>
        <v>53474.125690000001</v>
      </c>
      <c r="V31" s="550">
        <f t="shared" si="58"/>
        <v>11922.187318070784</v>
      </c>
      <c r="W31" s="550">
        <f t="shared" ref="W31:AA31" si="105">SUM(W33:W36)</f>
        <v>5011.4870080388437</v>
      </c>
      <c r="X31" s="550">
        <f t="shared" si="105"/>
        <v>6910.7003100319398</v>
      </c>
      <c r="Y31" s="550">
        <f t="shared" si="105"/>
        <v>37987.627630394061</v>
      </c>
      <c r="Z31" s="550">
        <f t="shared" si="105"/>
        <v>3564.3107415351524</v>
      </c>
      <c r="AA31" s="550">
        <f t="shared" si="105"/>
        <v>0</v>
      </c>
      <c r="AC31" s="550">
        <f>SUM(AC33:AC36)</f>
        <v>54235.768309999999</v>
      </c>
      <c r="AD31" s="550">
        <f t="shared" si="59"/>
        <v>12091.997405994563</v>
      </c>
      <c r="AE31" s="550">
        <f t="shared" ref="AE31:AI31" si="106">SUM(AE33:AE36)</f>
        <v>5082.8666153843915</v>
      </c>
      <c r="AF31" s="550">
        <f t="shared" si="106"/>
        <v>7009.1307906101729</v>
      </c>
      <c r="AG31" s="550">
        <f t="shared" si="106"/>
        <v>38528.692974851081</v>
      </c>
      <c r="AH31" s="550">
        <f t="shared" si="106"/>
        <v>3615.077929154354</v>
      </c>
      <c r="AI31" s="550">
        <f t="shared" si="106"/>
        <v>0</v>
      </c>
      <c r="AK31" s="550">
        <f>SUM(AK33:AK36)</f>
        <v>64261.676920000005</v>
      </c>
      <c r="AL31" s="550">
        <f t="shared" si="60"/>
        <v>14327.298291047311</v>
      </c>
      <c r="AM31" s="550">
        <f t="shared" ref="AM31:AQ31" si="107">SUM(AM33:AM36)</f>
        <v>6022.4745116233744</v>
      </c>
      <c r="AN31" s="550">
        <f t="shared" si="107"/>
        <v>8304.8237794239358</v>
      </c>
      <c r="AO31" s="550">
        <f t="shared" si="107"/>
        <v>45651.025093770892</v>
      </c>
      <c r="AP31" s="550">
        <f t="shared" si="107"/>
        <v>4283.3535351818036</v>
      </c>
      <c r="AQ31" s="550">
        <f t="shared" si="107"/>
        <v>0</v>
      </c>
      <c r="AS31" s="550">
        <f>SUM(AS33:AS36)</f>
        <v>111936.40700000001</v>
      </c>
      <c r="AT31" s="550">
        <f t="shared" si="61"/>
        <v>24956.496151097886</v>
      </c>
      <c r="AU31" s="550">
        <f t="shared" ref="AU31:AY31" si="108">SUM(AU33:AU36)</f>
        <v>10490.453881548039</v>
      </c>
      <c r="AV31" s="550">
        <f t="shared" si="108"/>
        <v>14466.042269549847</v>
      </c>
      <c r="AW31" s="550">
        <f t="shared" si="108"/>
        <v>79518.80451587119</v>
      </c>
      <c r="AX31" s="550">
        <f t="shared" si="108"/>
        <v>7461.1063330309244</v>
      </c>
      <c r="AY31" s="550">
        <f t="shared" si="108"/>
        <v>0</v>
      </c>
      <c r="BA31" s="550">
        <f>SUM(BA33:BA36)</f>
        <v>0</v>
      </c>
      <c r="BB31" s="550">
        <f t="shared" si="62"/>
        <v>0</v>
      </c>
      <c r="BC31" s="550">
        <f t="shared" ref="BC31:BG31" si="109">SUM(BC33:BC36)</f>
        <v>0</v>
      </c>
      <c r="BD31" s="550">
        <f t="shared" si="109"/>
        <v>0</v>
      </c>
      <c r="BE31" s="550">
        <f t="shared" si="109"/>
        <v>0</v>
      </c>
      <c r="BF31" s="550">
        <f t="shared" si="109"/>
        <v>0</v>
      </c>
      <c r="BG31" s="550">
        <f t="shared" si="109"/>
        <v>0</v>
      </c>
      <c r="BI31" s="550">
        <f>SUM(BI33:BI36)</f>
        <v>0</v>
      </c>
      <c r="BJ31" s="550">
        <f t="shared" si="63"/>
        <v>0</v>
      </c>
      <c r="BK31" s="550">
        <f t="shared" ref="BK31:BO31" si="110">SUM(BK33:BK36)</f>
        <v>0</v>
      </c>
      <c r="BL31" s="550">
        <f t="shared" si="110"/>
        <v>0</v>
      </c>
      <c r="BM31" s="550">
        <f t="shared" si="110"/>
        <v>0</v>
      </c>
      <c r="BN31" s="550">
        <f t="shared" si="110"/>
        <v>0</v>
      </c>
      <c r="BO31" s="550">
        <f t="shared" si="110"/>
        <v>0</v>
      </c>
      <c r="BQ31" s="550">
        <f>SUM(BQ33:BQ36)</f>
        <v>0</v>
      </c>
      <c r="BR31" s="550">
        <f t="shared" si="64"/>
        <v>0</v>
      </c>
      <c r="BS31" s="550">
        <f t="shared" ref="BS31:BW31" si="111">SUM(BS33:BS36)</f>
        <v>0</v>
      </c>
      <c r="BT31" s="550">
        <f t="shared" si="111"/>
        <v>0</v>
      </c>
      <c r="BU31" s="550">
        <f t="shared" si="111"/>
        <v>0</v>
      </c>
      <c r="BV31" s="550">
        <f t="shared" si="111"/>
        <v>0</v>
      </c>
      <c r="BW31" s="550">
        <f t="shared" si="111"/>
        <v>0</v>
      </c>
      <c r="BY31" s="550">
        <f>SUM(BY33:BY36)</f>
        <v>0</v>
      </c>
      <c r="BZ31" s="550">
        <f t="shared" si="65"/>
        <v>0</v>
      </c>
      <c r="CA31" s="550">
        <f t="shared" ref="CA31:CE31" si="112">SUM(CA33:CA36)</f>
        <v>0</v>
      </c>
      <c r="CB31" s="550">
        <f t="shared" si="112"/>
        <v>0</v>
      </c>
      <c r="CC31" s="550">
        <f t="shared" si="112"/>
        <v>0</v>
      </c>
      <c r="CD31" s="550">
        <f t="shared" si="112"/>
        <v>0</v>
      </c>
      <c r="CE31" s="550">
        <f t="shared" si="112"/>
        <v>0</v>
      </c>
      <c r="CG31" s="550">
        <f>SUM(CG33:CG36)</f>
        <v>0</v>
      </c>
      <c r="CH31" s="550">
        <f t="shared" si="66"/>
        <v>0</v>
      </c>
      <c r="CI31" s="550">
        <f t="shared" ref="CI31:CM31" si="113">SUM(CI33:CI36)</f>
        <v>0</v>
      </c>
      <c r="CJ31" s="550">
        <f t="shared" si="113"/>
        <v>0</v>
      </c>
      <c r="CK31" s="550">
        <f t="shared" si="113"/>
        <v>0</v>
      </c>
      <c r="CL31" s="550">
        <f t="shared" si="113"/>
        <v>0</v>
      </c>
      <c r="CM31" s="550">
        <f t="shared" si="113"/>
        <v>0</v>
      </c>
      <c r="CO31" s="550">
        <f>SUM(CO33:CO36)</f>
        <v>0</v>
      </c>
      <c r="CP31" s="550">
        <f t="shared" si="67"/>
        <v>0</v>
      </c>
      <c r="CQ31" s="550">
        <f t="shared" ref="CQ31:CU31" si="114">SUM(CQ33:CQ36)</f>
        <v>0</v>
      </c>
      <c r="CR31" s="550">
        <f t="shared" si="114"/>
        <v>0</v>
      </c>
      <c r="CS31" s="550">
        <f t="shared" si="114"/>
        <v>0</v>
      </c>
      <c r="CT31" s="550">
        <f t="shared" si="114"/>
        <v>0</v>
      </c>
      <c r="CU31" s="550">
        <f t="shared" si="114"/>
        <v>0</v>
      </c>
      <c r="CW31" s="550">
        <f>SUM(CW33:CW36)</f>
        <v>0</v>
      </c>
      <c r="CX31" s="550">
        <f t="shared" si="68"/>
        <v>0</v>
      </c>
      <c r="CY31" s="550">
        <f t="shared" ref="CY31:DC31" si="115">SUM(CY33:CY36)</f>
        <v>0</v>
      </c>
      <c r="CZ31" s="550">
        <f t="shared" si="115"/>
        <v>0</v>
      </c>
      <c r="DA31" s="550">
        <f t="shared" si="115"/>
        <v>0</v>
      </c>
      <c r="DB31" s="550">
        <f t="shared" si="115"/>
        <v>0</v>
      </c>
      <c r="DC31" s="550">
        <f t="shared" si="115"/>
        <v>0</v>
      </c>
      <c r="DF31" s="696"/>
      <c r="DG31" s="696"/>
      <c r="DH31" s="696"/>
      <c r="DI31" s="696"/>
      <c r="DJ31" s="696"/>
    </row>
    <row r="32" spans="1:114" s="673" customFormat="1">
      <c r="A32" s="674"/>
      <c r="B32" s="675" t="s">
        <v>7</v>
      </c>
      <c r="C32" s="660"/>
      <c r="D32" s="566"/>
      <c r="E32" s="566"/>
      <c r="F32" s="566"/>
      <c r="G32" s="566"/>
      <c r="H32" s="566"/>
      <c r="I32" s="697"/>
      <c r="J32" s="697"/>
      <c r="K32" s="698"/>
      <c r="M32" s="566"/>
      <c r="N32" s="566"/>
      <c r="O32" s="566"/>
      <c r="P32" s="566"/>
      <c r="Q32" s="566"/>
      <c r="R32" s="697"/>
      <c r="S32" s="697"/>
      <c r="U32" s="566"/>
      <c r="V32" s="566"/>
      <c r="W32" s="566"/>
      <c r="X32" s="566"/>
      <c r="Y32" s="566"/>
      <c r="Z32" s="697"/>
      <c r="AA32" s="697"/>
      <c r="AC32" s="566"/>
      <c r="AD32" s="566"/>
      <c r="AE32" s="566"/>
      <c r="AF32" s="566"/>
      <c r="AG32" s="566"/>
      <c r="AH32" s="697"/>
      <c r="AI32" s="697"/>
      <c r="AK32" s="566"/>
      <c r="AL32" s="566"/>
      <c r="AM32" s="566"/>
      <c r="AN32" s="566"/>
      <c r="AO32" s="566"/>
      <c r="AP32" s="697"/>
      <c r="AQ32" s="697"/>
      <c r="AS32" s="566"/>
      <c r="AT32" s="566"/>
      <c r="AU32" s="566"/>
      <c r="AV32" s="566"/>
      <c r="AW32" s="566"/>
      <c r="AX32" s="697"/>
      <c r="AY32" s="697"/>
      <c r="BA32" s="566"/>
      <c r="BB32" s="566"/>
      <c r="BC32" s="566"/>
      <c r="BD32" s="566"/>
      <c r="BE32" s="566"/>
      <c r="BF32" s="697"/>
      <c r="BG32" s="697"/>
      <c r="BI32" s="566"/>
      <c r="BJ32" s="566"/>
      <c r="BK32" s="566"/>
      <c r="BL32" s="566"/>
      <c r="BM32" s="566"/>
      <c r="BN32" s="697"/>
      <c r="BO32" s="697"/>
      <c r="BQ32" s="566"/>
      <c r="BR32" s="566"/>
      <c r="BS32" s="566"/>
      <c r="BT32" s="566"/>
      <c r="BU32" s="566"/>
      <c r="BV32" s="697"/>
      <c r="BW32" s="697"/>
      <c r="BY32" s="566"/>
      <c r="BZ32" s="566"/>
      <c r="CA32" s="566"/>
      <c r="CB32" s="566"/>
      <c r="CC32" s="566"/>
      <c r="CD32" s="697"/>
      <c r="CE32" s="697"/>
      <c r="CG32" s="566"/>
      <c r="CH32" s="566"/>
      <c r="CI32" s="566"/>
      <c r="CJ32" s="566"/>
      <c r="CK32" s="566"/>
      <c r="CL32" s="697"/>
      <c r="CM32" s="697"/>
      <c r="CO32" s="566"/>
      <c r="CP32" s="566"/>
      <c r="CQ32" s="566"/>
      <c r="CR32" s="566"/>
      <c r="CS32" s="566"/>
      <c r="CT32" s="697"/>
      <c r="CU32" s="697"/>
      <c r="CW32" s="566"/>
      <c r="CX32" s="566"/>
      <c r="CY32" s="566"/>
      <c r="CZ32" s="566"/>
      <c r="DA32" s="566"/>
      <c r="DB32" s="697"/>
      <c r="DC32" s="697"/>
      <c r="DF32" s="688"/>
      <c r="DG32" s="688"/>
      <c r="DH32" s="688"/>
      <c r="DI32" s="688"/>
      <c r="DJ32" s="688"/>
    </row>
    <row r="33" spans="1:114" s="673" customFormat="1" ht="27" customHeight="1">
      <c r="A33" s="674" t="s">
        <v>17</v>
      </c>
      <c r="B33" s="675" t="s">
        <v>441</v>
      </c>
      <c r="C33" s="660" t="s">
        <v>9</v>
      </c>
      <c r="D33" s="566">
        <v>1073915.2327999999</v>
      </c>
      <c r="E33" s="557">
        <f t="shared" ref="E33:E39" si="116">F33+G33</f>
        <v>55117.2</v>
      </c>
      <c r="F33" s="566">
        <v>22038</v>
      </c>
      <c r="G33" s="566">
        <v>33079.199999999997</v>
      </c>
      <c r="H33" s="566">
        <f>D33-F33-G33-I33</f>
        <v>953554.39053423714</v>
      </c>
      <c r="I33" s="697">
        <v>65243.642265762763</v>
      </c>
      <c r="J33" s="697"/>
      <c r="K33" s="679" t="s">
        <v>184</v>
      </c>
      <c r="M33" s="691">
        <f>84808943.34/1000</f>
        <v>84808.943339999998</v>
      </c>
      <c r="N33" s="557">
        <f t="shared" ref="N33:N39" si="117">O33+P33</f>
        <v>18908.361673993957</v>
      </c>
      <c r="O33" s="699">
        <f>$M$33*$O$3</f>
        <v>7948.1228020039171</v>
      </c>
      <c r="P33" s="699">
        <f>$M$33*$P$3</f>
        <v>10960.238871990041</v>
      </c>
      <c r="Q33" s="699">
        <f>$M$33*$Q$3</f>
        <v>60247.652818185023</v>
      </c>
      <c r="R33" s="699">
        <f>$M$33*$R$3</f>
        <v>5652.928847821021</v>
      </c>
      <c r="S33" s="681">
        <f>$M$16*$S$3</f>
        <v>0</v>
      </c>
      <c r="U33" s="691">
        <f>48305630/1000</f>
        <v>48305.63</v>
      </c>
      <c r="V33" s="557">
        <f t="shared" ref="V33:V39" si="118">W33+X33</f>
        <v>10769.858542729165</v>
      </c>
      <c r="W33" s="699">
        <f>U33*$W$3</f>
        <v>4527.1060356093394</v>
      </c>
      <c r="X33" s="699">
        <f>U33*$X$3</f>
        <v>6242.7525071198252</v>
      </c>
      <c r="Y33" s="699">
        <f>U33*$Y$3</f>
        <v>34315.966109096233</v>
      </c>
      <c r="Z33" s="699">
        <f>U33*$Z$3</f>
        <v>3219.8053481745987</v>
      </c>
      <c r="AA33" s="681">
        <f>U33*AA3</f>
        <v>0</v>
      </c>
      <c r="AC33" s="691">
        <f>48953609.03/1000</f>
        <v>48953.60903</v>
      </c>
      <c r="AD33" s="557">
        <f t="shared" ref="AD33:AD39" si="119">AE33+AF33</f>
        <v>10914.32705482092</v>
      </c>
      <c r="AE33" s="699">
        <f t="shared" ref="AE33:AE34" si="120">AC33*$AE$3</f>
        <v>4587.8333209725834</v>
      </c>
      <c r="AF33" s="699">
        <f t="shared" ref="AF33" si="121">AC33*$AF$3</f>
        <v>6326.4937338483369</v>
      </c>
      <c r="AG33" s="699">
        <f t="shared" ref="AG33:AG34" si="122">AC33*$AG$3</f>
        <v>34776.285670871643</v>
      </c>
      <c r="AH33" s="699">
        <f t="shared" ref="AH33:AH34" si="123">AC33*$AH$3</f>
        <v>3262.9963043074345</v>
      </c>
      <c r="AI33" s="681">
        <f>AC33*AI3</f>
        <v>0</v>
      </c>
      <c r="AK33" s="691">
        <f>58003499.09/1000</f>
        <v>58003.499090000005</v>
      </c>
      <c r="AL33" s="557">
        <f t="shared" ref="AL33:AL39" si="124">AM33+AN33</f>
        <v>12932.022213199991</v>
      </c>
      <c r="AM33" s="699">
        <f>AK33*$AM$3</f>
        <v>5435.9707308816769</v>
      </c>
      <c r="AN33" s="699">
        <f>AK33*$AN$3</f>
        <v>7496.0514823183148</v>
      </c>
      <c r="AO33" s="699">
        <f>AK33*$AO$3</f>
        <v>41205.26135320944</v>
      </c>
      <c r="AP33" s="699">
        <f>AK33*$AP$3</f>
        <v>3866.215523590573</v>
      </c>
      <c r="AQ33" s="681">
        <f>AK33*AQ3</f>
        <v>0</v>
      </c>
      <c r="AS33" s="691">
        <f>101110993/1000</f>
        <v>101110.993</v>
      </c>
      <c r="AT33" s="557">
        <f t="shared" ref="AT33:AT39" si="125">AU33+AV33</f>
        <v>22542.943580797495</v>
      </c>
      <c r="AU33" s="699">
        <f>AS33*$AU$3</f>
        <v>9475.9179556659055</v>
      </c>
      <c r="AV33" s="699">
        <f>AS33*$AV$3</f>
        <v>13067.025625131588</v>
      </c>
      <c r="AW33" s="699">
        <f>AS33*$AW$3</f>
        <v>71828.509617720891</v>
      </c>
      <c r="AX33" s="681">
        <f>AS33*$AX$3</f>
        <v>6739.5398014816174</v>
      </c>
      <c r="AY33" s="681">
        <f>AS33*AY3</f>
        <v>0</v>
      </c>
      <c r="BA33" s="691"/>
      <c r="BB33" s="557">
        <f t="shared" ref="BB33:BB39" si="126">BC33+BD33</f>
        <v>0</v>
      </c>
      <c r="BC33" s="699">
        <f>BA33*$BC$3</f>
        <v>0</v>
      </c>
      <c r="BD33" s="699">
        <f>BA33*$BD$3</f>
        <v>0</v>
      </c>
      <c r="BE33" s="699">
        <f>BA33*$BE$3</f>
        <v>0</v>
      </c>
      <c r="BF33" s="699">
        <f>BA33*$BF$3</f>
        <v>0</v>
      </c>
      <c r="BG33" s="681">
        <f>BA33*BG3</f>
        <v>0</v>
      </c>
      <c r="BI33" s="691"/>
      <c r="BJ33" s="557">
        <f t="shared" ref="BJ33:BJ39" si="127">BK33+BL33</f>
        <v>0</v>
      </c>
      <c r="BK33" s="699">
        <f>BI33*$BK$3</f>
        <v>0</v>
      </c>
      <c r="BL33" s="699">
        <f>BI33*$BL$3</f>
        <v>0</v>
      </c>
      <c r="BM33" s="699">
        <f>BI33*$BM$3</f>
        <v>0</v>
      </c>
      <c r="BN33" s="699">
        <f>BI33*$BN$3</f>
        <v>0</v>
      </c>
      <c r="BO33" s="681">
        <f>BI33*BO3</f>
        <v>0</v>
      </c>
      <c r="BQ33" s="691"/>
      <c r="BR33" s="557">
        <f t="shared" ref="BR33:BR39" si="128">BS33+BT33</f>
        <v>0</v>
      </c>
      <c r="BS33" s="699">
        <f>BQ33*$BS$3</f>
        <v>0</v>
      </c>
      <c r="BT33" s="699">
        <f>BQ33*$BT$3</f>
        <v>0</v>
      </c>
      <c r="BU33" s="699">
        <f>BQ33*$BU$3</f>
        <v>0</v>
      </c>
      <c r="BV33" s="699">
        <f>BQ33*$BV$3</f>
        <v>0</v>
      </c>
      <c r="BW33" s="681">
        <f>BQ33*BW3</f>
        <v>0</v>
      </c>
      <c r="BY33" s="691"/>
      <c r="BZ33" s="557">
        <f t="shared" ref="BZ33:BZ39" si="129">CA33+CB33</f>
        <v>0</v>
      </c>
      <c r="CA33" s="699">
        <f t="shared" ref="CA33:CA34" si="130">BY33*$CA$3</f>
        <v>0</v>
      </c>
      <c r="CB33" s="699">
        <f t="shared" ref="CB33:CB34" si="131">BY33*$CB$3</f>
        <v>0</v>
      </c>
      <c r="CC33" s="699">
        <f t="shared" ref="CC33:CC34" si="132">BY33*$CC$3</f>
        <v>0</v>
      </c>
      <c r="CD33" s="699">
        <f t="shared" ref="CD33:CD34" si="133">BY33*$CD$3</f>
        <v>0</v>
      </c>
      <c r="CE33" s="681">
        <f>BY33*CE3</f>
        <v>0</v>
      </c>
      <c r="CG33" s="691"/>
      <c r="CH33" s="557">
        <f t="shared" ref="CH33:CH39" si="134">CI33+CJ33</f>
        <v>0</v>
      </c>
      <c r="CI33" s="699">
        <f>CG33*$CI$3</f>
        <v>0</v>
      </c>
      <c r="CJ33" s="699">
        <f>CG33*$CJ$3</f>
        <v>0</v>
      </c>
      <c r="CK33" s="699">
        <f>CG33*$CK$3</f>
        <v>0</v>
      </c>
      <c r="CL33" s="699">
        <f>CG33*$CL$3</f>
        <v>0</v>
      </c>
      <c r="CM33" s="681">
        <f>CG33*CM3</f>
        <v>0</v>
      </c>
      <c r="CO33" s="691"/>
      <c r="CP33" s="557">
        <f t="shared" ref="CP33:CP39" si="135">CQ33+CR33</f>
        <v>0</v>
      </c>
      <c r="CQ33" s="699">
        <f>CO33*$CQ$3</f>
        <v>0</v>
      </c>
      <c r="CR33" s="699">
        <f>CO33*$CR$3</f>
        <v>0</v>
      </c>
      <c r="CS33" s="699">
        <f>CO33*$CS$3</f>
        <v>0</v>
      </c>
      <c r="CT33" s="699">
        <f>CO33*$CT$3</f>
        <v>0</v>
      </c>
      <c r="CU33" s="681">
        <f>CO33*CU3</f>
        <v>0</v>
      </c>
      <c r="CW33" s="691"/>
      <c r="CX33" s="557">
        <f t="shared" ref="CX33:CX39" si="136">CY33+CZ33</f>
        <v>0</v>
      </c>
      <c r="CY33" s="699">
        <f>CW33*$CY$3</f>
        <v>0</v>
      </c>
      <c r="CZ33" s="699">
        <f>CW33*$CZ$3</f>
        <v>0</v>
      </c>
      <c r="DA33" s="699">
        <f>CW33*$DA$3</f>
        <v>0</v>
      </c>
      <c r="DB33" s="699">
        <f>CW33*$DB$3</f>
        <v>0</v>
      </c>
      <c r="DC33" s="681">
        <f>CW33*DC3</f>
        <v>0</v>
      </c>
      <c r="DF33" s="688"/>
      <c r="DG33" s="688"/>
      <c r="DH33" s="688"/>
      <c r="DI33" s="688"/>
      <c r="DJ33" s="688"/>
    </row>
    <row r="34" spans="1:114" s="673" customFormat="1" ht="29.25" customHeight="1">
      <c r="A34" s="674" t="s">
        <v>19</v>
      </c>
      <c r="B34" s="675" t="s">
        <v>442</v>
      </c>
      <c r="C34" s="660" t="s">
        <v>9</v>
      </c>
      <c r="D34" s="566">
        <v>106317.60804719999</v>
      </c>
      <c r="E34" s="557">
        <f t="shared" si="116"/>
        <v>5456.7</v>
      </c>
      <c r="F34" s="566">
        <v>2181.5</v>
      </c>
      <c r="G34" s="566">
        <v>3275.2</v>
      </c>
      <c r="H34" s="566">
        <f>D34-F34-G34-I34</f>
        <v>94401.787462889479</v>
      </c>
      <c r="I34" s="697">
        <v>6459.1205843105136</v>
      </c>
      <c r="J34" s="697"/>
      <c r="K34" s="679" t="s">
        <v>184</v>
      </c>
      <c r="M34" s="691">
        <f>8427559/1000</f>
        <v>8427.5589999999993</v>
      </c>
      <c r="N34" s="557">
        <f t="shared" si="117"/>
        <v>1878.9449240286081</v>
      </c>
      <c r="O34" s="699">
        <f>$M$34*$O$3</f>
        <v>789.81380046909237</v>
      </c>
      <c r="P34" s="699">
        <f>$M$34*$P$3</f>
        <v>1089.1311235595156</v>
      </c>
      <c r="Q34" s="699">
        <f>$M$34*$Q$3</f>
        <v>5986.8762507891715</v>
      </c>
      <c r="R34" s="699">
        <f>$M$34*$R$3</f>
        <v>561.73782518221935</v>
      </c>
      <c r="S34" s="681">
        <f>$M$16*$S$3</f>
        <v>0</v>
      </c>
      <c r="U34" s="691">
        <f>4751453.69/1000</f>
        <v>4751.4536900000003</v>
      </c>
      <c r="V34" s="557">
        <f t="shared" si="118"/>
        <v>1059.3482398144588</v>
      </c>
      <c r="W34" s="699">
        <f>U34*$W$3</f>
        <v>445.29663887868281</v>
      </c>
      <c r="X34" s="699">
        <f>U34*$X$3</f>
        <v>614.05160093577604</v>
      </c>
      <c r="Y34" s="699">
        <f>U34*$Y$3</f>
        <v>3375.3979359130658</v>
      </c>
      <c r="Z34" s="699">
        <f>U34*$Z$3</f>
        <v>316.70751427247575</v>
      </c>
      <c r="AA34" s="681">
        <f>U34*AA3</f>
        <v>0</v>
      </c>
      <c r="AC34" s="691">
        <f>4858580.88/1000</f>
        <v>4858.5808799999995</v>
      </c>
      <c r="AD34" s="557">
        <f t="shared" si="119"/>
        <v>1083.2325092542749</v>
      </c>
      <c r="AE34" s="699">
        <f t="shared" si="120"/>
        <v>455.33638266065742</v>
      </c>
      <c r="AF34" s="699">
        <f>AC34*$AF$3</f>
        <v>627.89612659361751</v>
      </c>
      <c r="AG34" s="699">
        <f t="shared" si="122"/>
        <v>3451.5003078602422</v>
      </c>
      <c r="AH34" s="699">
        <f t="shared" si="123"/>
        <v>323.84806288548248</v>
      </c>
      <c r="AI34" s="681">
        <f>AC34*AI3</f>
        <v>0</v>
      </c>
      <c r="AK34" s="691">
        <f>5746720.83/1000</f>
        <v>5746.7208300000002</v>
      </c>
      <c r="AL34" s="557">
        <f t="shared" si="124"/>
        <v>1281.2454867818749</v>
      </c>
      <c r="AM34" s="699">
        <f>AK34*$AM$3</f>
        <v>538.57106416901945</v>
      </c>
      <c r="AN34" s="699">
        <f>AK34*$AN$3</f>
        <v>742.67442261285544</v>
      </c>
      <c r="AO34" s="699">
        <f>AK34*$AO$3</f>
        <v>4082.4284299928891</v>
      </c>
      <c r="AP34" s="699">
        <f>AK34*$AP$3</f>
        <v>383.04691322523627</v>
      </c>
      <c r="AQ34" s="681">
        <f>AK34*AQ3</f>
        <v>0</v>
      </c>
      <c r="AS34" s="691">
        <f>10024170/1000</f>
        <v>10024.17</v>
      </c>
      <c r="AT34" s="557">
        <f t="shared" si="125"/>
        <v>2234.9132576941738</v>
      </c>
      <c r="AU34" s="699">
        <f>AS34*$AU$3</f>
        <v>939.44495722287593</v>
      </c>
      <c r="AV34" s="699">
        <f>AS34*$AV$3</f>
        <v>1295.4683004712979</v>
      </c>
      <c r="AW34" s="699">
        <f>AS34*$AW$3</f>
        <v>7121.0970230968769</v>
      </c>
      <c r="AX34" s="681">
        <f>AS34*$AX$3</f>
        <v>668.15971920894867</v>
      </c>
      <c r="AY34" s="681">
        <f>AS34*AY3</f>
        <v>0</v>
      </c>
      <c r="BA34" s="691"/>
      <c r="BB34" s="557">
        <f t="shared" si="126"/>
        <v>0</v>
      </c>
      <c r="BC34" s="699">
        <f>BA34*$BC$3</f>
        <v>0</v>
      </c>
      <c r="BD34" s="699">
        <f>BA34*$BD$3</f>
        <v>0</v>
      </c>
      <c r="BE34" s="699">
        <f>BA34*$BE$3</f>
        <v>0</v>
      </c>
      <c r="BF34" s="699">
        <f>BA34*$BF$3</f>
        <v>0</v>
      </c>
      <c r="BG34" s="681">
        <f>BA34*BG3</f>
        <v>0</v>
      </c>
      <c r="BI34" s="691"/>
      <c r="BJ34" s="557">
        <f t="shared" si="127"/>
        <v>0</v>
      </c>
      <c r="BK34" s="699">
        <f>BI34*$BK$3</f>
        <v>0</v>
      </c>
      <c r="BL34" s="699">
        <f>BI34*$BL$3</f>
        <v>0</v>
      </c>
      <c r="BM34" s="699">
        <f>BI34*$BM$3</f>
        <v>0</v>
      </c>
      <c r="BN34" s="699">
        <f>BI34*$BN$3</f>
        <v>0</v>
      </c>
      <c r="BO34" s="681">
        <f>BI34*BO3</f>
        <v>0</v>
      </c>
      <c r="BQ34" s="691"/>
      <c r="BR34" s="557">
        <f t="shared" si="128"/>
        <v>0</v>
      </c>
      <c r="BS34" s="699">
        <f>BQ34*$BS$3</f>
        <v>0</v>
      </c>
      <c r="BT34" s="699">
        <f>BQ34*$BT$3</f>
        <v>0</v>
      </c>
      <c r="BU34" s="699">
        <f>BQ34*$BU$3</f>
        <v>0</v>
      </c>
      <c r="BV34" s="699">
        <f>BQ34*$BV$3</f>
        <v>0</v>
      </c>
      <c r="BW34" s="681">
        <f>BQ34*BW3</f>
        <v>0</v>
      </c>
      <c r="BY34" s="691"/>
      <c r="BZ34" s="557">
        <f t="shared" si="129"/>
        <v>0</v>
      </c>
      <c r="CA34" s="699">
        <f t="shared" si="130"/>
        <v>0</v>
      </c>
      <c r="CB34" s="699">
        <f t="shared" si="131"/>
        <v>0</v>
      </c>
      <c r="CC34" s="699">
        <f t="shared" si="132"/>
        <v>0</v>
      </c>
      <c r="CD34" s="699">
        <f t="shared" si="133"/>
        <v>0</v>
      </c>
      <c r="CE34" s="681">
        <f>BY34*CE3</f>
        <v>0</v>
      </c>
      <c r="CG34" s="691"/>
      <c r="CH34" s="557">
        <f t="shared" si="134"/>
        <v>0</v>
      </c>
      <c r="CI34" s="699">
        <f>CG34*$CI$3</f>
        <v>0</v>
      </c>
      <c r="CJ34" s="699">
        <f>CG34*$CJ$3</f>
        <v>0</v>
      </c>
      <c r="CK34" s="699">
        <f>CG34*$CK$3</f>
        <v>0</v>
      </c>
      <c r="CL34" s="699">
        <f>CG34*$CL$3</f>
        <v>0</v>
      </c>
      <c r="CM34" s="681">
        <f>CG34*CM3</f>
        <v>0</v>
      </c>
      <c r="CO34" s="691"/>
      <c r="CP34" s="557">
        <f t="shared" si="135"/>
        <v>0</v>
      </c>
      <c r="CQ34" s="699">
        <f>CO34*$CQ$3</f>
        <v>0</v>
      </c>
      <c r="CR34" s="699">
        <f>CO34*$CR$3</f>
        <v>0</v>
      </c>
      <c r="CS34" s="699">
        <f>CO34*$CS$3</f>
        <v>0</v>
      </c>
      <c r="CT34" s="699">
        <f>CO34*$CT$3</f>
        <v>0</v>
      </c>
      <c r="CU34" s="681">
        <f>CO34*CU3</f>
        <v>0</v>
      </c>
      <c r="CW34" s="691"/>
      <c r="CX34" s="557">
        <f t="shared" si="136"/>
        <v>0</v>
      </c>
      <c r="CY34" s="699">
        <f>CW34*$CY$3</f>
        <v>0</v>
      </c>
      <c r="CZ34" s="699">
        <f>CW34*$CZ$3</f>
        <v>0</v>
      </c>
      <c r="DA34" s="699">
        <f>CW34*$DA$3</f>
        <v>0</v>
      </c>
      <c r="DB34" s="699">
        <f>CW34*$DB$3</f>
        <v>0</v>
      </c>
      <c r="DC34" s="681">
        <f>CW34*DC3</f>
        <v>0</v>
      </c>
      <c r="DF34" s="688"/>
      <c r="DG34" s="688"/>
      <c r="DH34" s="688"/>
      <c r="DI34" s="688"/>
      <c r="DJ34" s="688"/>
    </row>
    <row r="35" spans="1:114" s="673" customFormat="1" ht="42" customHeight="1">
      <c r="A35" s="674" t="s">
        <v>144</v>
      </c>
      <c r="B35" s="675" t="s">
        <v>443</v>
      </c>
      <c r="C35" s="660"/>
      <c r="D35" s="566">
        <v>8305.5984000000008</v>
      </c>
      <c r="E35" s="557">
        <f t="shared" si="116"/>
        <v>0</v>
      </c>
      <c r="F35" s="566"/>
      <c r="G35" s="566"/>
      <c r="H35" s="566">
        <f>D35-F35-G35-I35</f>
        <v>7976.9592000000011</v>
      </c>
      <c r="I35" s="697">
        <v>328.63920000000002</v>
      </c>
      <c r="J35" s="697"/>
      <c r="K35" s="683" t="s">
        <v>429</v>
      </c>
      <c r="M35" s="691"/>
      <c r="N35" s="557">
        <f t="shared" si="117"/>
        <v>0</v>
      </c>
      <c r="O35" s="693"/>
      <c r="P35" s="693"/>
      <c r="Q35" s="693">
        <f>M35-R35</f>
        <v>0</v>
      </c>
      <c r="R35" s="693"/>
      <c r="S35" s="693"/>
      <c r="U35" s="691"/>
      <c r="V35" s="557">
        <f t="shared" si="118"/>
        <v>0</v>
      </c>
      <c r="W35" s="693"/>
      <c r="X35" s="693"/>
      <c r="Y35" s="693">
        <f>U35-Z35</f>
        <v>0</v>
      </c>
      <c r="Z35" s="693"/>
      <c r="AA35" s="693"/>
      <c r="AC35" s="691"/>
      <c r="AD35" s="557">
        <f t="shared" si="119"/>
        <v>0</v>
      </c>
      <c r="AE35" s="693"/>
      <c r="AF35" s="693"/>
      <c r="AG35" s="693">
        <f>AC35-AH35</f>
        <v>0</v>
      </c>
      <c r="AH35" s="693"/>
      <c r="AI35" s="693"/>
      <c r="AK35" s="691"/>
      <c r="AL35" s="557">
        <f t="shared" si="124"/>
        <v>0</v>
      </c>
      <c r="AM35" s="693"/>
      <c r="AN35" s="693"/>
      <c r="AO35" s="693">
        <f>AK35-AP35</f>
        <v>0</v>
      </c>
      <c r="AP35" s="693"/>
      <c r="AQ35" s="693"/>
      <c r="AS35" s="691"/>
      <c r="AT35" s="557">
        <f t="shared" si="125"/>
        <v>0</v>
      </c>
      <c r="AU35" s="693"/>
      <c r="AV35" s="693"/>
      <c r="AW35" s="693">
        <f>AS35-AX35</f>
        <v>0</v>
      </c>
      <c r="AX35" s="693"/>
      <c r="AY35" s="693"/>
      <c r="BA35" s="691"/>
      <c r="BB35" s="557">
        <f t="shared" si="126"/>
        <v>0</v>
      </c>
      <c r="BC35" s="693">
        <f>BA35*$DF$35</f>
        <v>0</v>
      </c>
      <c r="BD35" s="693">
        <f>BA35*$DG$35</f>
        <v>0</v>
      </c>
      <c r="BE35" s="693">
        <f>BA35*$DH$35</f>
        <v>0</v>
      </c>
      <c r="BF35" s="693">
        <f>BA35*$DI$35</f>
        <v>0</v>
      </c>
      <c r="BG35" s="693">
        <f>BA35*$DJ$35</f>
        <v>0</v>
      </c>
      <c r="BI35" s="691"/>
      <c r="BJ35" s="557">
        <f t="shared" si="127"/>
        <v>0</v>
      </c>
      <c r="BK35" s="693">
        <f>BI35*$DF$35</f>
        <v>0</v>
      </c>
      <c r="BL35" s="693">
        <f>BI35*$DG$35</f>
        <v>0</v>
      </c>
      <c r="BM35" s="693">
        <f>BI35*$DH$35</f>
        <v>0</v>
      </c>
      <c r="BN35" s="693">
        <f>BI35*$DI$35</f>
        <v>0</v>
      </c>
      <c r="BO35" s="693">
        <f>BI35*$DJ$35</f>
        <v>0</v>
      </c>
      <c r="BQ35" s="691"/>
      <c r="BR35" s="557">
        <f t="shared" si="128"/>
        <v>0</v>
      </c>
      <c r="BS35" s="693">
        <f>BQ35*$DF$35</f>
        <v>0</v>
      </c>
      <c r="BT35" s="693">
        <f>BQ35*$DG$35</f>
        <v>0</v>
      </c>
      <c r="BU35" s="693">
        <f>BQ35*$DH$35</f>
        <v>0</v>
      </c>
      <c r="BV35" s="693">
        <f>BQ35*$DI$35</f>
        <v>0</v>
      </c>
      <c r="BW35" s="693">
        <f>BQ35*$DJ$35</f>
        <v>0</v>
      </c>
      <c r="BY35" s="691"/>
      <c r="BZ35" s="557">
        <f t="shared" si="129"/>
        <v>0</v>
      </c>
      <c r="CA35" s="693">
        <f>BY35*$DF$35</f>
        <v>0</v>
      </c>
      <c r="CB35" s="693">
        <f>BY35*$DG$35</f>
        <v>0</v>
      </c>
      <c r="CC35" s="693">
        <f>BY35*$DH$35</f>
        <v>0</v>
      </c>
      <c r="CD35" s="693">
        <f>BY35*$DI$35</f>
        <v>0</v>
      </c>
      <c r="CE35" s="693">
        <f>BY35*$DJ$35</f>
        <v>0</v>
      </c>
      <c r="CG35" s="691"/>
      <c r="CH35" s="557">
        <f t="shared" si="134"/>
        <v>0</v>
      </c>
      <c r="CI35" s="693">
        <f>CG35*$DF$35</f>
        <v>0</v>
      </c>
      <c r="CJ35" s="693">
        <f>CG35*$DG$35</f>
        <v>0</v>
      </c>
      <c r="CK35" s="693">
        <f>CG35*$DH$35</f>
        <v>0</v>
      </c>
      <c r="CL35" s="693">
        <f>CG35*$DI$35</f>
        <v>0</v>
      </c>
      <c r="CM35" s="693">
        <f>CG35*$DJ$35</f>
        <v>0</v>
      </c>
      <c r="CO35" s="691"/>
      <c r="CP35" s="557">
        <f t="shared" si="135"/>
        <v>0</v>
      </c>
      <c r="CQ35" s="693">
        <f>CO35*$DF$35</f>
        <v>0</v>
      </c>
      <c r="CR35" s="693">
        <f>CO35*$DG$35</f>
        <v>0</v>
      </c>
      <c r="CS35" s="693">
        <f>CO35*$DH$35</f>
        <v>0</v>
      </c>
      <c r="CT35" s="693">
        <f>CO35*$DI$35</f>
        <v>0</v>
      </c>
      <c r="CU35" s="693">
        <f>CO35*$DJ$35</f>
        <v>0</v>
      </c>
      <c r="CW35" s="691"/>
      <c r="CX35" s="557">
        <f t="shared" si="136"/>
        <v>0</v>
      </c>
      <c r="CY35" s="693">
        <f>CW35*$DF$35</f>
        <v>0</v>
      </c>
      <c r="CZ35" s="693">
        <f>CW35*$DG$35</f>
        <v>0</v>
      </c>
      <c r="DA35" s="693">
        <f>CW35*$DH$35</f>
        <v>0</v>
      </c>
      <c r="DB35" s="693">
        <f>CW35*$DI$35</f>
        <v>0</v>
      </c>
      <c r="DC35" s="693">
        <f>CW35*$DJ$35</f>
        <v>0</v>
      </c>
      <c r="DF35" s="685">
        <f>F35/$D$35</f>
        <v>0</v>
      </c>
      <c r="DG35" s="685">
        <f>G35/$D$35</f>
        <v>0</v>
      </c>
      <c r="DH35" s="685">
        <f>H35/$D$35</f>
        <v>0.96043160478358791</v>
      </c>
      <c r="DI35" s="685">
        <f>I35/$D$35</f>
        <v>3.9568395216412103E-2</v>
      </c>
      <c r="DJ35" s="685">
        <f>J35/$D$35</f>
        <v>0</v>
      </c>
    </row>
    <row r="36" spans="1:114" s="673" customFormat="1" ht="29.25" customHeight="1">
      <c r="A36" s="674" t="s">
        <v>146</v>
      </c>
      <c r="B36" s="675" t="s">
        <v>444</v>
      </c>
      <c r="C36" s="660"/>
      <c r="D36" s="566">
        <v>7869.0340800000004</v>
      </c>
      <c r="E36" s="557">
        <f t="shared" si="116"/>
        <v>1509.5</v>
      </c>
      <c r="F36" s="566">
        <v>575.5</v>
      </c>
      <c r="G36" s="566">
        <v>934</v>
      </c>
      <c r="H36" s="566">
        <f>D36-F36-G36-I36</f>
        <v>6056.3198612449032</v>
      </c>
      <c r="I36" s="566">
        <v>303.21421875509708</v>
      </c>
      <c r="J36" s="566"/>
      <c r="K36" s="679" t="s">
        <v>184</v>
      </c>
      <c r="M36" s="691">
        <f>480713/1000</f>
        <v>480.71300000000002</v>
      </c>
      <c r="N36" s="557">
        <f t="shared" si="117"/>
        <v>107.17614095191317</v>
      </c>
      <c r="O36" s="699">
        <f>$M$36*$O$3</f>
        <v>45.05145101504467</v>
      </c>
      <c r="P36" s="699">
        <f>$M$36*$P$3</f>
        <v>62.124689936868499</v>
      </c>
      <c r="Q36" s="699">
        <f>$M$36*$Q$3</f>
        <v>341.49499791643291</v>
      </c>
      <c r="R36" s="699">
        <f>$M$36*$R$3</f>
        <v>32.041861131653931</v>
      </c>
      <c r="S36" s="681">
        <f>$M$16*$S$3</f>
        <v>0</v>
      </c>
      <c r="U36" s="691">
        <f>417042/1000</f>
        <v>417.04199999999997</v>
      </c>
      <c r="V36" s="557">
        <f t="shared" si="118"/>
        <v>92.980535527160214</v>
      </c>
      <c r="W36" s="699">
        <f>U36*$W$3</f>
        <v>39.084333550821924</v>
      </c>
      <c r="X36" s="699">
        <f>U36*$X$3</f>
        <v>53.89620197633829</v>
      </c>
      <c r="Y36" s="699">
        <f>U36*$Y$3</f>
        <v>296.26358538476183</v>
      </c>
      <c r="Z36" s="699">
        <f>U36*$Z$3</f>
        <v>27.797879088077952</v>
      </c>
      <c r="AA36" s="681">
        <f>U36*AA3</f>
        <v>0</v>
      </c>
      <c r="AC36" s="691">
        <f>423578.4/1000</f>
        <v>423.57840000000004</v>
      </c>
      <c r="AD36" s="557">
        <f t="shared" si="119"/>
        <v>94.437841919369475</v>
      </c>
      <c r="AE36" s="699">
        <f t="shared" ref="AE36" si="137">AC36*$AE$3</f>
        <v>39.696911751150893</v>
      </c>
      <c r="AF36" s="699">
        <f>AC36*$AF$3</f>
        <v>54.740930168218583</v>
      </c>
      <c r="AG36" s="699">
        <f t="shared" ref="AG36" si="138">AC36*$AG$3</f>
        <v>300.90699611919376</v>
      </c>
      <c r="AH36" s="699">
        <f t="shared" ref="AH36" si="139">AC36*$AH$3</f>
        <v>28.233561961436788</v>
      </c>
      <c r="AI36" s="681">
        <f>AC36*AI3</f>
        <v>0</v>
      </c>
      <c r="AK36" s="691">
        <f>511457/1000</f>
        <v>511.45699999999999</v>
      </c>
      <c r="AL36" s="557">
        <f t="shared" si="124"/>
        <v>114.03059106544373</v>
      </c>
      <c r="AM36" s="699">
        <f>AK36*$AM$3</f>
        <v>47.932716572677883</v>
      </c>
      <c r="AN36" s="699">
        <f>AK36*$AN$3</f>
        <v>66.097874492765854</v>
      </c>
      <c r="AO36" s="699">
        <f>AK36*$AO$3</f>
        <v>363.33531056856174</v>
      </c>
      <c r="AP36" s="699">
        <f>AK36*$AP$3</f>
        <v>34.091098365994519</v>
      </c>
      <c r="AQ36" s="681">
        <f>AK36*AQ3</f>
        <v>0</v>
      </c>
      <c r="AS36" s="691">
        <f>801244/1000</f>
        <v>801.24400000000003</v>
      </c>
      <c r="AT36" s="557">
        <f t="shared" si="125"/>
        <v>178.63931260622184</v>
      </c>
      <c r="AU36" s="699">
        <f>AS36*$AU$3</f>
        <v>75.090968659259175</v>
      </c>
      <c r="AV36" s="699">
        <f>AS36*$AV$3</f>
        <v>103.54834394696266</v>
      </c>
      <c r="AW36" s="699">
        <f>AS36*$AW$3</f>
        <v>569.19787505341935</v>
      </c>
      <c r="AX36" s="681">
        <f>AS36*$AX$3</f>
        <v>53.406812340358847</v>
      </c>
      <c r="AY36" s="681">
        <f>AS36*AY3</f>
        <v>0</v>
      </c>
      <c r="BA36" s="691"/>
      <c r="BB36" s="557">
        <f t="shared" si="126"/>
        <v>0</v>
      </c>
      <c r="BC36" s="699">
        <f>BA36*$BC$3</f>
        <v>0</v>
      </c>
      <c r="BD36" s="699">
        <f>BA36*$BD$3</f>
        <v>0</v>
      </c>
      <c r="BE36" s="699">
        <f>BA36*$BE$3</f>
        <v>0</v>
      </c>
      <c r="BF36" s="699">
        <f>BA36*$BF$3</f>
        <v>0</v>
      </c>
      <c r="BG36" s="681">
        <f>BA36*BG3</f>
        <v>0</v>
      </c>
      <c r="BI36" s="691"/>
      <c r="BJ36" s="557">
        <f t="shared" si="127"/>
        <v>0</v>
      </c>
      <c r="BK36" s="699">
        <f>BI36*$BK$3</f>
        <v>0</v>
      </c>
      <c r="BL36" s="699">
        <f>BI36*$BL$3</f>
        <v>0</v>
      </c>
      <c r="BM36" s="699">
        <f>BI36*$BM$3</f>
        <v>0</v>
      </c>
      <c r="BN36" s="699">
        <f>BI36*$BN$3</f>
        <v>0</v>
      </c>
      <c r="BO36" s="681">
        <f>BI36*BO3</f>
        <v>0</v>
      </c>
      <c r="BQ36" s="691"/>
      <c r="BR36" s="557">
        <f t="shared" si="128"/>
        <v>0</v>
      </c>
      <c r="BS36" s="699">
        <f>BQ36*$BS$3</f>
        <v>0</v>
      </c>
      <c r="BT36" s="699">
        <f>BQ36*$BT$3</f>
        <v>0</v>
      </c>
      <c r="BU36" s="699">
        <f>BQ36*$BU$3</f>
        <v>0</v>
      </c>
      <c r="BV36" s="699">
        <f>BQ36*$BV$3</f>
        <v>0</v>
      </c>
      <c r="BW36" s="681">
        <f>BQ36*BW3</f>
        <v>0</v>
      </c>
      <c r="BY36" s="691"/>
      <c r="BZ36" s="557">
        <f t="shared" si="129"/>
        <v>0</v>
      </c>
      <c r="CA36" s="699">
        <f t="shared" ref="CA36" si="140">BY36*$CA$3</f>
        <v>0</v>
      </c>
      <c r="CB36" s="699">
        <f t="shared" ref="CB36" si="141">BY36*$CB$3</f>
        <v>0</v>
      </c>
      <c r="CC36" s="699">
        <f t="shared" ref="CC36" si="142">BY36*$CC$3</f>
        <v>0</v>
      </c>
      <c r="CD36" s="699">
        <f t="shared" ref="CD36" si="143">BY36*$CD$3</f>
        <v>0</v>
      </c>
      <c r="CE36" s="681">
        <f>BY36*CE3</f>
        <v>0</v>
      </c>
      <c r="CG36" s="691"/>
      <c r="CH36" s="557">
        <f t="shared" si="134"/>
        <v>0</v>
      </c>
      <c r="CI36" s="699">
        <f>CG36*$CI$3</f>
        <v>0</v>
      </c>
      <c r="CJ36" s="699">
        <f>CG36*$CJ$3</f>
        <v>0</v>
      </c>
      <c r="CK36" s="699">
        <f>CG36*$CK$3</f>
        <v>0</v>
      </c>
      <c r="CL36" s="699">
        <f>CG36*$CL$3</f>
        <v>0</v>
      </c>
      <c r="CM36" s="681">
        <f>CG36*CM3</f>
        <v>0</v>
      </c>
      <c r="CO36" s="691"/>
      <c r="CP36" s="557">
        <f t="shared" si="135"/>
        <v>0</v>
      </c>
      <c r="CQ36" s="699">
        <f>CO36*$CQ$3</f>
        <v>0</v>
      </c>
      <c r="CR36" s="699">
        <f>CO36*$CR$3</f>
        <v>0</v>
      </c>
      <c r="CS36" s="699">
        <f>CO36*$CS$3</f>
        <v>0</v>
      </c>
      <c r="CT36" s="699">
        <f>CO36*$CT$3</f>
        <v>0</v>
      </c>
      <c r="CU36" s="681">
        <f>CO36*CU3</f>
        <v>0</v>
      </c>
      <c r="CW36" s="691"/>
      <c r="CX36" s="557">
        <f t="shared" si="136"/>
        <v>0</v>
      </c>
      <c r="CY36" s="699">
        <f>CW36*$CY$3</f>
        <v>0</v>
      </c>
      <c r="CZ36" s="699">
        <f>CW36*$CZ$3</f>
        <v>0</v>
      </c>
      <c r="DA36" s="699">
        <f>CW36*$DA$3</f>
        <v>0</v>
      </c>
      <c r="DB36" s="699">
        <f>CW36*$DB$3</f>
        <v>0</v>
      </c>
      <c r="DC36" s="681">
        <f>CW36*DC3</f>
        <v>0</v>
      </c>
      <c r="DF36" s="688"/>
      <c r="DG36" s="688"/>
      <c r="DH36" s="688"/>
      <c r="DI36" s="688"/>
      <c r="DJ36" s="688"/>
    </row>
    <row r="37" spans="1:114" s="677" customFormat="1" ht="44.25" customHeight="1">
      <c r="A37" s="669" t="s">
        <v>21</v>
      </c>
      <c r="B37" s="670" t="s">
        <v>22</v>
      </c>
      <c r="C37" s="671" t="s">
        <v>9</v>
      </c>
      <c r="D37" s="694">
        <v>2220718.321853674</v>
      </c>
      <c r="E37" s="550">
        <f t="shared" si="116"/>
        <v>1661006</v>
      </c>
      <c r="F37" s="700">
        <v>892841</v>
      </c>
      <c r="G37" s="700">
        <v>768165</v>
      </c>
      <c r="H37" s="694">
        <f>D37-F37-G37-I37</f>
        <v>550321.19612014398</v>
      </c>
      <c r="I37" s="700">
        <v>9391.1257335300597</v>
      </c>
      <c r="J37" s="700"/>
      <c r="K37" s="701" t="s">
        <v>186</v>
      </c>
      <c r="M37" s="702">
        <f>174098007/1000</f>
        <v>174098.00700000001</v>
      </c>
      <c r="N37" s="550">
        <f t="shared" si="117"/>
        <v>135480.75945228618</v>
      </c>
      <c r="O37" s="703">
        <f>$M$37*$O$5</f>
        <v>76925.691055038478</v>
      </c>
      <c r="P37" s="703">
        <f>$M$37*$P$5</f>
        <v>58555.068397247691</v>
      </c>
      <c r="Q37" s="703">
        <f>$M$37*$Q$5</f>
        <v>35025.172346307358</v>
      </c>
      <c r="R37" s="703">
        <f>$M$37*$R$5</f>
        <v>3592.075201406481</v>
      </c>
      <c r="S37" s="703">
        <f>$M$37*$S$5</f>
        <v>0</v>
      </c>
      <c r="U37" s="702">
        <f>174135378/1000</f>
        <v>174135.378</v>
      </c>
      <c r="V37" s="550">
        <f t="shared" si="118"/>
        <v>135509.84106872012</v>
      </c>
      <c r="W37" s="703">
        <f>U37*$W$5</f>
        <v>76942.20353585291</v>
      </c>
      <c r="X37" s="703">
        <f>U37*$X$5</f>
        <v>58567.637532867222</v>
      </c>
      <c r="Y37" s="703">
        <f>U37*$Y$5</f>
        <v>35032.690673129749</v>
      </c>
      <c r="Z37" s="703">
        <f>U37*$Z$5</f>
        <v>3592.8462581501217</v>
      </c>
      <c r="AA37" s="703">
        <f>U37*AA5</f>
        <v>0</v>
      </c>
      <c r="AC37" s="702">
        <f>174135378/1000</f>
        <v>174135.378</v>
      </c>
      <c r="AD37" s="550">
        <f t="shared" si="119"/>
        <v>135509.84106872012</v>
      </c>
      <c r="AE37" s="703">
        <f>AC37*$AE$5</f>
        <v>76942.20353585291</v>
      </c>
      <c r="AF37" s="703">
        <f>AC37*$AF$5</f>
        <v>58567.637532867222</v>
      </c>
      <c r="AG37" s="703">
        <f>AC37*$AG$5</f>
        <v>35032.690673129749</v>
      </c>
      <c r="AH37" s="703">
        <f>AC37*$AH$5</f>
        <v>3592.8462581501217</v>
      </c>
      <c r="AI37" s="703">
        <f>AC37*AI5</f>
        <v>0</v>
      </c>
      <c r="AK37" s="702">
        <f>174153835/1000</f>
        <v>174153.83499999999</v>
      </c>
      <c r="AL37" s="550">
        <f t="shared" si="124"/>
        <v>135524.20406126839</v>
      </c>
      <c r="AM37" s="703">
        <f t="shared" ref="AM37" si="144">AK37*$AM$5</f>
        <v>76950.358812896389</v>
      </c>
      <c r="AN37" s="703">
        <f t="shared" ref="AN37" si="145">AK37*$AN$5</f>
        <v>58573.84524837201</v>
      </c>
      <c r="AO37" s="703">
        <f t="shared" ref="AO37" si="146">AK37*$AO$5</f>
        <v>35036.403866733373</v>
      </c>
      <c r="AP37" s="703">
        <f t="shared" ref="AP37" si="147">AK37*$AP$5</f>
        <v>3593.2270719982221</v>
      </c>
      <c r="AQ37" s="703">
        <f>AK37*AQ5</f>
        <v>0</v>
      </c>
      <c r="AS37" s="702">
        <f>174153835/1000</f>
        <v>174153.83499999999</v>
      </c>
      <c r="AT37" s="550">
        <f t="shared" si="125"/>
        <v>135524.20406126839</v>
      </c>
      <c r="AU37" s="703">
        <f>AS37*$AU$5</f>
        <v>76950.358812896389</v>
      </c>
      <c r="AV37" s="703">
        <f>AS37*$AV$5</f>
        <v>58573.84524837201</v>
      </c>
      <c r="AW37" s="703">
        <f>AS37*$AW$5</f>
        <v>35036.403866733373</v>
      </c>
      <c r="AX37" s="703">
        <f>AS37*$AX$5</f>
        <v>3593.2270719982221</v>
      </c>
      <c r="AY37" s="703">
        <f>AS37*AY5</f>
        <v>0</v>
      </c>
      <c r="BA37" s="702"/>
      <c r="BB37" s="550">
        <f t="shared" si="126"/>
        <v>0</v>
      </c>
      <c r="BC37" s="703">
        <f t="shared" ref="BC37" si="148">BA37*$BC$5</f>
        <v>0</v>
      </c>
      <c r="BD37" s="703">
        <f t="shared" ref="BD37" si="149">BA37*$BD$5</f>
        <v>0</v>
      </c>
      <c r="BE37" s="703">
        <f t="shared" ref="BE37" si="150">BA37*$BE$5</f>
        <v>0</v>
      </c>
      <c r="BF37" s="703">
        <f t="shared" ref="BF37" si="151">BA37*$BF$5</f>
        <v>0</v>
      </c>
      <c r="BG37" s="703">
        <f>BA37*BG5</f>
        <v>0</v>
      </c>
      <c r="BI37" s="702"/>
      <c r="BJ37" s="550">
        <f t="shared" si="127"/>
        <v>0</v>
      </c>
      <c r="BK37" s="703">
        <f>BI37*$BK$5</f>
        <v>0</v>
      </c>
      <c r="BL37" s="703">
        <f>BI37*$BL$5</f>
        <v>0</v>
      </c>
      <c r="BM37" s="703">
        <f>BI37*$BM$5</f>
        <v>0</v>
      </c>
      <c r="BN37" s="703">
        <f>BI37*$BN$5</f>
        <v>0</v>
      </c>
      <c r="BO37" s="703">
        <f>BI37*BO5</f>
        <v>0</v>
      </c>
      <c r="BQ37" s="702"/>
      <c r="BR37" s="550">
        <f t="shared" si="128"/>
        <v>0</v>
      </c>
      <c r="BS37" s="703">
        <f t="shared" ref="BS37" si="152">BQ37*$BS$5</f>
        <v>0</v>
      </c>
      <c r="BT37" s="703">
        <f t="shared" ref="BT37" si="153">BQ37*$BT$5</f>
        <v>0</v>
      </c>
      <c r="BU37" s="703">
        <f t="shared" ref="BU37" si="154">BQ37*$BU$5</f>
        <v>0</v>
      </c>
      <c r="BV37" s="703">
        <f t="shared" ref="BV37" si="155">BQ37*$BV$5</f>
        <v>0</v>
      </c>
      <c r="BW37" s="703">
        <f>BQ37*BW5</f>
        <v>0</v>
      </c>
      <c r="BY37" s="702"/>
      <c r="BZ37" s="550">
        <f t="shared" si="129"/>
        <v>0</v>
      </c>
      <c r="CA37" s="703">
        <f t="shared" ref="CA37" si="156">BY37*$CA$5</f>
        <v>0</v>
      </c>
      <c r="CB37" s="703">
        <f>BY37*$CB$5</f>
        <v>0</v>
      </c>
      <c r="CC37" s="703">
        <f t="shared" ref="CC37" si="157">BY37*$CC$5</f>
        <v>0</v>
      </c>
      <c r="CD37" s="703">
        <f t="shared" ref="CD37" si="158">BY37*$CD$5</f>
        <v>0</v>
      </c>
      <c r="CE37" s="703">
        <f>BY37*CE5</f>
        <v>0</v>
      </c>
      <c r="CG37" s="702"/>
      <c r="CH37" s="550">
        <f t="shared" si="134"/>
        <v>0</v>
      </c>
      <c r="CI37" s="703">
        <f>CG37*$CI$5</f>
        <v>0</v>
      </c>
      <c r="CJ37" s="703">
        <f>CG37*$CJ$5</f>
        <v>0</v>
      </c>
      <c r="CK37" s="703">
        <f>CG37*$CK$5</f>
        <v>0</v>
      </c>
      <c r="CL37" s="703">
        <f>CG37*$CL$5</f>
        <v>0</v>
      </c>
      <c r="CM37" s="703">
        <f>CG37*CM5</f>
        <v>0</v>
      </c>
      <c r="CO37" s="702"/>
      <c r="CP37" s="550">
        <f t="shared" si="135"/>
        <v>0</v>
      </c>
      <c r="CQ37" s="703">
        <f>CO37*$CQ$5</f>
        <v>0</v>
      </c>
      <c r="CR37" s="703">
        <f>CO37*$CR$5</f>
        <v>0</v>
      </c>
      <c r="CS37" s="703">
        <f>CO37*$CS$5</f>
        <v>0</v>
      </c>
      <c r="CT37" s="703">
        <f>CO37*$CT$5</f>
        <v>0</v>
      </c>
      <c r="CU37" s="703">
        <f>CO37*CU5</f>
        <v>0</v>
      </c>
      <c r="CW37" s="702"/>
      <c r="CX37" s="550">
        <f t="shared" si="136"/>
        <v>0</v>
      </c>
      <c r="CY37" s="703">
        <f>CW37*$CY$5</f>
        <v>0</v>
      </c>
      <c r="CZ37" s="703">
        <f>CW37*$CZ$5</f>
        <v>0</v>
      </c>
      <c r="DA37" s="703">
        <f>CW37*$DA$5</f>
        <v>0</v>
      </c>
      <c r="DB37" s="703">
        <f>CW37*$DB$5</f>
        <v>0</v>
      </c>
      <c r="DC37" s="703">
        <f>CW37*DC5</f>
        <v>0</v>
      </c>
      <c r="DF37" s="696"/>
      <c r="DG37" s="696"/>
      <c r="DH37" s="696"/>
      <c r="DI37" s="696"/>
      <c r="DJ37" s="696"/>
    </row>
    <row r="38" spans="1:114" s="677" customFormat="1" ht="25.5" customHeight="1">
      <c r="A38" s="669" t="s">
        <v>23</v>
      </c>
      <c r="B38" s="670" t="s">
        <v>24</v>
      </c>
      <c r="C38" s="671" t="s">
        <v>9</v>
      </c>
      <c r="D38" s="694">
        <v>0</v>
      </c>
      <c r="E38" s="550">
        <f t="shared" si="116"/>
        <v>0</v>
      </c>
      <c r="F38" s="694"/>
      <c r="G38" s="694"/>
      <c r="H38" s="694"/>
      <c r="I38" s="694"/>
      <c r="J38" s="694"/>
      <c r="K38" s="704"/>
      <c r="M38" s="694">
        <v>0</v>
      </c>
      <c r="N38" s="550">
        <f t="shared" si="117"/>
        <v>0</v>
      </c>
      <c r="O38" s="694"/>
      <c r="P38" s="694"/>
      <c r="Q38" s="694"/>
      <c r="R38" s="694"/>
      <c r="S38" s="694"/>
      <c r="U38" s="694">
        <v>0</v>
      </c>
      <c r="V38" s="550">
        <f t="shared" si="118"/>
        <v>0</v>
      </c>
      <c r="W38" s="694"/>
      <c r="X38" s="694"/>
      <c r="Y38" s="694"/>
      <c r="Z38" s="694"/>
      <c r="AA38" s="694"/>
      <c r="AC38" s="694">
        <v>0</v>
      </c>
      <c r="AD38" s="550">
        <f t="shared" si="119"/>
        <v>0</v>
      </c>
      <c r="AE38" s="694"/>
      <c r="AF38" s="694"/>
      <c r="AG38" s="694"/>
      <c r="AH38" s="694"/>
      <c r="AI38" s="694"/>
      <c r="AK38" s="694">
        <v>0</v>
      </c>
      <c r="AL38" s="550">
        <f t="shared" si="124"/>
        <v>0</v>
      </c>
      <c r="AM38" s="694"/>
      <c r="AN38" s="694"/>
      <c r="AO38" s="694"/>
      <c r="AP38" s="694"/>
      <c r="AQ38" s="694"/>
      <c r="AS38" s="694">
        <v>0</v>
      </c>
      <c r="AT38" s="550">
        <f t="shared" si="125"/>
        <v>0</v>
      </c>
      <c r="AU38" s="694"/>
      <c r="AV38" s="694"/>
      <c r="AW38" s="694"/>
      <c r="AX38" s="694"/>
      <c r="AY38" s="694"/>
      <c r="BA38" s="694">
        <v>0</v>
      </c>
      <c r="BB38" s="550">
        <f t="shared" si="126"/>
        <v>0</v>
      </c>
      <c r="BC38" s="694"/>
      <c r="BD38" s="694"/>
      <c r="BE38" s="694"/>
      <c r="BF38" s="694"/>
      <c r="BG38" s="694"/>
      <c r="BI38" s="694">
        <v>0</v>
      </c>
      <c r="BJ38" s="550">
        <f t="shared" si="127"/>
        <v>0</v>
      </c>
      <c r="BK38" s="694"/>
      <c r="BL38" s="694"/>
      <c r="BM38" s="694"/>
      <c r="BN38" s="694"/>
      <c r="BO38" s="694"/>
      <c r="BQ38" s="694">
        <v>0</v>
      </c>
      <c r="BR38" s="550">
        <f t="shared" si="128"/>
        <v>0</v>
      </c>
      <c r="BS38" s="694"/>
      <c r="BT38" s="694"/>
      <c r="BU38" s="694"/>
      <c r="BV38" s="694"/>
      <c r="BW38" s="694"/>
      <c r="BY38" s="694">
        <v>0</v>
      </c>
      <c r="BZ38" s="550">
        <f t="shared" si="129"/>
        <v>0</v>
      </c>
      <c r="CA38" s="694"/>
      <c r="CB38" s="694"/>
      <c r="CC38" s="694"/>
      <c r="CD38" s="694"/>
      <c r="CE38" s="694"/>
      <c r="CG38" s="694">
        <v>0</v>
      </c>
      <c r="CH38" s="550">
        <f t="shared" si="134"/>
        <v>0</v>
      </c>
      <c r="CI38" s="694"/>
      <c r="CJ38" s="694"/>
      <c r="CK38" s="694"/>
      <c r="CL38" s="694"/>
      <c r="CM38" s="694"/>
      <c r="CO38" s="694">
        <v>0</v>
      </c>
      <c r="CP38" s="550">
        <f t="shared" si="135"/>
        <v>0</v>
      </c>
      <c r="CQ38" s="694"/>
      <c r="CR38" s="694"/>
      <c r="CS38" s="694"/>
      <c r="CT38" s="694"/>
      <c r="CU38" s="694"/>
      <c r="CW38" s="694">
        <v>0</v>
      </c>
      <c r="CX38" s="550">
        <f t="shared" si="136"/>
        <v>0</v>
      </c>
      <c r="CY38" s="694"/>
      <c r="CZ38" s="694"/>
      <c r="DA38" s="694"/>
      <c r="DB38" s="694"/>
      <c r="DC38" s="694"/>
      <c r="DF38" s="696"/>
      <c r="DG38" s="696"/>
      <c r="DH38" s="696"/>
      <c r="DI38" s="696"/>
      <c r="DJ38" s="696"/>
    </row>
    <row r="39" spans="1:114" s="677" customFormat="1" ht="32.25" customHeight="1">
      <c r="A39" s="669" t="s">
        <v>25</v>
      </c>
      <c r="B39" s="670" t="s">
        <v>26</v>
      </c>
      <c r="C39" s="671" t="s">
        <v>9</v>
      </c>
      <c r="D39" s="694">
        <v>858965.64125132258</v>
      </c>
      <c r="E39" s="550">
        <f t="shared" si="116"/>
        <v>316589.48048573267</v>
      </c>
      <c r="F39" s="550">
        <f>F41+F42+F43+F44+F50+F72+F74+F79</f>
        <v>167721.11831491199</v>
      </c>
      <c r="G39" s="550">
        <f>G41+G42+G43+G44+G50+G72+G74+G79</f>
        <v>148868.36217082068</v>
      </c>
      <c r="H39" s="694">
        <f>D39-F39-G39-I39</f>
        <v>529195.22619865881</v>
      </c>
      <c r="I39" s="550">
        <f>I41+I42+I43+I44+I50+I72+I74+I79</f>
        <v>13180.934566931046</v>
      </c>
      <c r="J39" s="550">
        <f>J41+J42+J43+J44+J50+J72+J74+J79</f>
        <v>0</v>
      </c>
      <c r="K39" s="695"/>
      <c r="M39" s="694">
        <f>O39+P39+Q39+R39+S39</f>
        <v>91014.373500000002</v>
      </c>
      <c r="N39" s="550">
        <f t="shared" si="117"/>
        <v>52436.441130075807</v>
      </c>
      <c r="O39" s="550">
        <f>O41+O42+O43+O44+O50+O72+O74+O79</f>
        <v>29566.154567167167</v>
      </c>
      <c r="P39" s="550">
        <f>P41+P42+P43+P44+P50+P72+P74+P79</f>
        <v>22870.286562908641</v>
      </c>
      <c r="Q39" s="550">
        <f>Q41+Q42+Q43+Q44+Q50+Q72+Q74+Q79</f>
        <v>36804.896290302269</v>
      </c>
      <c r="R39" s="550">
        <f>R41+R42+R43+R44+R50+R72+R74+R79</f>
        <v>1773.0360796219175</v>
      </c>
      <c r="S39" s="550">
        <f>S41+S42+S43+S44+S50+S72+S74+S79</f>
        <v>0</v>
      </c>
      <c r="U39" s="694">
        <f>W39+X39+Y39+Z39+AA39</f>
        <v>89251.091669999994</v>
      </c>
      <c r="V39" s="550">
        <f t="shared" si="118"/>
        <v>51280.724903583454</v>
      </c>
      <c r="W39" s="550">
        <f>W41+W42+W43+W44+W50+W72+W74+W79</f>
        <v>28898.409485196065</v>
      </c>
      <c r="X39" s="550">
        <f>X41+X42+X43+X44+X50+X72+X74+X79</f>
        <v>22382.315418387388</v>
      </c>
      <c r="Y39" s="550">
        <f>Y41+Y42+Y43+Y44+Y50+Y72+Y74+Y79</f>
        <v>36206.664610959393</v>
      </c>
      <c r="Z39" s="550">
        <f>Z41+Z42+Z43+Z44+Z50+Z72+Z74+Z79</f>
        <v>1763.702155457147</v>
      </c>
      <c r="AA39" s="550">
        <f>AA41+AA42+AA43+AA44+AA50+AA72+AA74+AA79</f>
        <v>0</v>
      </c>
      <c r="AC39" s="694">
        <f>AE39+AF39+AG39+AH39+AI39</f>
        <v>90624.278000000006</v>
      </c>
      <c r="AD39" s="550">
        <f t="shared" si="119"/>
        <v>51585.085190188285</v>
      </c>
      <c r="AE39" s="550">
        <f>AE41+AE42+AE43+AE44+AE50+AE72+AE74+AE79</f>
        <v>29008.489761065885</v>
      </c>
      <c r="AF39" s="550">
        <f>AF41+AF42+AF43+AF44+AF50+AF72+AF74+AF79</f>
        <v>22576.595429122401</v>
      </c>
      <c r="AG39" s="550">
        <f>AG41+AG42+AG43+AG44+AG50+AG72+AG74+AG79</f>
        <v>37151.501204872962</v>
      </c>
      <c r="AH39" s="550">
        <f>AH41+AH42+AH43+AH44+AH50+AH72+AH74+AH79</f>
        <v>1887.6916049387571</v>
      </c>
      <c r="AI39" s="550">
        <f>AI41+AI42+AI43+AI44+AI50+AI72+AI74+AI79</f>
        <v>0</v>
      </c>
      <c r="AK39" s="694">
        <f>AM39+AN39+AO39+AP39+AQ39</f>
        <v>96515.355850000007</v>
      </c>
      <c r="AL39" s="550">
        <f t="shared" si="124"/>
        <v>53111.188110328883</v>
      </c>
      <c r="AM39" s="550">
        <f>AM41+AM42+AM43+AM44+AM50+AM72+AM74+AM79</f>
        <v>29867.702709915644</v>
      </c>
      <c r="AN39" s="550">
        <f>AN41+AN42+AN43+AN44+AN50+AN72+AN74+AN79</f>
        <v>23243.485400413239</v>
      </c>
      <c r="AO39" s="550">
        <f>AO41+AO42+AO43+AO44+AO50+AO72+AO74+AO79</f>
        <v>41444.810040848621</v>
      </c>
      <c r="AP39" s="550">
        <f>AP41+AP42+AP43+AP44+AP50+AP72+AP74+AP79</f>
        <v>1959.3576988224934</v>
      </c>
      <c r="AQ39" s="550">
        <f>AQ41+AQ42+AQ43+AQ44+AQ50+AQ72+AQ74+AQ79</f>
        <v>0</v>
      </c>
      <c r="AS39" s="694">
        <f>AU39+AV39+AW39+AX39+AY39</f>
        <v>-32187.716724285718</v>
      </c>
      <c r="AT39" s="550">
        <f t="shared" si="125"/>
        <v>-89468.522203820467</v>
      </c>
      <c r="AU39" s="550">
        <f>AU41+AU42+AU43+AU44+AU50+AU72+AU74+AU79</f>
        <v>-53610.000482880016</v>
      </c>
      <c r="AV39" s="550">
        <f>AV41+AV42+AV43+AV44+AV50+AV72+AV74+AV79</f>
        <v>-35858.521720940458</v>
      </c>
      <c r="AW39" s="550">
        <f>AW41+AW42+AW43+AW44+AW50+AW72+AW74+AW79</f>
        <v>54388.21535725252</v>
      </c>
      <c r="AX39" s="550">
        <f>AX41+AX42+AX43+AX44+AX50+AX72+AX74+AX79</f>
        <v>2892.5901222822267</v>
      </c>
      <c r="AY39" s="550">
        <f>AY41+AY42+AY43+AY44+AY50+AY72+AY74+AY79</f>
        <v>0</v>
      </c>
      <c r="BA39" s="694">
        <f>BC39+BD39+BE39+BF39+BG39</f>
        <v>0</v>
      </c>
      <c r="BB39" s="550">
        <f t="shared" si="126"/>
        <v>0</v>
      </c>
      <c r="BC39" s="550">
        <f>BC41+BC42+BC43+BC44+BC50+BC72+BC74+BC79</f>
        <v>0</v>
      </c>
      <c r="BD39" s="550">
        <f>BD41+BD42+BD43+BD44+BD50+BD72+BD74+BD79</f>
        <v>0</v>
      </c>
      <c r="BE39" s="550">
        <f>BE41+BE42+BE43+BE44+BE50+BE72+BE74+BE79</f>
        <v>0</v>
      </c>
      <c r="BF39" s="550">
        <f>BF41+BF42+BF43+BF44+BF50+BF72+BF74+BF79</f>
        <v>0</v>
      </c>
      <c r="BG39" s="550">
        <f>BG41+BG42+BG43+BG44+BG50+BG72+BG74+BG79</f>
        <v>0</v>
      </c>
      <c r="BI39" s="694">
        <f>BK39+BL39+BM39+BN39+BO39</f>
        <v>0</v>
      </c>
      <c r="BJ39" s="550">
        <f t="shared" si="127"/>
        <v>0</v>
      </c>
      <c r="BK39" s="550">
        <f>BK41+BK42+BK43+BK44+BK50+BK72+BK74+BK79</f>
        <v>0</v>
      </c>
      <c r="BL39" s="550">
        <f>BL41+BL42+BL43+BL44+BL50+BL72+BL74+BL79</f>
        <v>0</v>
      </c>
      <c r="BM39" s="550">
        <f>BM41+BM42+BM43+BM44+BM50+BM72+BM74+BM79</f>
        <v>0</v>
      </c>
      <c r="BN39" s="550">
        <f>BN41+BN42+BN43+BN44+BN50+BN72+BN74+BN79</f>
        <v>0</v>
      </c>
      <c r="BO39" s="550">
        <f>BO41+BO42+BO43+BO44+BO50+BO72+BO74+BO79</f>
        <v>0</v>
      </c>
      <c r="BQ39" s="694">
        <f>BS39+BT39+BU39+BV39+BW39</f>
        <v>0</v>
      </c>
      <c r="BR39" s="550">
        <f t="shared" si="128"/>
        <v>0</v>
      </c>
      <c r="BS39" s="550">
        <f>BS41+BS42+BS43+BS44+BS50+BS72+BS74+BS79</f>
        <v>0</v>
      </c>
      <c r="BT39" s="550">
        <f>BT41+BT42+BT43+BT44+BT50+BT72+BT74+BT79</f>
        <v>0</v>
      </c>
      <c r="BU39" s="550">
        <f>BU41+BU42+BU43+BU44+BU50+BU72+BU74+BU79</f>
        <v>0</v>
      </c>
      <c r="BV39" s="550">
        <f>BV41+BV42+BV43+BV44+BV50+BV72+BV74+BV79</f>
        <v>0</v>
      </c>
      <c r="BW39" s="550">
        <f>BW41+BW42+BW43+BW44+BW50+BW72+BW74+BW79</f>
        <v>0</v>
      </c>
      <c r="BY39" s="694">
        <f>CA39+CB39+CC39+CD39+CE39</f>
        <v>0</v>
      </c>
      <c r="BZ39" s="550">
        <f t="shared" si="129"/>
        <v>0</v>
      </c>
      <c r="CA39" s="550">
        <f>CA41+CA42+CA43+CA44+CA50+CA72+CA74+CA79</f>
        <v>0</v>
      </c>
      <c r="CB39" s="550">
        <f>CB41+CB42+CB43+CB44+CB50+CB72+CB74+CB79</f>
        <v>0</v>
      </c>
      <c r="CC39" s="550">
        <f>CC41+CC42+CC43+CC44+CC50+CC72+CC74+CC79</f>
        <v>0</v>
      </c>
      <c r="CD39" s="550">
        <f>CD41+CD42+CD43+CD44+CD50+CD72+CD74+CD79</f>
        <v>0</v>
      </c>
      <c r="CE39" s="550">
        <f>CE41+CE42+CE43+CE44+CE50+CE72+CE74+CE79</f>
        <v>0</v>
      </c>
      <c r="CG39" s="694">
        <f>CI39+CJ39+CK39+CL39+CM39</f>
        <v>0</v>
      </c>
      <c r="CH39" s="550">
        <f t="shared" si="134"/>
        <v>0</v>
      </c>
      <c r="CI39" s="550">
        <f>CI41+CI42+CI43+CI44+CI50+CI72+CI74+CI79</f>
        <v>0</v>
      </c>
      <c r="CJ39" s="550">
        <f>CJ41+CJ42+CJ43+CJ44+CJ50+CJ72+CJ74+CJ79</f>
        <v>0</v>
      </c>
      <c r="CK39" s="550">
        <f>CK41+CK42+CK43+CK44+CK50+CK72+CK74+CK79</f>
        <v>0</v>
      </c>
      <c r="CL39" s="550">
        <f>CL41+CL42+CL43+CL44+CL50+CL72+CL74+CL79</f>
        <v>0</v>
      </c>
      <c r="CM39" s="550">
        <f>CM41+CM42+CM43+CM44+CM50+CM72+CM74+CM79</f>
        <v>0</v>
      </c>
      <c r="CO39" s="694">
        <f>CQ39+CR39+CS39+CT39+CU39</f>
        <v>0</v>
      </c>
      <c r="CP39" s="550">
        <f t="shared" si="135"/>
        <v>0</v>
      </c>
      <c r="CQ39" s="550">
        <f>CQ41+CQ42+CQ43+CQ44+CQ50+CQ72+CQ74+CQ79</f>
        <v>0</v>
      </c>
      <c r="CR39" s="550">
        <f>CR41+CR42+CR43+CR44+CR50+CR72+CR74+CR79</f>
        <v>0</v>
      </c>
      <c r="CS39" s="550">
        <f>CS41+CS42+CS43+CS44+CS50+CS72+CS74+CS79</f>
        <v>0</v>
      </c>
      <c r="CT39" s="550">
        <f>CT41+CT42+CT43+CT44+CT50+CT72+CT74+CT79</f>
        <v>0</v>
      </c>
      <c r="CU39" s="550">
        <f>CU41+CU42+CU43+CU44+CU50+CU72+CU74+CU79</f>
        <v>0</v>
      </c>
      <c r="CW39" s="694">
        <f>CY39+CZ39+DA39+DB39+DC39</f>
        <v>0</v>
      </c>
      <c r="CX39" s="550">
        <f t="shared" si="136"/>
        <v>0</v>
      </c>
      <c r="CY39" s="550">
        <f>CY41+CY42+CY43+CY44+CY50+CY72+CY74+CY79</f>
        <v>0</v>
      </c>
      <c r="CZ39" s="550">
        <f>CZ41+CZ42+CZ43+CZ44+CZ50+CZ72+CZ74+CZ79</f>
        <v>0</v>
      </c>
      <c r="DA39" s="550">
        <f>DA41+DA42+DA43+DA44+DA50+DA72+DA74+DA79</f>
        <v>0</v>
      </c>
      <c r="DB39" s="550">
        <f>DB41+DB42+DB43+DB44+DB50+DB72+DB74+DB79</f>
        <v>0</v>
      </c>
      <c r="DC39" s="550">
        <f>DC41+DC42+DC43+DC44+DC50+DC72+DC74+DC79</f>
        <v>0</v>
      </c>
      <c r="DF39" s="696"/>
      <c r="DG39" s="696"/>
      <c r="DH39" s="696"/>
      <c r="DI39" s="696"/>
      <c r="DJ39" s="696"/>
    </row>
    <row r="40" spans="1:114" s="673" customFormat="1" ht="23.25" customHeight="1">
      <c r="A40" s="674"/>
      <c r="B40" s="675" t="s">
        <v>7</v>
      </c>
      <c r="C40" s="660"/>
      <c r="D40" s="566"/>
      <c r="E40" s="566"/>
      <c r="F40" s="694"/>
      <c r="G40" s="694"/>
      <c r="H40" s="694"/>
      <c r="I40" s="697"/>
      <c r="J40" s="697"/>
      <c r="K40" s="698"/>
      <c r="M40" s="566"/>
      <c r="N40" s="566"/>
      <c r="O40" s="694"/>
      <c r="P40" s="694"/>
      <c r="Q40" s="694"/>
      <c r="R40" s="697"/>
      <c r="S40" s="697"/>
      <c r="U40" s="566"/>
      <c r="V40" s="566"/>
      <c r="W40" s="694"/>
      <c r="X40" s="694"/>
      <c r="Y40" s="694"/>
      <c r="Z40" s="697"/>
      <c r="AA40" s="697"/>
      <c r="AC40" s="566"/>
      <c r="AD40" s="566"/>
      <c r="AE40" s="694"/>
      <c r="AF40" s="694"/>
      <c r="AG40" s="694"/>
      <c r="AH40" s="697"/>
      <c r="AI40" s="697"/>
      <c r="AK40" s="566"/>
      <c r="AL40" s="566"/>
      <c r="AM40" s="694"/>
      <c r="AN40" s="694"/>
      <c r="AO40" s="694"/>
      <c r="AP40" s="697"/>
      <c r="AQ40" s="697"/>
      <c r="AS40" s="566"/>
      <c r="AT40" s="566"/>
      <c r="AU40" s="694"/>
      <c r="AV40" s="694"/>
      <c r="AW40" s="694"/>
      <c r="AX40" s="697"/>
      <c r="AY40" s="697"/>
      <c r="BA40" s="566"/>
      <c r="BB40" s="566"/>
      <c r="BC40" s="694"/>
      <c r="BD40" s="694"/>
      <c r="BE40" s="694"/>
      <c r="BF40" s="697"/>
      <c r="BG40" s="697"/>
      <c r="BI40" s="566"/>
      <c r="BJ40" s="566"/>
      <c r="BK40" s="694"/>
      <c r="BL40" s="694"/>
      <c r="BM40" s="694"/>
      <c r="BN40" s="697"/>
      <c r="BO40" s="697"/>
      <c r="BQ40" s="566"/>
      <c r="BR40" s="566"/>
      <c r="BS40" s="694"/>
      <c r="BT40" s="694"/>
      <c r="BU40" s="694"/>
      <c r="BV40" s="697"/>
      <c r="BW40" s="697"/>
      <c r="BY40" s="566"/>
      <c r="BZ40" s="566"/>
      <c r="CA40" s="694"/>
      <c r="CB40" s="694"/>
      <c r="CC40" s="694"/>
      <c r="CD40" s="697"/>
      <c r="CE40" s="697"/>
      <c r="CG40" s="566"/>
      <c r="CH40" s="566"/>
      <c r="CI40" s="694"/>
      <c r="CJ40" s="694"/>
      <c r="CK40" s="694"/>
      <c r="CL40" s="697"/>
      <c r="CM40" s="697"/>
      <c r="CO40" s="566"/>
      <c r="CP40" s="566"/>
      <c r="CQ40" s="694"/>
      <c r="CR40" s="694"/>
      <c r="CS40" s="694"/>
      <c r="CT40" s="697"/>
      <c r="CU40" s="697"/>
      <c r="CW40" s="566"/>
      <c r="CX40" s="566"/>
      <c r="CY40" s="694"/>
      <c r="CZ40" s="694"/>
      <c r="DA40" s="694"/>
      <c r="DB40" s="697"/>
      <c r="DC40" s="697"/>
      <c r="DF40" s="688"/>
      <c r="DG40" s="688"/>
      <c r="DH40" s="688"/>
      <c r="DI40" s="688"/>
      <c r="DJ40" s="688"/>
    </row>
    <row r="41" spans="1:114" s="673" customFormat="1" ht="27" customHeight="1">
      <c r="A41" s="674" t="s">
        <v>27</v>
      </c>
      <c r="B41" s="675" t="s">
        <v>325</v>
      </c>
      <c r="C41" s="660" t="s">
        <v>9</v>
      </c>
      <c r="D41" s="566">
        <v>6258.5412933942862</v>
      </c>
      <c r="E41" s="557">
        <f t="shared" ref="E41:E51" si="159">F41+G41</f>
        <v>1395.3571129014504</v>
      </c>
      <c r="F41" s="566">
        <v>586.53784379658339</v>
      </c>
      <c r="G41" s="566">
        <v>808.81926910486698</v>
      </c>
      <c r="H41" s="566">
        <f>D41-F41-G41-I41</f>
        <v>4622.0264107423882</v>
      </c>
      <c r="I41" s="566">
        <v>241.15776975044733</v>
      </c>
      <c r="J41" s="566"/>
      <c r="K41" s="679" t="s">
        <v>184</v>
      </c>
      <c r="M41" s="691">
        <f>64235.66/1000</f>
        <v>64.23566000000001</v>
      </c>
      <c r="N41" s="557">
        <f t="shared" ref="N41:N51" si="160">O41+P41</f>
        <v>14.321497754999701</v>
      </c>
      <c r="O41" s="699">
        <f>$M$41*$O$3</f>
        <v>6.0200362584516434</v>
      </c>
      <c r="P41" s="699">
        <f>$M$41*$P$3</f>
        <v>8.3014614965480575</v>
      </c>
      <c r="Q41" s="699">
        <f>$M$41*$Q$3</f>
        <v>45.632542864163639</v>
      </c>
      <c r="R41" s="699">
        <f>$M$41*$R$3</f>
        <v>4.281619380836668</v>
      </c>
      <c r="S41" s="681">
        <f t="shared" ref="S41:S43" si="161">$M$16*$S$3</f>
        <v>0</v>
      </c>
      <c r="U41" s="691">
        <f>64235.66/1000+16713/1000</f>
        <v>80.948660000000018</v>
      </c>
      <c r="V41" s="557">
        <f t="shared" ref="V41:V51" si="162">W41+X41</f>
        <v>18.04770204681067</v>
      </c>
      <c r="W41" s="699">
        <f t="shared" ref="W41:W43" si="163">U41*$W$3</f>
        <v>7.5863448475982693</v>
      </c>
      <c r="X41" s="699">
        <f t="shared" ref="X41:X43" si="164">U41*$X$3</f>
        <v>10.461357199212399</v>
      </c>
      <c r="Y41" s="699">
        <f t="shared" ref="Y41:Y43" si="165">U41*$Y$3</f>
        <v>57.505335778391768</v>
      </c>
      <c r="Z41" s="699">
        <f t="shared" ref="Z41:Z43" si="166">U41*$Z$3</f>
        <v>5.3956221747975812</v>
      </c>
      <c r="AA41" s="681">
        <f>U41*AA3</f>
        <v>0</v>
      </c>
      <c r="AC41" s="691">
        <f>64385/1000+22886/1000</f>
        <v>87.271000000000001</v>
      </c>
      <c r="AD41" s="557">
        <f t="shared" ref="AD41:AD51" si="167">AE41+AF41</f>
        <v>19.457283237637455</v>
      </c>
      <c r="AE41" s="699">
        <f t="shared" ref="AE41:AE43" si="168">AC41*$AE$3</f>
        <v>8.1788617772641121</v>
      </c>
      <c r="AF41" s="699">
        <f t="shared" ref="AF41:AF43" si="169">AC41*$AF$3</f>
        <v>11.278421460373343</v>
      </c>
      <c r="AG41" s="699">
        <f t="shared" ref="AG41:AG43" si="170">AC41*$AG$3</f>
        <v>61.996679855059078</v>
      </c>
      <c r="AH41" s="699">
        <f t="shared" ref="AH41:AH43" si="171">AC41*$AH$3</f>
        <v>5.8170369073034642</v>
      </c>
      <c r="AI41" s="681">
        <f>AC41*AI3</f>
        <v>0</v>
      </c>
      <c r="AK41" s="691">
        <f>64384.66/1000+18676.8/1000</f>
        <v>83.061459999999997</v>
      </c>
      <c r="AL41" s="557">
        <f t="shared" ref="AL41:AL51" si="172">AM41+AN41</f>
        <v>18.518755982533648</v>
      </c>
      <c r="AM41" s="699">
        <f t="shared" ref="AM41:AM43" si="173">AK41*$AM$3</f>
        <v>7.7843521944030893</v>
      </c>
      <c r="AN41" s="699">
        <f t="shared" ref="AN41:AN43" si="174">AK41*$AN$3</f>
        <v>10.734403788130557</v>
      </c>
      <c r="AO41" s="699">
        <f t="shared" ref="AO41:AO43" si="175">AK41*$AO$3</f>
        <v>59.006253439444897</v>
      </c>
      <c r="AP41" s="699">
        <f t="shared" ref="AP41:AP43" si="176">AK41*$AP$3</f>
        <v>5.5364505780214541</v>
      </c>
      <c r="AQ41" s="681">
        <f>AK41*AQ3</f>
        <v>0</v>
      </c>
      <c r="AS41" s="691">
        <f>63967.8/1000+19758.6/1000+4996.16/1000</f>
        <v>88.722560000000001</v>
      </c>
      <c r="AT41" s="557">
        <f t="shared" ref="AT41:AT51" si="177">AU41+AV41</f>
        <v>19.780912095521806</v>
      </c>
      <c r="AU41" s="699">
        <f t="shared" ref="AU41:AU43" si="178">AS41*$AU$3</f>
        <v>8.3148990473928563</v>
      </c>
      <c r="AV41" s="699">
        <f t="shared" ref="AV41:AV43" si="179">AS41*$AV$3</f>
        <v>11.466013048128948</v>
      </c>
      <c r="AW41" s="699">
        <f t="shared" ref="AW41:AW43" si="180">AS41*$AW$3</f>
        <v>63.027857458276756</v>
      </c>
      <c r="AX41" s="699">
        <f t="shared" ref="AX41:AX43" si="181">AS41*$AX$3</f>
        <v>5.9137904462014417</v>
      </c>
      <c r="AY41" s="681">
        <f>AS41*AY3</f>
        <v>0</v>
      </c>
      <c r="BA41" s="691"/>
      <c r="BB41" s="557">
        <f t="shared" ref="BB41:BB51" si="182">BC41+BD41</f>
        <v>0</v>
      </c>
      <c r="BC41" s="699">
        <f t="shared" ref="BC41:BC43" si="183">BA41*$BC$3</f>
        <v>0</v>
      </c>
      <c r="BD41" s="699">
        <f t="shared" ref="BD41:BD43" si="184">BA41*$BD$3</f>
        <v>0</v>
      </c>
      <c r="BE41" s="699">
        <f t="shared" ref="BE41:BE43" si="185">BA41*$BE$3</f>
        <v>0</v>
      </c>
      <c r="BF41" s="699">
        <f t="shared" ref="BF41:BF43" si="186">BA41*$BF$3</f>
        <v>0</v>
      </c>
      <c r="BG41" s="681">
        <f>BA41*BG3</f>
        <v>0</v>
      </c>
      <c r="BI41" s="691"/>
      <c r="BJ41" s="557">
        <f t="shared" ref="BJ41:BJ51" si="187">BK41+BL41</f>
        <v>0</v>
      </c>
      <c r="BK41" s="699">
        <f t="shared" ref="BK41:BK43" si="188">BI41*$BK$3</f>
        <v>0</v>
      </c>
      <c r="BL41" s="699">
        <f t="shared" ref="BL41:BL43" si="189">BI41*$BL$3</f>
        <v>0</v>
      </c>
      <c r="BM41" s="699">
        <f t="shared" ref="BM41:BM43" si="190">BI41*$BM$3</f>
        <v>0</v>
      </c>
      <c r="BN41" s="699">
        <f t="shared" ref="BN41:BN43" si="191">BI41*$BN$3</f>
        <v>0</v>
      </c>
      <c r="BO41" s="681">
        <f>BI41*BO3</f>
        <v>0</v>
      </c>
      <c r="BQ41" s="691"/>
      <c r="BR41" s="557">
        <f t="shared" ref="BR41:BR51" si="192">BS41+BT41</f>
        <v>0</v>
      </c>
      <c r="BS41" s="699">
        <f t="shared" ref="BS41:BS43" si="193">BQ41*$BS$3</f>
        <v>0</v>
      </c>
      <c r="BT41" s="699">
        <f t="shared" ref="BT41:BT43" si="194">BQ41*$BT$3</f>
        <v>0</v>
      </c>
      <c r="BU41" s="699">
        <f t="shared" ref="BU41:BU43" si="195">BQ41*$BU$3</f>
        <v>0</v>
      </c>
      <c r="BV41" s="699">
        <f t="shared" ref="BV41:BV43" si="196">BQ41*$BV$3</f>
        <v>0</v>
      </c>
      <c r="BW41" s="681">
        <f>BQ41*BW3</f>
        <v>0</v>
      </c>
      <c r="BY41" s="691"/>
      <c r="BZ41" s="557">
        <f t="shared" ref="BZ41:BZ51" si="197">CA41+CB41</f>
        <v>0</v>
      </c>
      <c r="CA41" s="699">
        <f t="shared" ref="CA41:CA43" si="198">BY41*$CA$3</f>
        <v>0</v>
      </c>
      <c r="CB41" s="699">
        <f t="shared" ref="CB41:CB43" si="199">BY41*$CB$3</f>
        <v>0</v>
      </c>
      <c r="CC41" s="699">
        <f t="shared" ref="CC41:CC43" si="200">BY41*$CC$3</f>
        <v>0</v>
      </c>
      <c r="CD41" s="699">
        <f t="shared" ref="CD41:CD43" si="201">BY41*$CD$3</f>
        <v>0</v>
      </c>
      <c r="CE41" s="681">
        <f>BY41*CE3</f>
        <v>0</v>
      </c>
      <c r="CG41" s="691"/>
      <c r="CH41" s="557">
        <f t="shared" ref="CH41:CH51" si="202">CI41+CJ41</f>
        <v>0</v>
      </c>
      <c r="CI41" s="699">
        <f t="shared" ref="CI41:CI43" si="203">CG41*$CI$3</f>
        <v>0</v>
      </c>
      <c r="CJ41" s="699">
        <f t="shared" ref="CJ41:CJ43" si="204">CG41*$CJ$3</f>
        <v>0</v>
      </c>
      <c r="CK41" s="699">
        <f t="shared" ref="CK41:CK43" si="205">CG41*$CK$3</f>
        <v>0</v>
      </c>
      <c r="CL41" s="699">
        <f t="shared" ref="CL41:CL43" si="206">CG41*$CL$3</f>
        <v>0</v>
      </c>
      <c r="CM41" s="681">
        <f>CG41*CM3</f>
        <v>0</v>
      </c>
      <c r="CO41" s="691"/>
      <c r="CP41" s="557">
        <f t="shared" ref="CP41:CP51" si="207">CQ41+CR41</f>
        <v>0</v>
      </c>
      <c r="CQ41" s="699">
        <f t="shared" ref="CQ41:CQ43" si="208">CO41*$CQ$3</f>
        <v>0</v>
      </c>
      <c r="CR41" s="699">
        <f t="shared" ref="CR41:CR43" si="209">CO41*$CR$3</f>
        <v>0</v>
      </c>
      <c r="CS41" s="699">
        <f t="shared" ref="CS41:CS43" si="210">CO41*$CS$3</f>
        <v>0</v>
      </c>
      <c r="CT41" s="699">
        <f t="shared" ref="CT41:CT43" si="211">CO41*$CT$3</f>
        <v>0</v>
      </c>
      <c r="CU41" s="681">
        <f>CO41*CU3</f>
        <v>0</v>
      </c>
      <c r="CW41" s="691"/>
      <c r="CX41" s="557">
        <f t="shared" ref="CX41:CX51" si="212">CY41+CZ41</f>
        <v>0</v>
      </c>
      <c r="CY41" s="699">
        <f t="shared" ref="CY41:CY43" si="213">CW41*$CY$3</f>
        <v>0</v>
      </c>
      <c r="CZ41" s="699">
        <f t="shared" ref="CZ41:CZ43" si="214">CW41*$CZ$3</f>
        <v>0</v>
      </c>
      <c r="DA41" s="699">
        <f t="shared" ref="DA41:DA43" si="215">CW41*$DA$3</f>
        <v>0</v>
      </c>
      <c r="DB41" s="699">
        <f t="shared" ref="DB41:DB43" si="216">CW41*$DB$3</f>
        <v>0</v>
      </c>
      <c r="DC41" s="681">
        <f>CW41*DC3</f>
        <v>0</v>
      </c>
      <c r="DF41" s="688"/>
      <c r="DG41" s="688"/>
      <c r="DH41" s="688"/>
      <c r="DI41" s="688"/>
      <c r="DJ41" s="688"/>
    </row>
    <row r="42" spans="1:114" s="673" customFormat="1" ht="27" customHeight="1">
      <c r="A42" s="674" t="s">
        <v>29</v>
      </c>
      <c r="B42" s="675" t="s">
        <v>329</v>
      </c>
      <c r="C42" s="660" t="s">
        <v>9</v>
      </c>
      <c r="D42" s="566">
        <v>1398.3066999999996</v>
      </c>
      <c r="E42" s="557">
        <f t="shared" si="159"/>
        <v>267.86356616311127</v>
      </c>
      <c r="F42" s="566">
        <v>102</v>
      </c>
      <c r="G42" s="566">
        <v>165.86356616311124</v>
      </c>
      <c r="H42" s="566">
        <f>D42-F42-G42-I42</f>
        <v>1076.5627630937847</v>
      </c>
      <c r="I42" s="566">
        <v>53.880370743103676</v>
      </c>
      <c r="J42" s="566"/>
      <c r="K42" s="679" t="s">
        <v>184</v>
      </c>
      <c r="M42" s="691"/>
      <c r="N42" s="557">
        <f t="shared" si="160"/>
        <v>0</v>
      </c>
      <c r="O42" s="699">
        <f>$M$42*$O$3</f>
        <v>0</v>
      </c>
      <c r="P42" s="699">
        <f>$M$42*$P$3</f>
        <v>0</v>
      </c>
      <c r="Q42" s="699">
        <f>$M$42*$Q$3</f>
        <v>0</v>
      </c>
      <c r="R42" s="699">
        <f>$M$42*$R$3</f>
        <v>0</v>
      </c>
      <c r="S42" s="681">
        <f t="shared" si="161"/>
        <v>0</v>
      </c>
      <c r="U42" s="691"/>
      <c r="V42" s="557">
        <f t="shared" si="162"/>
        <v>0</v>
      </c>
      <c r="W42" s="699">
        <f t="shared" si="163"/>
        <v>0</v>
      </c>
      <c r="X42" s="699">
        <f t="shared" si="164"/>
        <v>0</v>
      </c>
      <c r="Y42" s="699">
        <f t="shared" si="165"/>
        <v>0</v>
      </c>
      <c r="Z42" s="699">
        <f t="shared" si="166"/>
        <v>0</v>
      </c>
      <c r="AA42" s="681">
        <f>U42*AA3</f>
        <v>0</v>
      </c>
      <c r="AC42" s="691"/>
      <c r="AD42" s="557">
        <f t="shared" si="167"/>
        <v>0</v>
      </c>
      <c r="AE42" s="699">
        <f t="shared" si="168"/>
        <v>0</v>
      </c>
      <c r="AF42" s="699">
        <f t="shared" si="169"/>
        <v>0</v>
      </c>
      <c r="AG42" s="699">
        <f t="shared" si="170"/>
        <v>0</v>
      </c>
      <c r="AH42" s="699">
        <f t="shared" si="171"/>
        <v>0</v>
      </c>
      <c r="AI42" s="681">
        <f>AC42*AI3</f>
        <v>0</v>
      </c>
      <c r="AK42" s="691"/>
      <c r="AL42" s="557">
        <f t="shared" si="172"/>
        <v>0</v>
      </c>
      <c r="AM42" s="699">
        <f t="shared" si="173"/>
        <v>0</v>
      </c>
      <c r="AN42" s="699">
        <f t="shared" si="174"/>
        <v>0</v>
      </c>
      <c r="AO42" s="699">
        <f t="shared" si="175"/>
        <v>0</v>
      </c>
      <c r="AP42" s="699">
        <f t="shared" si="176"/>
        <v>0</v>
      </c>
      <c r="AQ42" s="681">
        <f>AK42*AQ3</f>
        <v>0</v>
      </c>
      <c r="AS42" s="691"/>
      <c r="AT42" s="557">
        <f t="shared" si="177"/>
        <v>0</v>
      </c>
      <c r="AU42" s="699">
        <f t="shared" si="178"/>
        <v>0</v>
      </c>
      <c r="AV42" s="699">
        <f t="shared" si="179"/>
        <v>0</v>
      </c>
      <c r="AW42" s="699">
        <f t="shared" si="180"/>
        <v>0</v>
      </c>
      <c r="AX42" s="699">
        <f t="shared" si="181"/>
        <v>0</v>
      </c>
      <c r="AY42" s="681">
        <f>AS42*AY3</f>
        <v>0</v>
      </c>
      <c r="BA42" s="691"/>
      <c r="BB42" s="557">
        <f t="shared" si="182"/>
        <v>0</v>
      </c>
      <c r="BC42" s="699">
        <f t="shared" si="183"/>
        <v>0</v>
      </c>
      <c r="BD42" s="699">
        <f t="shared" si="184"/>
        <v>0</v>
      </c>
      <c r="BE42" s="699">
        <f t="shared" si="185"/>
        <v>0</v>
      </c>
      <c r="BF42" s="699">
        <f t="shared" si="186"/>
        <v>0</v>
      </c>
      <c r="BG42" s="681">
        <f>BA42*BG3</f>
        <v>0</v>
      </c>
      <c r="BI42" s="691"/>
      <c r="BJ42" s="557">
        <f t="shared" si="187"/>
        <v>0</v>
      </c>
      <c r="BK42" s="699">
        <f t="shared" si="188"/>
        <v>0</v>
      </c>
      <c r="BL42" s="699">
        <f t="shared" si="189"/>
        <v>0</v>
      </c>
      <c r="BM42" s="699">
        <f t="shared" si="190"/>
        <v>0</v>
      </c>
      <c r="BN42" s="699">
        <f t="shared" si="191"/>
        <v>0</v>
      </c>
      <c r="BO42" s="681">
        <f>BI42*BO3</f>
        <v>0</v>
      </c>
      <c r="BQ42" s="691"/>
      <c r="BR42" s="557">
        <f t="shared" si="192"/>
        <v>0</v>
      </c>
      <c r="BS42" s="699">
        <f t="shared" si="193"/>
        <v>0</v>
      </c>
      <c r="BT42" s="699">
        <f t="shared" si="194"/>
        <v>0</v>
      </c>
      <c r="BU42" s="699">
        <f t="shared" si="195"/>
        <v>0</v>
      </c>
      <c r="BV42" s="699">
        <f t="shared" si="196"/>
        <v>0</v>
      </c>
      <c r="BW42" s="681">
        <f>BQ42*BW3</f>
        <v>0</v>
      </c>
      <c r="BY42" s="691"/>
      <c r="BZ42" s="557">
        <f t="shared" si="197"/>
        <v>0</v>
      </c>
      <c r="CA42" s="699">
        <f t="shared" si="198"/>
        <v>0</v>
      </c>
      <c r="CB42" s="699">
        <f t="shared" si="199"/>
        <v>0</v>
      </c>
      <c r="CC42" s="699">
        <f t="shared" si="200"/>
        <v>0</v>
      </c>
      <c r="CD42" s="699">
        <f t="shared" si="201"/>
        <v>0</v>
      </c>
      <c r="CE42" s="681">
        <f>BY42*CE3</f>
        <v>0</v>
      </c>
      <c r="CG42" s="691"/>
      <c r="CH42" s="557">
        <f t="shared" si="202"/>
        <v>0</v>
      </c>
      <c r="CI42" s="699">
        <f t="shared" si="203"/>
        <v>0</v>
      </c>
      <c r="CJ42" s="699">
        <f t="shared" si="204"/>
        <v>0</v>
      </c>
      <c r="CK42" s="699">
        <f t="shared" si="205"/>
        <v>0</v>
      </c>
      <c r="CL42" s="699">
        <f t="shared" si="206"/>
        <v>0</v>
      </c>
      <c r="CM42" s="681">
        <f>CG42*CM3</f>
        <v>0</v>
      </c>
      <c r="CO42" s="691"/>
      <c r="CP42" s="557">
        <f t="shared" si="207"/>
        <v>0</v>
      </c>
      <c r="CQ42" s="699">
        <f t="shared" si="208"/>
        <v>0</v>
      </c>
      <c r="CR42" s="699">
        <f t="shared" si="209"/>
        <v>0</v>
      </c>
      <c r="CS42" s="699">
        <f t="shared" si="210"/>
        <v>0</v>
      </c>
      <c r="CT42" s="699">
        <f t="shared" si="211"/>
        <v>0</v>
      </c>
      <c r="CU42" s="681">
        <f>CO42*CU3</f>
        <v>0</v>
      </c>
      <c r="CW42" s="691"/>
      <c r="CX42" s="557">
        <f t="shared" si="212"/>
        <v>0</v>
      </c>
      <c r="CY42" s="699">
        <f t="shared" si="213"/>
        <v>0</v>
      </c>
      <c r="CZ42" s="699">
        <f t="shared" si="214"/>
        <v>0</v>
      </c>
      <c r="DA42" s="699">
        <f t="shared" si="215"/>
        <v>0</v>
      </c>
      <c r="DB42" s="699">
        <f t="shared" si="216"/>
        <v>0</v>
      </c>
      <c r="DC42" s="681">
        <f>CW42*DC3</f>
        <v>0</v>
      </c>
      <c r="DF42" s="688"/>
      <c r="DG42" s="688"/>
      <c r="DH42" s="688"/>
      <c r="DI42" s="688"/>
      <c r="DJ42" s="688"/>
    </row>
    <row r="43" spans="1:114" s="673" customFormat="1" ht="27" customHeight="1">
      <c r="A43" s="674" t="s">
        <v>31</v>
      </c>
      <c r="B43" s="675" t="s">
        <v>318</v>
      </c>
      <c r="C43" s="660" t="s">
        <v>9</v>
      </c>
      <c r="D43" s="566">
        <v>15026.88236</v>
      </c>
      <c r="E43" s="557">
        <f t="shared" si="159"/>
        <v>2884</v>
      </c>
      <c r="F43" s="566">
        <v>1100</v>
      </c>
      <c r="G43" s="566">
        <v>1784</v>
      </c>
      <c r="H43" s="566">
        <f>D43-F43-G43-I43</f>
        <v>11563.857749254872</v>
      </c>
      <c r="I43" s="566">
        <v>579.02461074512826</v>
      </c>
      <c r="J43" s="566"/>
      <c r="K43" s="679" t="s">
        <v>184</v>
      </c>
      <c r="M43" s="691"/>
      <c r="N43" s="557">
        <f t="shared" si="160"/>
        <v>0</v>
      </c>
      <c r="O43" s="699">
        <f>$M$43*$O$3</f>
        <v>0</v>
      </c>
      <c r="P43" s="699">
        <f>$M$43*$P$3</f>
        <v>0</v>
      </c>
      <c r="Q43" s="699">
        <f>$M$43*$Q$3</f>
        <v>0</v>
      </c>
      <c r="R43" s="699">
        <f>$M$43*$R$3</f>
        <v>0</v>
      </c>
      <c r="S43" s="681">
        <f t="shared" si="161"/>
        <v>0</v>
      </c>
      <c r="U43" s="691"/>
      <c r="V43" s="557">
        <f t="shared" si="162"/>
        <v>0</v>
      </c>
      <c r="W43" s="699">
        <f t="shared" si="163"/>
        <v>0</v>
      </c>
      <c r="X43" s="699">
        <f t="shared" si="164"/>
        <v>0</v>
      </c>
      <c r="Y43" s="699">
        <f t="shared" si="165"/>
        <v>0</v>
      </c>
      <c r="Z43" s="699">
        <f t="shared" si="166"/>
        <v>0</v>
      </c>
      <c r="AA43" s="681">
        <f>U43*AA3</f>
        <v>0</v>
      </c>
      <c r="AC43" s="691"/>
      <c r="AD43" s="557">
        <f t="shared" si="167"/>
        <v>0</v>
      </c>
      <c r="AE43" s="699">
        <f t="shared" si="168"/>
        <v>0</v>
      </c>
      <c r="AF43" s="699">
        <f t="shared" si="169"/>
        <v>0</v>
      </c>
      <c r="AG43" s="699">
        <f t="shared" si="170"/>
        <v>0</v>
      </c>
      <c r="AH43" s="699">
        <f t="shared" si="171"/>
        <v>0</v>
      </c>
      <c r="AI43" s="681">
        <f>AC43*AI3</f>
        <v>0</v>
      </c>
      <c r="AK43" s="691">
        <f>371514/1000</f>
        <v>371.51400000000001</v>
      </c>
      <c r="AL43" s="557">
        <f t="shared" si="172"/>
        <v>82.829956397287091</v>
      </c>
      <c r="AM43" s="699">
        <f t="shared" si="173"/>
        <v>34.817541386239412</v>
      </c>
      <c r="AN43" s="699">
        <f t="shared" si="174"/>
        <v>48.012415011047679</v>
      </c>
      <c r="AO43" s="699">
        <f t="shared" si="175"/>
        <v>263.92082730428689</v>
      </c>
      <c r="AP43" s="699">
        <f t="shared" si="176"/>
        <v>24.763216298426041</v>
      </c>
      <c r="AQ43" s="681">
        <f>AK43*AQ3</f>
        <v>0</v>
      </c>
      <c r="AS43" s="691">
        <f>212207.61/1000</f>
        <v>212.20760999999999</v>
      </c>
      <c r="AT43" s="557">
        <f t="shared" si="177"/>
        <v>47.312206494163078</v>
      </c>
      <c r="AU43" s="699">
        <f t="shared" si="178"/>
        <v>19.88766841532204</v>
      </c>
      <c r="AV43" s="699">
        <f t="shared" si="179"/>
        <v>27.424538078841042</v>
      </c>
      <c r="AW43" s="699">
        <f t="shared" si="180"/>
        <v>150.75073346217224</v>
      </c>
      <c r="AX43" s="699">
        <f t="shared" si="181"/>
        <v>14.144670043664672</v>
      </c>
      <c r="AY43" s="681">
        <f>AS43*AY3</f>
        <v>0</v>
      </c>
      <c r="BA43" s="691"/>
      <c r="BB43" s="557">
        <f t="shared" si="182"/>
        <v>0</v>
      </c>
      <c r="BC43" s="699">
        <f t="shared" si="183"/>
        <v>0</v>
      </c>
      <c r="BD43" s="699">
        <f t="shared" si="184"/>
        <v>0</v>
      </c>
      <c r="BE43" s="699">
        <f t="shared" si="185"/>
        <v>0</v>
      </c>
      <c r="BF43" s="699">
        <f t="shared" si="186"/>
        <v>0</v>
      </c>
      <c r="BG43" s="681">
        <f>BA43*BG3</f>
        <v>0</v>
      </c>
      <c r="BI43" s="691"/>
      <c r="BJ43" s="557">
        <f t="shared" si="187"/>
        <v>0</v>
      </c>
      <c r="BK43" s="699">
        <f t="shared" si="188"/>
        <v>0</v>
      </c>
      <c r="BL43" s="699">
        <f t="shared" si="189"/>
        <v>0</v>
      </c>
      <c r="BM43" s="699">
        <f t="shared" si="190"/>
        <v>0</v>
      </c>
      <c r="BN43" s="699">
        <f t="shared" si="191"/>
        <v>0</v>
      </c>
      <c r="BO43" s="681">
        <f>BI43*BO3</f>
        <v>0</v>
      </c>
      <c r="BQ43" s="691"/>
      <c r="BR43" s="557">
        <f t="shared" si="192"/>
        <v>0</v>
      </c>
      <c r="BS43" s="699">
        <f t="shared" si="193"/>
        <v>0</v>
      </c>
      <c r="BT43" s="699">
        <f t="shared" si="194"/>
        <v>0</v>
      </c>
      <c r="BU43" s="699">
        <f t="shared" si="195"/>
        <v>0</v>
      </c>
      <c r="BV43" s="699">
        <f t="shared" si="196"/>
        <v>0</v>
      </c>
      <c r="BW43" s="681">
        <f>BQ43*BW3</f>
        <v>0</v>
      </c>
      <c r="BY43" s="691"/>
      <c r="BZ43" s="557">
        <f t="shared" si="197"/>
        <v>0</v>
      </c>
      <c r="CA43" s="699">
        <f t="shared" si="198"/>
        <v>0</v>
      </c>
      <c r="CB43" s="699">
        <f t="shared" si="199"/>
        <v>0</v>
      </c>
      <c r="CC43" s="699">
        <f t="shared" si="200"/>
        <v>0</v>
      </c>
      <c r="CD43" s="699">
        <f t="shared" si="201"/>
        <v>0</v>
      </c>
      <c r="CE43" s="681">
        <f>BY43*CE3</f>
        <v>0</v>
      </c>
      <c r="CG43" s="691"/>
      <c r="CH43" s="557">
        <f t="shared" si="202"/>
        <v>0</v>
      </c>
      <c r="CI43" s="699">
        <f t="shared" si="203"/>
        <v>0</v>
      </c>
      <c r="CJ43" s="699">
        <f t="shared" si="204"/>
        <v>0</v>
      </c>
      <c r="CK43" s="699">
        <f t="shared" si="205"/>
        <v>0</v>
      </c>
      <c r="CL43" s="699">
        <f t="shared" si="206"/>
        <v>0</v>
      </c>
      <c r="CM43" s="681">
        <f>CG43*CM3</f>
        <v>0</v>
      </c>
      <c r="CO43" s="691"/>
      <c r="CP43" s="557">
        <f t="shared" si="207"/>
        <v>0</v>
      </c>
      <c r="CQ43" s="699">
        <f t="shared" si="208"/>
        <v>0</v>
      </c>
      <c r="CR43" s="699">
        <f t="shared" si="209"/>
        <v>0</v>
      </c>
      <c r="CS43" s="699">
        <f t="shared" si="210"/>
        <v>0</v>
      </c>
      <c r="CT43" s="699">
        <f t="shared" si="211"/>
        <v>0</v>
      </c>
      <c r="CU43" s="681">
        <f>CO43*CU3</f>
        <v>0</v>
      </c>
      <c r="CW43" s="691"/>
      <c r="CX43" s="557">
        <f t="shared" si="212"/>
        <v>0</v>
      </c>
      <c r="CY43" s="699">
        <f t="shared" si="213"/>
        <v>0</v>
      </c>
      <c r="CZ43" s="699">
        <f t="shared" si="214"/>
        <v>0</v>
      </c>
      <c r="DA43" s="699">
        <f t="shared" si="215"/>
        <v>0</v>
      </c>
      <c r="DB43" s="699">
        <f t="shared" si="216"/>
        <v>0</v>
      </c>
      <c r="DC43" s="681">
        <f>CW43*DC3</f>
        <v>0</v>
      </c>
      <c r="DF43" s="688"/>
      <c r="DG43" s="688"/>
      <c r="DH43" s="688"/>
      <c r="DI43" s="688"/>
      <c r="DJ43" s="688"/>
    </row>
    <row r="44" spans="1:114" s="673" customFormat="1" ht="27" customHeight="1">
      <c r="A44" s="674" t="s">
        <v>33</v>
      </c>
      <c r="B44" s="675" t="s">
        <v>445</v>
      </c>
      <c r="C44" s="671" t="s">
        <v>9</v>
      </c>
      <c r="D44" s="566">
        <f>F44+G44+H44+I44</f>
        <v>327658.90089290583</v>
      </c>
      <c r="E44" s="557">
        <f t="shared" si="159"/>
        <v>254045.24986792094</v>
      </c>
      <c r="F44" s="566">
        <f>SUM(F45:F49)</f>
        <v>141816.97452340313</v>
      </c>
      <c r="G44" s="566">
        <f t="shared" ref="G44:J44" si="217">SUM(G45:G49)</f>
        <v>112228.27534451782</v>
      </c>
      <c r="H44" s="566">
        <f t="shared" si="217"/>
        <v>72383.666270550326</v>
      </c>
      <c r="I44" s="566">
        <f t="shared" si="217"/>
        <v>1229.984754434571</v>
      </c>
      <c r="J44" s="566">
        <f t="shared" si="217"/>
        <v>0</v>
      </c>
      <c r="K44" s="689"/>
      <c r="M44" s="566">
        <f>O44+P44+Q44+R44+S44</f>
        <v>65577.53</v>
      </c>
      <c r="N44" s="557">
        <f t="shared" si="160"/>
        <v>51031.563890361358</v>
      </c>
      <c r="O44" s="566">
        <f>SUM(O45:O49)</f>
        <v>28975.614941603082</v>
      </c>
      <c r="P44" s="566">
        <f t="shared" ref="P44:S44" si="218">SUM(P45:P49)</f>
        <v>22055.94894875828</v>
      </c>
      <c r="Q44" s="566">
        <f t="shared" si="218"/>
        <v>13192.938448141689</v>
      </c>
      <c r="R44" s="566">
        <f t="shared" si="218"/>
        <v>1353.0276614969493</v>
      </c>
      <c r="S44" s="566">
        <f t="shared" si="218"/>
        <v>0</v>
      </c>
      <c r="U44" s="566">
        <f>W44+X44+Y44+Z44+AA44</f>
        <v>63987.869999999995</v>
      </c>
      <c r="V44" s="557">
        <f t="shared" si="162"/>
        <v>49794.511566890927</v>
      </c>
      <c r="W44" s="566">
        <f>SUM(W45:W49)</f>
        <v>28273.219226972338</v>
      </c>
      <c r="X44" s="566">
        <f t="shared" ref="X44:AA44" si="219">SUM(X45:X49)</f>
        <v>21521.292339918589</v>
      </c>
      <c r="Y44" s="566">
        <f t="shared" si="219"/>
        <v>12873.12941395768</v>
      </c>
      <c r="Z44" s="566">
        <f t="shared" si="219"/>
        <v>1320.2290191513894</v>
      </c>
      <c r="AA44" s="566">
        <f t="shared" si="219"/>
        <v>0</v>
      </c>
      <c r="AC44" s="566">
        <f>AE44+AF44+AG44+AH44+AI44</f>
        <v>63775.097999999998</v>
      </c>
      <c r="AD44" s="557">
        <f t="shared" si="167"/>
        <v>49628.935219137667</v>
      </c>
      <c r="AE44" s="566">
        <f>SUM(AE45:AE49)</f>
        <v>28179.20532400352</v>
      </c>
      <c r="AF44" s="566">
        <f t="shared" ref="AF44:AI44" si="220">SUM(AF45:AF49)</f>
        <v>21449.729895134147</v>
      </c>
      <c r="AG44" s="566">
        <f t="shared" si="220"/>
        <v>12830.323777644631</v>
      </c>
      <c r="AH44" s="566">
        <f t="shared" si="220"/>
        <v>1315.8390032176994</v>
      </c>
      <c r="AI44" s="566">
        <f t="shared" si="220"/>
        <v>0</v>
      </c>
      <c r="AK44" s="566">
        <f>AM44+AN44+AO44+AP44+AQ44</f>
        <v>65733.692999999999</v>
      </c>
      <c r="AL44" s="557">
        <f t="shared" si="172"/>
        <v>51153.087865293179</v>
      </c>
      <c r="AM44" s="566">
        <f>SUM(AM45:AM49)</f>
        <v>29044.615999680831</v>
      </c>
      <c r="AN44" s="566">
        <f t="shared" ref="AN44:AQ44" si="221">SUM(AN45:AN49)</f>
        <v>22108.471865612348</v>
      </c>
      <c r="AO44" s="566">
        <f t="shared" si="221"/>
        <v>13224.355441841775</v>
      </c>
      <c r="AP44" s="566">
        <f t="shared" si="221"/>
        <v>1356.2496928650469</v>
      </c>
      <c r="AQ44" s="566">
        <f t="shared" si="221"/>
        <v>0</v>
      </c>
      <c r="AS44" s="566">
        <f>AU44+AV44+AW44+AX44+AY44</f>
        <v>-139543.90400000001</v>
      </c>
      <c r="AT44" s="557">
        <f t="shared" si="177"/>
        <v>-108591.21489459046</v>
      </c>
      <c r="AU44" s="566">
        <f>SUM(AU45:AU49)</f>
        <v>-61657.864054227502</v>
      </c>
      <c r="AV44" s="566">
        <f t="shared" ref="AV44:AY44" si="222">SUM(AV45:AV49)</f>
        <v>-46933.350840362953</v>
      </c>
      <c r="AW44" s="566">
        <f t="shared" si="222"/>
        <v>-28073.551051486582</v>
      </c>
      <c r="AX44" s="566">
        <f t="shared" si="222"/>
        <v>-2879.1380539229644</v>
      </c>
      <c r="AY44" s="566">
        <f t="shared" si="222"/>
        <v>0</v>
      </c>
      <c r="BA44" s="566">
        <f>BC44+BD44+BE44+BF44+BG44</f>
        <v>0</v>
      </c>
      <c r="BB44" s="557">
        <f t="shared" si="182"/>
        <v>0</v>
      </c>
      <c r="BC44" s="566">
        <f>SUM(BC45:BC49)</f>
        <v>0</v>
      </c>
      <c r="BD44" s="566">
        <f t="shared" ref="BD44:BG44" si="223">SUM(BD45:BD49)</f>
        <v>0</v>
      </c>
      <c r="BE44" s="566">
        <f t="shared" si="223"/>
        <v>0</v>
      </c>
      <c r="BF44" s="566">
        <f t="shared" si="223"/>
        <v>0</v>
      </c>
      <c r="BG44" s="566">
        <f t="shared" si="223"/>
        <v>0</v>
      </c>
      <c r="BI44" s="566">
        <f>BK44+BL44+BM44+BN44+BO44</f>
        <v>0</v>
      </c>
      <c r="BJ44" s="557">
        <f t="shared" si="187"/>
        <v>0</v>
      </c>
      <c r="BK44" s="566">
        <f>SUM(BK45:BK49)</f>
        <v>0</v>
      </c>
      <c r="BL44" s="566">
        <f t="shared" ref="BL44:BO44" si="224">SUM(BL45:BL49)</f>
        <v>0</v>
      </c>
      <c r="BM44" s="566">
        <f t="shared" si="224"/>
        <v>0</v>
      </c>
      <c r="BN44" s="566">
        <f t="shared" si="224"/>
        <v>0</v>
      </c>
      <c r="BO44" s="566">
        <f t="shared" si="224"/>
        <v>0</v>
      </c>
      <c r="BQ44" s="566">
        <f>BS44+BT44+BU44+BV44+BW44</f>
        <v>0</v>
      </c>
      <c r="BR44" s="557">
        <f t="shared" si="192"/>
        <v>0</v>
      </c>
      <c r="BS44" s="566">
        <f>SUM(BS45:BS49)</f>
        <v>0</v>
      </c>
      <c r="BT44" s="566">
        <f t="shared" ref="BT44:BW44" si="225">SUM(BT45:BT49)</f>
        <v>0</v>
      </c>
      <c r="BU44" s="566">
        <f t="shared" si="225"/>
        <v>0</v>
      </c>
      <c r="BV44" s="566">
        <f t="shared" si="225"/>
        <v>0</v>
      </c>
      <c r="BW44" s="566">
        <f t="shared" si="225"/>
        <v>0</v>
      </c>
      <c r="BY44" s="566">
        <f>CA44+CB44+CC44+CD44+CE44</f>
        <v>0</v>
      </c>
      <c r="BZ44" s="557">
        <f t="shared" si="197"/>
        <v>0</v>
      </c>
      <c r="CA44" s="566">
        <f>SUM(CA45:CA49)</f>
        <v>0</v>
      </c>
      <c r="CB44" s="566">
        <f t="shared" ref="CB44:CE44" si="226">SUM(CB45:CB49)</f>
        <v>0</v>
      </c>
      <c r="CC44" s="566">
        <f t="shared" si="226"/>
        <v>0</v>
      </c>
      <c r="CD44" s="566">
        <f t="shared" si="226"/>
        <v>0</v>
      </c>
      <c r="CE44" s="566">
        <f t="shared" si="226"/>
        <v>0</v>
      </c>
      <c r="CG44" s="566">
        <f>CI44+CJ44+CK44+CL44+CM44</f>
        <v>0</v>
      </c>
      <c r="CH44" s="557">
        <f t="shared" si="202"/>
        <v>0</v>
      </c>
      <c r="CI44" s="566">
        <f>SUM(CI45:CI49)</f>
        <v>0</v>
      </c>
      <c r="CJ44" s="566">
        <f t="shared" ref="CJ44:CM44" si="227">SUM(CJ45:CJ49)</f>
        <v>0</v>
      </c>
      <c r="CK44" s="566">
        <f t="shared" si="227"/>
        <v>0</v>
      </c>
      <c r="CL44" s="566">
        <f t="shared" si="227"/>
        <v>0</v>
      </c>
      <c r="CM44" s="566">
        <f t="shared" si="227"/>
        <v>0</v>
      </c>
      <c r="CO44" s="566">
        <f>CQ44+CR44+CS44+CT44+CU44</f>
        <v>0</v>
      </c>
      <c r="CP44" s="557">
        <f t="shared" si="207"/>
        <v>0</v>
      </c>
      <c r="CQ44" s="566">
        <f>SUM(CQ45:CQ49)</f>
        <v>0</v>
      </c>
      <c r="CR44" s="566">
        <f t="shared" ref="CR44:CU44" si="228">SUM(CR45:CR49)</f>
        <v>0</v>
      </c>
      <c r="CS44" s="566">
        <f t="shared" si="228"/>
        <v>0</v>
      </c>
      <c r="CT44" s="566">
        <f t="shared" si="228"/>
        <v>0</v>
      </c>
      <c r="CU44" s="566">
        <f t="shared" si="228"/>
        <v>0</v>
      </c>
      <c r="CW44" s="566">
        <f>CY44+CZ44+DA44+DB44+DC44</f>
        <v>0</v>
      </c>
      <c r="CX44" s="557">
        <f t="shared" si="212"/>
        <v>0</v>
      </c>
      <c r="CY44" s="566">
        <f>SUM(CY45:CY49)</f>
        <v>0</v>
      </c>
      <c r="CZ44" s="566">
        <f t="shared" ref="CZ44:DC44" si="229">SUM(CZ45:CZ49)</f>
        <v>0</v>
      </c>
      <c r="DA44" s="566">
        <f t="shared" si="229"/>
        <v>0</v>
      </c>
      <c r="DB44" s="566">
        <f t="shared" si="229"/>
        <v>0</v>
      </c>
      <c r="DC44" s="566">
        <f t="shared" si="229"/>
        <v>0</v>
      </c>
      <c r="DF44" s="688"/>
      <c r="DG44" s="688"/>
      <c r="DH44" s="688"/>
      <c r="DI44" s="688"/>
      <c r="DJ44" s="688"/>
    </row>
    <row r="45" spans="1:114" s="673" customFormat="1" ht="19.5" customHeight="1">
      <c r="A45" s="674"/>
      <c r="B45" s="678" t="s">
        <v>148</v>
      </c>
      <c r="C45" s="671" t="s">
        <v>9</v>
      </c>
      <c r="D45" s="563">
        <v>7049.5699299999997</v>
      </c>
      <c r="E45" s="560">
        <f t="shared" si="159"/>
        <v>5485.8817994983538</v>
      </c>
      <c r="F45" s="563">
        <v>3114.8721794794146</v>
      </c>
      <c r="G45" s="563">
        <v>2371.0096200189391</v>
      </c>
      <c r="H45" s="563">
        <f t="shared" ref="H45:H51" si="230">D45-F45-G45-I45</f>
        <v>1537.2320887276157</v>
      </c>
      <c r="I45" s="563">
        <v>26.456041774030052</v>
      </c>
      <c r="J45" s="563"/>
      <c r="K45" s="705" t="s">
        <v>446</v>
      </c>
      <c r="M45" s="680">
        <f>1760700/1000</f>
        <v>1760.7</v>
      </c>
      <c r="N45" s="560">
        <f t="shared" si="160"/>
        <v>1370.1533824430298</v>
      </c>
      <c r="O45" s="706">
        <f>$M$45*$O$5</f>
        <v>777.9702167446768</v>
      </c>
      <c r="P45" s="706">
        <f>$M$45*$P$5</f>
        <v>592.18316569835292</v>
      </c>
      <c r="Q45" s="706">
        <f>$M$45*$Q$5</f>
        <v>354.21899430556584</v>
      </c>
      <c r="R45" s="706">
        <f>$M$45*$R$5</f>
        <v>36.327623251404546</v>
      </c>
      <c r="S45" s="706">
        <f>$M$45*$S$5</f>
        <v>0</v>
      </c>
      <c r="U45" s="680"/>
      <c r="V45" s="560">
        <f t="shared" si="162"/>
        <v>0</v>
      </c>
      <c r="W45" s="707">
        <f>U45*$W$5</f>
        <v>0</v>
      </c>
      <c r="X45" s="707">
        <f>U45*$X$5</f>
        <v>0</v>
      </c>
      <c r="Y45" s="707">
        <f>U45*$Y$5</f>
        <v>0</v>
      </c>
      <c r="Z45" s="707">
        <f>U45*$Z$5</f>
        <v>0</v>
      </c>
      <c r="AA45" s="706">
        <f>U45*AA5</f>
        <v>0</v>
      </c>
      <c r="AC45" s="680"/>
      <c r="AD45" s="560">
        <f t="shared" si="167"/>
        <v>0</v>
      </c>
      <c r="AE45" s="707">
        <f>AC45*$AE$5</f>
        <v>0</v>
      </c>
      <c r="AF45" s="707">
        <f>AC45*$AF$5</f>
        <v>0</v>
      </c>
      <c r="AG45" s="707">
        <f>AC45*$AG$5</f>
        <v>0</v>
      </c>
      <c r="AH45" s="707">
        <f>AC45*$AH$5</f>
        <v>0</v>
      </c>
      <c r="AI45" s="706">
        <f>AC45*AI5</f>
        <v>0</v>
      </c>
      <c r="AK45" s="680">
        <f>1958594/1000</f>
        <v>1958.5940000000001</v>
      </c>
      <c r="AL45" s="560">
        <f t="shared" si="172"/>
        <v>1524.1518679687756</v>
      </c>
      <c r="AM45" s="707">
        <f t="shared" ref="AM45:AM46" si="231">AK45*$AM$5</f>
        <v>865.41023382451499</v>
      </c>
      <c r="AN45" s="707">
        <f t="shared" ref="AN45:AN46" si="232">AK45*$AN$5</f>
        <v>658.74163414426073</v>
      </c>
      <c r="AO45" s="707">
        <f t="shared" ref="AO45:AO46" si="233">AK45*$AO$5</f>
        <v>394.03146301636588</v>
      </c>
      <c r="AP45" s="707">
        <f t="shared" ref="AP45:AP46" si="234">AK45*$AP$5</f>
        <v>40.410669014858541</v>
      </c>
      <c r="AQ45" s="706">
        <f>AK45*AQ5</f>
        <v>0</v>
      </c>
      <c r="AS45" s="680"/>
      <c r="AT45" s="560">
        <f t="shared" si="177"/>
        <v>0</v>
      </c>
      <c r="AU45" s="707">
        <f t="shared" ref="AU45:AU46" si="235">AS45*$AU$5</f>
        <v>0</v>
      </c>
      <c r="AV45" s="707">
        <f t="shared" ref="AV45:AV46" si="236">AS45*$AV$5</f>
        <v>0</v>
      </c>
      <c r="AW45" s="707">
        <f t="shared" ref="AW45:AW46" si="237">AS45*$AW$5</f>
        <v>0</v>
      </c>
      <c r="AX45" s="706">
        <f t="shared" ref="AX45:AX46" si="238">AS45*$AX$5</f>
        <v>0</v>
      </c>
      <c r="AY45" s="706">
        <f>AS45*AY5</f>
        <v>0</v>
      </c>
      <c r="BA45" s="680"/>
      <c r="BB45" s="560">
        <f t="shared" si="182"/>
        <v>0</v>
      </c>
      <c r="BC45" s="707">
        <f t="shared" ref="BC45:BC46" si="239">BA45*$BC$5</f>
        <v>0</v>
      </c>
      <c r="BD45" s="707">
        <f t="shared" ref="BD45:BD46" si="240">BA45*$BD$5</f>
        <v>0</v>
      </c>
      <c r="BE45" s="707">
        <f t="shared" ref="BE45:BE46" si="241">BA45*$BE$5</f>
        <v>0</v>
      </c>
      <c r="BF45" s="707">
        <f t="shared" ref="BF45:BF46" si="242">BA45*$BF$5</f>
        <v>0</v>
      </c>
      <c r="BG45" s="706">
        <f>BA45*BG5</f>
        <v>0</v>
      </c>
      <c r="BI45" s="680"/>
      <c r="BJ45" s="560">
        <f t="shared" si="187"/>
        <v>0</v>
      </c>
      <c r="BK45" s="707">
        <f t="shared" ref="BK45:BK46" si="243">BI45*$BK$5</f>
        <v>0</v>
      </c>
      <c r="BL45" s="707">
        <f t="shared" ref="BL45:BL46" si="244">BI45*$BL$5</f>
        <v>0</v>
      </c>
      <c r="BM45" s="707">
        <f t="shared" ref="BM45:BM46" si="245">BI45*$BM$5</f>
        <v>0</v>
      </c>
      <c r="BN45" s="707">
        <f t="shared" ref="BN45:BN46" si="246">BI45*$BN$5</f>
        <v>0</v>
      </c>
      <c r="BO45" s="706">
        <f>BI45*BO5</f>
        <v>0</v>
      </c>
      <c r="BQ45" s="680"/>
      <c r="BR45" s="560">
        <f t="shared" si="192"/>
        <v>0</v>
      </c>
      <c r="BS45" s="707">
        <f t="shared" ref="BS45:BS46" si="247">BQ45*$BS$5</f>
        <v>0</v>
      </c>
      <c r="BT45" s="707">
        <f t="shared" ref="BT45:BT46" si="248">BQ45*$BT$5</f>
        <v>0</v>
      </c>
      <c r="BU45" s="707">
        <f t="shared" ref="BU45:BU46" si="249">BQ45*$BU$5</f>
        <v>0</v>
      </c>
      <c r="BV45" s="707">
        <f t="shared" ref="BV45:BV46" si="250">BQ45*$BV$5</f>
        <v>0</v>
      </c>
      <c r="BW45" s="706">
        <f>BQ45*BW5</f>
        <v>0</v>
      </c>
      <c r="BY45" s="680"/>
      <c r="BZ45" s="560">
        <f t="shared" si="197"/>
        <v>0</v>
      </c>
      <c r="CA45" s="707">
        <f t="shared" ref="CA45:CA46" si="251">BY45*$CA$5</f>
        <v>0</v>
      </c>
      <c r="CB45" s="707">
        <f t="shared" ref="CB45:CB46" si="252">BY45*$CB$5</f>
        <v>0</v>
      </c>
      <c r="CC45" s="707">
        <f t="shared" ref="CC45:CC46" si="253">BY45*$CC$5</f>
        <v>0</v>
      </c>
      <c r="CD45" s="707">
        <f t="shared" ref="CD45:CD46" si="254">BY45*$CD$5</f>
        <v>0</v>
      </c>
      <c r="CE45" s="706">
        <f>BY45*CE5</f>
        <v>0</v>
      </c>
      <c r="CG45" s="680"/>
      <c r="CH45" s="560">
        <f t="shared" si="202"/>
        <v>0</v>
      </c>
      <c r="CI45" s="707">
        <f t="shared" ref="CI45:CI46" si="255">CG45*$CI$5</f>
        <v>0</v>
      </c>
      <c r="CJ45" s="707">
        <f t="shared" ref="CJ45:CJ46" si="256">CG45*$CJ$5</f>
        <v>0</v>
      </c>
      <c r="CK45" s="707">
        <f t="shared" ref="CK45:CK46" si="257">CG45*$CK$5</f>
        <v>0</v>
      </c>
      <c r="CL45" s="707">
        <f t="shared" ref="CL45:CL46" si="258">CG45*$CL$5</f>
        <v>0</v>
      </c>
      <c r="CM45" s="706">
        <f>CG45*CM5</f>
        <v>0</v>
      </c>
      <c r="CN45" s="708"/>
      <c r="CO45" s="709"/>
      <c r="CP45" s="560">
        <f t="shared" si="207"/>
        <v>0</v>
      </c>
      <c r="CQ45" s="707">
        <f t="shared" ref="CQ45:CQ46" si="259">CO45*$CQ$5</f>
        <v>0</v>
      </c>
      <c r="CR45" s="707">
        <f t="shared" ref="CR45:CR46" si="260">CO45*$CR$5</f>
        <v>0</v>
      </c>
      <c r="CS45" s="707">
        <f t="shared" ref="CS45:CS46" si="261">CO45*$CS$5</f>
        <v>0</v>
      </c>
      <c r="CT45" s="707">
        <f t="shared" ref="CT45:CT46" si="262">CO45*$CT$5</f>
        <v>0</v>
      </c>
      <c r="CU45" s="706">
        <f>CO45*CU5</f>
        <v>0</v>
      </c>
      <c r="CV45" s="708"/>
      <c r="CW45" s="709"/>
      <c r="CX45" s="560">
        <f t="shared" si="212"/>
        <v>0</v>
      </c>
      <c r="CY45" s="707">
        <f t="shared" ref="CY45:CY46" si="263">CW45*$CY$5</f>
        <v>0</v>
      </c>
      <c r="CZ45" s="707">
        <f t="shared" ref="CZ45:CZ46" si="264">CW45*$CZ$5</f>
        <v>0</v>
      </c>
      <c r="DA45" s="707">
        <f t="shared" ref="DA45:DA46" si="265">CW45*$DA$5</f>
        <v>0</v>
      </c>
      <c r="DB45" s="707">
        <f t="shared" ref="DB45:DB46" si="266">CW45*$DB$5</f>
        <v>0</v>
      </c>
      <c r="DC45" s="706">
        <f>CW45*DC5</f>
        <v>0</v>
      </c>
      <c r="DF45" s="688"/>
      <c r="DG45" s="688"/>
      <c r="DH45" s="688"/>
      <c r="DI45" s="688"/>
      <c r="DJ45" s="688"/>
    </row>
    <row r="46" spans="1:114" s="673" customFormat="1" ht="19.5" customHeight="1">
      <c r="A46" s="674"/>
      <c r="B46" s="678" t="s">
        <v>97</v>
      </c>
      <c r="C46" s="671" t="s">
        <v>9</v>
      </c>
      <c r="D46" s="563">
        <v>315666.35143873806</v>
      </c>
      <c r="E46" s="560">
        <f t="shared" si="159"/>
        <v>247369</v>
      </c>
      <c r="F46" s="563">
        <v>138228</v>
      </c>
      <c r="G46" s="563">
        <v>109141</v>
      </c>
      <c r="H46" s="563">
        <f t="shared" si="230"/>
        <v>67112.700138978704</v>
      </c>
      <c r="I46" s="563">
        <v>1184.6512997593466</v>
      </c>
      <c r="J46" s="563"/>
      <c r="K46" s="705" t="s">
        <v>446</v>
      </c>
      <c r="M46" s="680">
        <f>63775099/1000</f>
        <v>63775.099000000002</v>
      </c>
      <c r="N46" s="560">
        <f t="shared" si="160"/>
        <v>49628.935997324399</v>
      </c>
      <c r="O46" s="706">
        <f>$M$46*$O$5</f>
        <v>28179.205765856317</v>
      </c>
      <c r="P46" s="706">
        <f>$M$46*$P$5</f>
        <v>21449.730231468086</v>
      </c>
      <c r="Q46" s="706">
        <f>$M$46*$Q$5</f>
        <v>12830.323978825409</v>
      </c>
      <c r="R46" s="706">
        <f>$M$46*$R$5</f>
        <v>1315.8390238501884</v>
      </c>
      <c r="S46" s="706">
        <f>$M$45*$S$5</f>
        <v>0</v>
      </c>
      <c r="U46" s="680">
        <f>63775098/1000</f>
        <v>63775.097999999998</v>
      </c>
      <c r="V46" s="560">
        <f t="shared" si="162"/>
        <v>49628.935219137667</v>
      </c>
      <c r="W46" s="707">
        <f>U46*$W$5</f>
        <v>28179.20532400352</v>
      </c>
      <c r="X46" s="707">
        <f>U46*$X$5</f>
        <v>21449.729895134147</v>
      </c>
      <c r="Y46" s="707">
        <f>U46*$Y$5</f>
        <v>12830.323777644631</v>
      </c>
      <c r="Z46" s="707">
        <f>U46*$Z$5</f>
        <v>1315.8390032176994</v>
      </c>
      <c r="AA46" s="706">
        <f>U46*AA5</f>
        <v>0</v>
      </c>
      <c r="AC46" s="680">
        <f>63775098/1000</f>
        <v>63775.097999999998</v>
      </c>
      <c r="AD46" s="560">
        <f t="shared" si="167"/>
        <v>49628.935219137667</v>
      </c>
      <c r="AE46" s="707">
        <f>AC46*$AE$5</f>
        <v>28179.20532400352</v>
      </c>
      <c r="AF46" s="707">
        <f>AC46*$AF$5</f>
        <v>21449.729895134147</v>
      </c>
      <c r="AG46" s="707">
        <f>AC46*$AG$5</f>
        <v>12830.323777644631</v>
      </c>
      <c r="AH46" s="707">
        <f>AC46*$AH$5</f>
        <v>1315.8390032176994</v>
      </c>
      <c r="AI46" s="706">
        <f>AC46*AI5</f>
        <v>0</v>
      </c>
      <c r="AK46" s="680">
        <f>63775099/1000</f>
        <v>63775.099000000002</v>
      </c>
      <c r="AL46" s="560">
        <f t="shared" si="172"/>
        <v>49628.935997324399</v>
      </c>
      <c r="AM46" s="707">
        <f t="shared" si="231"/>
        <v>28179.205765856317</v>
      </c>
      <c r="AN46" s="707">
        <f t="shared" si="232"/>
        <v>21449.730231468086</v>
      </c>
      <c r="AO46" s="707">
        <f t="shared" si="233"/>
        <v>12830.323978825409</v>
      </c>
      <c r="AP46" s="707">
        <f t="shared" si="234"/>
        <v>1315.8390238501884</v>
      </c>
      <c r="AQ46" s="706">
        <f>AK46*AQ5</f>
        <v>0</v>
      </c>
      <c r="AS46" s="680">
        <f>-140051834/1000</f>
        <v>-140051.834</v>
      </c>
      <c r="AT46" s="560">
        <f t="shared" si="177"/>
        <v>-108986.47928235913</v>
      </c>
      <c r="AU46" s="707">
        <f t="shared" si="235"/>
        <v>-61882.294344561531</v>
      </c>
      <c r="AV46" s="707">
        <f t="shared" si="236"/>
        <v>-47104.184937797589</v>
      </c>
      <c r="AW46" s="707">
        <f t="shared" si="237"/>
        <v>-28175.73680361791</v>
      </c>
      <c r="AX46" s="706">
        <f t="shared" si="238"/>
        <v>-2889.6179140229733</v>
      </c>
      <c r="AY46" s="706">
        <f>AS46*AY5</f>
        <v>0</v>
      </c>
      <c r="BA46" s="680"/>
      <c r="BB46" s="560">
        <f t="shared" si="182"/>
        <v>0</v>
      </c>
      <c r="BC46" s="707">
        <f t="shared" si="239"/>
        <v>0</v>
      </c>
      <c r="BD46" s="707">
        <f t="shared" si="240"/>
        <v>0</v>
      </c>
      <c r="BE46" s="707">
        <f t="shared" si="241"/>
        <v>0</v>
      </c>
      <c r="BF46" s="707">
        <f t="shared" si="242"/>
        <v>0</v>
      </c>
      <c r="BG46" s="706">
        <f>BA46*BG5</f>
        <v>0</v>
      </c>
      <c r="BI46" s="680"/>
      <c r="BJ46" s="560">
        <f t="shared" si="187"/>
        <v>0</v>
      </c>
      <c r="BK46" s="707">
        <f t="shared" si="243"/>
        <v>0</v>
      </c>
      <c r="BL46" s="707">
        <f t="shared" si="244"/>
        <v>0</v>
      </c>
      <c r="BM46" s="707">
        <f t="shared" si="245"/>
        <v>0</v>
      </c>
      <c r="BN46" s="707">
        <f t="shared" si="246"/>
        <v>0</v>
      </c>
      <c r="BO46" s="706">
        <f>BI46*BO5</f>
        <v>0</v>
      </c>
      <c r="BQ46" s="680"/>
      <c r="BR46" s="560">
        <f t="shared" si="192"/>
        <v>0</v>
      </c>
      <c r="BS46" s="707">
        <f t="shared" si="247"/>
        <v>0</v>
      </c>
      <c r="BT46" s="707">
        <f t="shared" si="248"/>
        <v>0</v>
      </c>
      <c r="BU46" s="707">
        <f t="shared" si="249"/>
        <v>0</v>
      </c>
      <c r="BV46" s="707">
        <f t="shared" si="250"/>
        <v>0</v>
      </c>
      <c r="BW46" s="706">
        <f>BQ46*BW5</f>
        <v>0</v>
      </c>
      <c r="BY46" s="680"/>
      <c r="BZ46" s="560">
        <f t="shared" si="197"/>
        <v>0</v>
      </c>
      <c r="CA46" s="707">
        <f t="shared" si="251"/>
        <v>0</v>
      </c>
      <c r="CB46" s="707">
        <f t="shared" si="252"/>
        <v>0</v>
      </c>
      <c r="CC46" s="707">
        <f t="shared" si="253"/>
        <v>0</v>
      </c>
      <c r="CD46" s="707">
        <f t="shared" si="254"/>
        <v>0</v>
      </c>
      <c r="CE46" s="706">
        <f>BY46*CE5</f>
        <v>0</v>
      </c>
      <c r="CG46" s="680"/>
      <c r="CH46" s="560">
        <f t="shared" si="202"/>
        <v>0</v>
      </c>
      <c r="CI46" s="707">
        <f t="shared" si="255"/>
        <v>0</v>
      </c>
      <c r="CJ46" s="707">
        <f t="shared" si="256"/>
        <v>0</v>
      </c>
      <c r="CK46" s="707">
        <f t="shared" si="257"/>
        <v>0</v>
      </c>
      <c r="CL46" s="707">
        <f t="shared" si="258"/>
        <v>0</v>
      </c>
      <c r="CM46" s="706">
        <f>CG46*CM5</f>
        <v>0</v>
      </c>
      <c r="CN46" s="708"/>
      <c r="CO46" s="709"/>
      <c r="CP46" s="560">
        <f t="shared" si="207"/>
        <v>0</v>
      </c>
      <c r="CQ46" s="707">
        <f t="shared" si="259"/>
        <v>0</v>
      </c>
      <c r="CR46" s="707">
        <f t="shared" si="260"/>
        <v>0</v>
      </c>
      <c r="CS46" s="707">
        <f t="shared" si="261"/>
        <v>0</v>
      </c>
      <c r="CT46" s="707">
        <f t="shared" si="262"/>
        <v>0</v>
      </c>
      <c r="CU46" s="706">
        <f>CO46*CU5</f>
        <v>0</v>
      </c>
      <c r="CV46" s="708"/>
      <c r="CW46" s="709"/>
      <c r="CX46" s="560">
        <f t="shared" si="212"/>
        <v>0</v>
      </c>
      <c r="CY46" s="707">
        <f t="shared" si="263"/>
        <v>0</v>
      </c>
      <c r="CZ46" s="707">
        <f t="shared" si="264"/>
        <v>0</v>
      </c>
      <c r="DA46" s="707">
        <f t="shared" si="265"/>
        <v>0</v>
      </c>
      <c r="DB46" s="707">
        <f t="shared" si="266"/>
        <v>0</v>
      </c>
      <c r="DC46" s="706">
        <f>CW46*DC5</f>
        <v>0</v>
      </c>
      <c r="DF46" s="688"/>
      <c r="DG46" s="688"/>
      <c r="DH46" s="688"/>
      <c r="DI46" s="688"/>
      <c r="DJ46" s="688"/>
    </row>
    <row r="47" spans="1:114" s="673" customFormat="1" ht="19.5" customHeight="1" outlineLevel="1">
      <c r="A47" s="674"/>
      <c r="B47" s="678" t="s">
        <v>35</v>
      </c>
      <c r="C47" s="671" t="s">
        <v>9</v>
      </c>
      <c r="D47" s="563">
        <v>128.84780000000001</v>
      </c>
      <c r="E47" s="560">
        <f t="shared" si="159"/>
        <v>39.867390930506666</v>
      </c>
      <c r="F47" s="563">
        <v>16.364254279270934</v>
      </c>
      <c r="G47" s="563">
        <v>23.503136651235732</v>
      </c>
      <c r="H47" s="563">
        <f t="shared" si="230"/>
        <v>78.187791216262042</v>
      </c>
      <c r="I47" s="564">
        <v>10.792617853231292</v>
      </c>
      <c r="J47" s="564"/>
      <c r="K47" s="683" t="s">
        <v>429</v>
      </c>
      <c r="M47" s="680"/>
      <c r="N47" s="560">
        <f t="shared" si="160"/>
        <v>0</v>
      </c>
      <c r="O47" s="707">
        <f>M47*O5</f>
        <v>0</v>
      </c>
      <c r="P47" s="707">
        <f>M47*P5</f>
        <v>0</v>
      </c>
      <c r="Q47" s="707">
        <f>M47*Q5</f>
        <v>0</v>
      </c>
      <c r="R47" s="707">
        <f>M47*R5</f>
        <v>0</v>
      </c>
      <c r="S47" s="707">
        <f>M47*S5</f>
        <v>0</v>
      </c>
      <c r="U47" s="680"/>
      <c r="V47" s="560">
        <f t="shared" si="162"/>
        <v>0</v>
      </c>
      <c r="W47" s="707">
        <f>U47*W5</f>
        <v>0</v>
      </c>
      <c r="X47" s="707">
        <f>U47*X5</f>
        <v>0</v>
      </c>
      <c r="Y47" s="707">
        <f>U47*Y5</f>
        <v>0</v>
      </c>
      <c r="Z47" s="707">
        <f>U47*Z5</f>
        <v>0</v>
      </c>
      <c r="AA47" s="707">
        <f>U47*AA5</f>
        <v>0</v>
      </c>
      <c r="AC47" s="680"/>
      <c r="AD47" s="560">
        <f t="shared" si="167"/>
        <v>0</v>
      </c>
      <c r="AE47" s="707">
        <f>AC47*AE5</f>
        <v>0</v>
      </c>
      <c r="AF47" s="707">
        <f>AC47*AF5</f>
        <v>0</v>
      </c>
      <c r="AG47" s="707">
        <f>AC47*AG5</f>
        <v>0</v>
      </c>
      <c r="AH47" s="707">
        <f>AC47*AH5</f>
        <v>0</v>
      </c>
      <c r="AI47" s="707">
        <f>AC47*AI5</f>
        <v>0</v>
      </c>
      <c r="AK47" s="680"/>
      <c r="AL47" s="560">
        <f t="shared" si="172"/>
        <v>0</v>
      </c>
      <c r="AM47" s="707">
        <f>AK47*AM5</f>
        <v>0</v>
      </c>
      <c r="AN47" s="707">
        <f>AK47*AN5</f>
        <v>0</v>
      </c>
      <c r="AO47" s="707">
        <f>AK47*AO5</f>
        <v>0</v>
      </c>
      <c r="AP47" s="707">
        <f>AK47*AP5</f>
        <v>0</v>
      </c>
      <c r="AQ47" s="707">
        <f>AK47*AQ5</f>
        <v>0</v>
      </c>
      <c r="AS47" s="710">
        <f>157740/1000+23371/1000-108540/1000</f>
        <v>72.571000000000012</v>
      </c>
      <c r="AT47" s="560">
        <f t="shared" si="177"/>
        <v>56.473789468548375</v>
      </c>
      <c r="AU47" s="707">
        <f>AS47*AU5</f>
        <v>32.065699210187965</v>
      </c>
      <c r="AV47" s="707">
        <f>AS47*AV5</f>
        <v>24.40809025836041</v>
      </c>
      <c r="AW47" s="707">
        <f>AS47*AW5</f>
        <v>14.599890177627774</v>
      </c>
      <c r="AX47" s="707">
        <f>AS47*AX5</f>
        <v>1.4973203538238653</v>
      </c>
      <c r="AY47" s="707">
        <f>AS47*AY5</f>
        <v>0</v>
      </c>
      <c r="BA47" s="680"/>
      <c r="BB47" s="560">
        <f t="shared" si="182"/>
        <v>0</v>
      </c>
      <c r="BC47" s="684">
        <f>BA47*$DF$47</f>
        <v>0</v>
      </c>
      <c r="BD47" s="684">
        <f>BA47*$DG$47</f>
        <v>0</v>
      </c>
      <c r="BE47" s="684">
        <f>BA47*$DH$47</f>
        <v>0</v>
      </c>
      <c r="BF47" s="684">
        <f>BA47*$DI$47</f>
        <v>0</v>
      </c>
      <c r="BG47" s="684">
        <f>BA47*$DJ$47</f>
        <v>0</v>
      </c>
      <c r="BI47" s="680"/>
      <c r="BJ47" s="560">
        <f t="shared" si="187"/>
        <v>0</v>
      </c>
      <c r="BK47" s="684">
        <f>BI47*$DF$47</f>
        <v>0</v>
      </c>
      <c r="BL47" s="684">
        <f>BI47*$DG$47</f>
        <v>0</v>
      </c>
      <c r="BM47" s="684">
        <f>BI47*$DH$47</f>
        <v>0</v>
      </c>
      <c r="BN47" s="684">
        <f>BI47*$DI$47</f>
        <v>0</v>
      </c>
      <c r="BO47" s="684">
        <f>BI47*$DJ$47</f>
        <v>0</v>
      </c>
      <c r="BQ47" s="680"/>
      <c r="BR47" s="560">
        <f t="shared" si="192"/>
        <v>0</v>
      </c>
      <c r="BS47" s="684">
        <f>BQ47*$DF$47</f>
        <v>0</v>
      </c>
      <c r="BT47" s="684">
        <f>BQ47*$DG$47</f>
        <v>0</v>
      </c>
      <c r="BU47" s="684">
        <f>BQ47*$DH$47</f>
        <v>0</v>
      </c>
      <c r="BV47" s="684">
        <f>BQ47*$DI$47</f>
        <v>0</v>
      </c>
      <c r="BW47" s="684">
        <f>BQ47*$DJ$47</f>
        <v>0</v>
      </c>
      <c r="BY47" s="680"/>
      <c r="BZ47" s="560">
        <f t="shared" si="197"/>
        <v>0</v>
      </c>
      <c r="CA47" s="684">
        <f>BY47*$DF$47</f>
        <v>0</v>
      </c>
      <c r="CB47" s="684">
        <f>BY47*$DG$47</f>
        <v>0</v>
      </c>
      <c r="CC47" s="684">
        <f>BY47*$DH$47</f>
        <v>0</v>
      </c>
      <c r="CD47" s="684">
        <f>BY47*$DI$47</f>
        <v>0</v>
      </c>
      <c r="CE47" s="684">
        <f>BY47*$DJ$47</f>
        <v>0</v>
      </c>
      <c r="CG47" s="680"/>
      <c r="CH47" s="560">
        <f t="shared" si="202"/>
        <v>0</v>
      </c>
      <c r="CI47" s="684">
        <f>CG47*$DF$47</f>
        <v>0</v>
      </c>
      <c r="CJ47" s="684">
        <f>CG47*$DG$47</f>
        <v>0</v>
      </c>
      <c r="CK47" s="684">
        <f>CG47*$DH$47</f>
        <v>0</v>
      </c>
      <c r="CL47" s="684">
        <f>CG47*$DI$47</f>
        <v>0</v>
      </c>
      <c r="CM47" s="684">
        <f>CG47*$DJ$47</f>
        <v>0</v>
      </c>
      <c r="CO47" s="680"/>
      <c r="CP47" s="560">
        <f t="shared" si="207"/>
        <v>0</v>
      </c>
      <c r="CQ47" s="684">
        <f>CO47*$DF$47</f>
        <v>0</v>
      </c>
      <c r="CR47" s="684">
        <f>CO47*$DG$47</f>
        <v>0</v>
      </c>
      <c r="CS47" s="684">
        <f>CO47*$DH$47</f>
        <v>0</v>
      </c>
      <c r="CT47" s="684">
        <f>CO47*$DI$47</f>
        <v>0</v>
      </c>
      <c r="CU47" s="684">
        <f>CO47*$DJ$47</f>
        <v>0</v>
      </c>
      <c r="CW47" s="680"/>
      <c r="CX47" s="560">
        <f t="shared" si="212"/>
        <v>0</v>
      </c>
      <c r="CY47" s="684">
        <f>CW47*$DF$47</f>
        <v>0</v>
      </c>
      <c r="CZ47" s="684">
        <f>CW47*$DG$47</f>
        <v>0</v>
      </c>
      <c r="DA47" s="684">
        <f>CW47*$DH$47</f>
        <v>0</v>
      </c>
      <c r="DB47" s="684">
        <f>CW47*$DI$47</f>
        <v>0</v>
      </c>
      <c r="DC47" s="684">
        <f>CW47*$DJ$47</f>
        <v>0</v>
      </c>
      <c r="DF47" s="685">
        <f>F47/$D$47</f>
        <v>0.12700452999019721</v>
      </c>
      <c r="DG47" s="685">
        <f>G47/$D$47</f>
        <v>0.18241007336745937</v>
      </c>
      <c r="DH47" s="685">
        <f>H47/$D$47</f>
        <v>0.60682286555348275</v>
      </c>
      <c r="DI47" s="685">
        <f>I47/$D$47</f>
        <v>8.3762531088860587E-2</v>
      </c>
      <c r="DJ47" s="685">
        <f>J47/$D$47</f>
        <v>0</v>
      </c>
    </row>
    <row r="48" spans="1:114" s="673" customFormat="1" ht="19.5" customHeight="1" outlineLevel="1">
      <c r="A48" s="674"/>
      <c r="B48" s="678" t="s">
        <v>36</v>
      </c>
      <c r="C48" s="671"/>
      <c r="D48" s="563">
        <v>4655.3017241677635</v>
      </c>
      <c r="E48" s="560">
        <f t="shared" si="159"/>
        <v>1115.0891399064469</v>
      </c>
      <c r="F48" s="563">
        <v>442.85286298169564</v>
      </c>
      <c r="G48" s="563">
        <v>672.23627692475134</v>
      </c>
      <c r="H48" s="563">
        <f t="shared" si="230"/>
        <v>3538.2479195718274</v>
      </c>
      <c r="I48" s="564">
        <v>1.9646646894892064</v>
      </c>
      <c r="J48" s="564"/>
      <c r="K48" s="683" t="s">
        <v>429</v>
      </c>
      <c r="M48" s="680">
        <f>41731/1000</f>
        <v>41.731000000000002</v>
      </c>
      <c r="N48" s="560">
        <f t="shared" si="160"/>
        <v>32.474510593928592</v>
      </c>
      <c r="O48" s="707">
        <f>M48*O5</f>
        <v>18.438959002085596</v>
      </c>
      <c r="P48" s="707">
        <f>M48*P5</f>
        <v>14.035551591842998</v>
      </c>
      <c r="Q48" s="707">
        <f>M48*Q5</f>
        <v>8.3954750107148115</v>
      </c>
      <c r="R48" s="707">
        <f>M48*R5</f>
        <v>0.86101439535659852</v>
      </c>
      <c r="S48" s="707">
        <f>M48*S5</f>
        <v>0</v>
      </c>
      <c r="U48" s="680">
        <f>212772/1000</f>
        <v>212.77199999999999</v>
      </c>
      <c r="V48" s="560">
        <f t="shared" si="162"/>
        <v>165.57634775326193</v>
      </c>
      <c r="W48" s="707">
        <f>U48*W5</f>
        <v>94.013902968818286</v>
      </c>
      <c r="X48" s="707">
        <f>U48*X5</f>
        <v>71.562444784443656</v>
      </c>
      <c r="Y48" s="707">
        <f>U48*Y5</f>
        <v>42.805636313048133</v>
      </c>
      <c r="Z48" s="707">
        <f>U48*Z5</f>
        <v>4.3900159336899227</v>
      </c>
      <c r="AA48" s="707">
        <f>U48*AA5</f>
        <v>0</v>
      </c>
      <c r="AC48" s="680"/>
      <c r="AD48" s="560">
        <f t="shared" si="167"/>
        <v>0</v>
      </c>
      <c r="AE48" s="707">
        <f>AC48*AE5</f>
        <v>0</v>
      </c>
      <c r="AF48" s="707">
        <f>AC48*AF5</f>
        <v>0</v>
      </c>
      <c r="AG48" s="707">
        <f>AC48*AG5</f>
        <v>0</v>
      </c>
      <c r="AH48" s="707">
        <f>AC48*AH5</f>
        <v>0</v>
      </c>
      <c r="AI48" s="707">
        <f>AC48*AI5</f>
        <v>0</v>
      </c>
      <c r="AK48" s="680"/>
      <c r="AL48" s="560">
        <f t="shared" si="172"/>
        <v>0</v>
      </c>
      <c r="AM48" s="707">
        <f>AK48*AM5</f>
        <v>0</v>
      </c>
      <c r="AN48" s="707">
        <f>AK48*AN5</f>
        <v>0</v>
      </c>
      <c r="AO48" s="707">
        <f>AK48*AO5</f>
        <v>0</v>
      </c>
      <c r="AP48" s="707">
        <f>AK48*AP5</f>
        <v>0</v>
      </c>
      <c r="AQ48" s="707">
        <f>AK48*AQ5</f>
        <v>0</v>
      </c>
      <c r="AS48" s="680">
        <f>435359/1000</f>
        <v>435.35899999999998</v>
      </c>
      <c r="AT48" s="560">
        <f t="shared" si="177"/>
        <v>338.79059830011636</v>
      </c>
      <c r="AU48" s="707">
        <f>AS48*AU5</f>
        <v>192.36459112384034</v>
      </c>
      <c r="AV48" s="707">
        <f>AS48*AV5</f>
        <v>146.42600717627602</v>
      </c>
      <c r="AW48" s="707">
        <f>AS48*AW5</f>
        <v>87.585861953698426</v>
      </c>
      <c r="AX48" s="707">
        <f>AS48*AX5</f>
        <v>8.9825397461851697</v>
      </c>
      <c r="AY48" s="707">
        <f>AS48*AY5</f>
        <v>0</v>
      </c>
      <c r="BA48" s="680"/>
      <c r="BB48" s="560">
        <f t="shared" si="182"/>
        <v>0</v>
      </c>
      <c r="BC48" s="684">
        <f>BA48*$DF$48</f>
        <v>0</v>
      </c>
      <c r="BD48" s="684">
        <f>BA48*$DG$48</f>
        <v>0</v>
      </c>
      <c r="BE48" s="684">
        <f>BA48*$DH$48</f>
        <v>0</v>
      </c>
      <c r="BF48" s="684">
        <f>BA48*$DI$48</f>
        <v>0</v>
      </c>
      <c r="BG48" s="684">
        <f>BA48*$DJ$48</f>
        <v>0</v>
      </c>
      <c r="BI48" s="680"/>
      <c r="BJ48" s="560">
        <f t="shared" si="187"/>
        <v>0</v>
      </c>
      <c r="BK48" s="684">
        <f>BI48*$DF$48</f>
        <v>0</v>
      </c>
      <c r="BL48" s="684">
        <f>BI48*$DG$48</f>
        <v>0</v>
      </c>
      <c r="BM48" s="684">
        <f>BI48*$DH$48</f>
        <v>0</v>
      </c>
      <c r="BN48" s="684">
        <f>BI48*$DI$48</f>
        <v>0</v>
      </c>
      <c r="BO48" s="684">
        <f>BI48*$DJ$48</f>
        <v>0</v>
      </c>
      <c r="BQ48" s="680"/>
      <c r="BR48" s="560">
        <f t="shared" si="192"/>
        <v>0</v>
      </c>
      <c r="BS48" s="684">
        <f>BQ48*$DF$48</f>
        <v>0</v>
      </c>
      <c r="BT48" s="684">
        <f>BQ48*$DG$48</f>
        <v>0</v>
      </c>
      <c r="BU48" s="684">
        <f>BQ48*$DH$48</f>
        <v>0</v>
      </c>
      <c r="BV48" s="684">
        <f>BQ48*$DI$48</f>
        <v>0</v>
      </c>
      <c r="BW48" s="684">
        <f>BQ48*$DJ$48</f>
        <v>0</v>
      </c>
      <c r="BY48" s="680"/>
      <c r="BZ48" s="560">
        <f t="shared" si="197"/>
        <v>0</v>
      </c>
      <c r="CA48" s="684">
        <f>BY48*$DF$48</f>
        <v>0</v>
      </c>
      <c r="CB48" s="684">
        <f>BY48*$DG$48</f>
        <v>0</v>
      </c>
      <c r="CC48" s="684">
        <f>BY48*$DH$48</f>
        <v>0</v>
      </c>
      <c r="CD48" s="684">
        <f>BY48*$DI$48</f>
        <v>0</v>
      </c>
      <c r="CE48" s="684">
        <f>BY48*$DJ$48</f>
        <v>0</v>
      </c>
      <c r="CG48" s="680"/>
      <c r="CH48" s="560">
        <f t="shared" si="202"/>
        <v>0</v>
      </c>
      <c r="CI48" s="684">
        <f>CG48*$DF$48</f>
        <v>0</v>
      </c>
      <c r="CJ48" s="684">
        <f>CG48*$DG$48</f>
        <v>0</v>
      </c>
      <c r="CK48" s="684">
        <f>CG48*$DH$48</f>
        <v>0</v>
      </c>
      <c r="CL48" s="684">
        <f>CG48*$DI$48</f>
        <v>0</v>
      </c>
      <c r="CM48" s="684">
        <f>CG48*$DJ$48</f>
        <v>0</v>
      </c>
      <c r="CO48" s="680"/>
      <c r="CP48" s="560">
        <f t="shared" si="207"/>
        <v>0</v>
      </c>
      <c r="CQ48" s="684">
        <f>CO48*$DF$48</f>
        <v>0</v>
      </c>
      <c r="CR48" s="684">
        <f>CO48*$DG$48</f>
        <v>0</v>
      </c>
      <c r="CS48" s="684">
        <f>CO48*$DH$48</f>
        <v>0</v>
      </c>
      <c r="CT48" s="684">
        <f>CO48*$DI$48</f>
        <v>0</v>
      </c>
      <c r="CU48" s="684">
        <f>CO48*$DJ$48</f>
        <v>0</v>
      </c>
      <c r="CW48" s="680"/>
      <c r="CX48" s="560">
        <f t="shared" si="212"/>
        <v>0</v>
      </c>
      <c r="CY48" s="684">
        <f>CW48*$DF$48</f>
        <v>0</v>
      </c>
      <c r="CZ48" s="684">
        <f>CW48*$DG$48</f>
        <v>0</v>
      </c>
      <c r="DA48" s="684">
        <f>CW48*$DH$48</f>
        <v>0</v>
      </c>
      <c r="DB48" s="684">
        <f>CW48*$DI$48</f>
        <v>0</v>
      </c>
      <c r="DC48" s="684">
        <f>CW48*$DJ$48</f>
        <v>0</v>
      </c>
      <c r="DF48" s="685">
        <f>F48/$D$48</f>
        <v>9.5128713286755914E-2</v>
      </c>
      <c r="DG48" s="685">
        <f>G48/$D$48</f>
        <v>0.14440230016346109</v>
      </c>
      <c r="DH48" s="685">
        <f>H48/$D$48</f>
        <v>0.76004695919132204</v>
      </c>
      <c r="DI48" s="685">
        <f>I48/$D$48</f>
        <v>4.220273584609455E-4</v>
      </c>
      <c r="DJ48" s="685">
        <f>J48/$D$48</f>
        <v>0</v>
      </c>
    </row>
    <row r="49" spans="1:119" s="673" customFormat="1" ht="38.25" customHeight="1" outlineLevel="1">
      <c r="A49" s="674"/>
      <c r="B49" s="678" t="s">
        <v>37</v>
      </c>
      <c r="C49" s="671"/>
      <c r="D49" s="563">
        <v>158.83000000000001</v>
      </c>
      <c r="E49" s="560">
        <f t="shared" si="159"/>
        <v>35.411537585612137</v>
      </c>
      <c r="F49" s="563">
        <v>14.885226662727124</v>
      </c>
      <c r="G49" s="563">
        <v>20.526310922885013</v>
      </c>
      <c r="H49" s="563">
        <f t="shared" si="230"/>
        <v>117.29833205591419</v>
      </c>
      <c r="I49" s="563">
        <v>6.1201303584736877</v>
      </c>
      <c r="J49" s="563"/>
      <c r="K49" s="679" t="s">
        <v>184</v>
      </c>
      <c r="M49" s="680"/>
      <c r="N49" s="560">
        <f t="shared" si="160"/>
        <v>0</v>
      </c>
      <c r="O49" s="681">
        <f>$M$49*$O$3</f>
        <v>0</v>
      </c>
      <c r="P49" s="681">
        <f>$M$49*$P$3</f>
        <v>0</v>
      </c>
      <c r="Q49" s="681">
        <f>$M$49*$Q$3</f>
        <v>0</v>
      </c>
      <c r="R49" s="681">
        <f>$M$49*$R$3</f>
        <v>0</v>
      </c>
      <c r="S49" s="681">
        <f>$M$16*$S$3</f>
        <v>0</v>
      </c>
      <c r="U49" s="680"/>
      <c r="V49" s="560">
        <f t="shared" si="162"/>
        <v>0</v>
      </c>
      <c r="W49" s="681">
        <f>U49*$W$3</f>
        <v>0</v>
      </c>
      <c r="X49" s="681">
        <f>U49*$X$3</f>
        <v>0</v>
      </c>
      <c r="Y49" s="681">
        <f>U49*$Y$3</f>
        <v>0</v>
      </c>
      <c r="Z49" s="681">
        <f>U49*$Z$3</f>
        <v>0</v>
      </c>
      <c r="AA49" s="681">
        <f>U49*AA3</f>
        <v>0</v>
      </c>
      <c r="AC49" s="680"/>
      <c r="AD49" s="560">
        <f t="shared" si="167"/>
        <v>0</v>
      </c>
      <c r="AE49" s="681">
        <f t="shared" ref="AE49" si="267">AC49*$AE$3</f>
        <v>0</v>
      </c>
      <c r="AF49" s="681">
        <f t="shared" ref="AF49" si="268">AC49*$AF$3</f>
        <v>0</v>
      </c>
      <c r="AG49" s="681">
        <f t="shared" ref="AG49" si="269">AC49*$AG$3</f>
        <v>0</v>
      </c>
      <c r="AH49" s="681">
        <f t="shared" ref="AH49" si="270">AC49*$AH$3</f>
        <v>0</v>
      </c>
      <c r="AI49" s="681">
        <f>AC49*AI3</f>
        <v>0</v>
      </c>
      <c r="AK49" s="680"/>
      <c r="AL49" s="560">
        <f t="shared" si="172"/>
        <v>0</v>
      </c>
      <c r="AM49" s="681">
        <f>AK49*$AM$3</f>
        <v>0</v>
      </c>
      <c r="AN49" s="681">
        <f>AK49*$AN$3</f>
        <v>0</v>
      </c>
      <c r="AO49" s="681">
        <f>AK49*$AO$3</f>
        <v>0</v>
      </c>
      <c r="AP49" s="681">
        <f>AK49*$AP$3</f>
        <v>0</v>
      </c>
      <c r="AQ49" s="681">
        <f>AK49*AQ3</f>
        <v>0</v>
      </c>
      <c r="AS49" s="680"/>
      <c r="AT49" s="560">
        <f t="shared" si="177"/>
        <v>0</v>
      </c>
      <c r="AU49" s="681">
        <f>AS49*$AU$3</f>
        <v>0</v>
      </c>
      <c r="AV49" s="681">
        <f>AS49*$AV$3</f>
        <v>0</v>
      </c>
      <c r="AW49" s="681">
        <f>AS49*$AW$3</f>
        <v>0</v>
      </c>
      <c r="AX49" s="681">
        <f>AS49*$AX$3</f>
        <v>0</v>
      </c>
      <c r="AY49" s="681">
        <f>AS49*AY3</f>
        <v>0</v>
      </c>
      <c r="BA49" s="680"/>
      <c r="BB49" s="560">
        <f t="shared" si="182"/>
        <v>0</v>
      </c>
      <c r="BC49" s="681">
        <f t="shared" ref="BC49" si="271">BA49*$BC$3</f>
        <v>0</v>
      </c>
      <c r="BD49" s="681">
        <f t="shared" ref="BD49" si="272">BA49*$BD$3</f>
        <v>0</v>
      </c>
      <c r="BE49" s="681">
        <f t="shared" ref="BE49" si="273">BA49*$BE$3</f>
        <v>0</v>
      </c>
      <c r="BF49" s="681">
        <f t="shared" ref="BF49" si="274">BA49*$BF$3</f>
        <v>0</v>
      </c>
      <c r="BG49" s="681">
        <f>BA49*BG3</f>
        <v>0</v>
      </c>
      <c r="BI49" s="680"/>
      <c r="BJ49" s="560">
        <f t="shared" si="187"/>
        <v>0</v>
      </c>
      <c r="BK49" s="681">
        <f t="shared" ref="BK49" si="275">BI49*$BK$3</f>
        <v>0</v>
      </c>
      <c r="BL49" s="681">
        <f t="shared" ref="BL49" si="276">BI49*$BL$3</f>
        <v>0</v>
      </c>
      <c r="BM49" s="681">
        <f t="shared" ref="BM49" si="277">BI49*$BM$3</f>
        <v>0</v>
      </c>
      <c r="BN49" s="681">
        <f t="shared" ref="BN49" si="278">BI49*$BN$3</f>
        <v>0</v>
      </c>
      <c r="BO49" s="681">
        <f>BI49*BO3</f>
        <v>0</v>
      </c>
      <c r="BQ49" s="680"/>
      <c r="BR49" s="560">
        <f t="shared" si="192"/>
        <v>0</v>
      </c>
      <c r="BS49" s="681">
        <f t="shared" ref="BS49" si="279">BQ49*$BS$3</f>
        <v>0</v>
      </c>
      <c r="BT49" s="681">
        <f t="shared" ref="BT49" si="280">BQ49*$BT$3</f>
        <v>0</v>
      </c>
      <c r="BU49" s="681">
        <f t="shared" ref="BU49" si="281">BQ49*$BU$3</f>
        <v>0</v>
      </c>
      <c r="BV49" s="681">
        <f t="shared" ref="BV49" si="282">BQ49*$BV$3</f>
        <v>0</v>
      </c>
      <c r="BW49" s="681">
        <f>BQ49*BW3</f>
        <v>0</v>
      </c>
      <c r="BY49" s="680"/>
      <c r="BZ49" s="560">
        <f t="shared" si="197"/>
        <v>0</v>
      </c>
      <c r="CA49" s="681">
        <f t="shared" ref="CA49" si="283">BY49*$CA$3</f>
        <v>0</v>
      </c>
      <c r="CB49" s="681">
        <f t="shared" ref="CB49" si="284">BY49*$CB$3</f>
        <v>0</v>
      </c>
      <c r="CC49" s="681">
        <f t="shared" ref="CC49" si="285">BY49*$CC$3</f>
        <v>0</v>
      </c>
      <c r="CD49" s="681">
        <f t="shared" ref="CD49" si="286">BY49*$CD$3</f>
        <v>0</v>
      </c>
      <c r="CE49" s="681">
        <f>BY49*CE3</f>
        <v>0</v>
      </c>
      <c r="CG49" s="680"/>
      <c r="CH49" s="560">
        <f t="shared" si="202"/>
        <v>0</v>
      </c>
      <c r="CI49" s="681">
        <f>CG49*$CI$3</f>
        <v>0</v>
      </c>
      <c r="CJ49" s="681">
        <f>CG49*$CJ$3</f>
        <v>0</v>
      </c>
      <c r="CK49" s="681">
        <f>CG49*$CK$3</f>
        <v>0</v>
      </c>
      <c r="CL49" s="681">
        <f>CG49*$CL$3</f>
        <v>0</v>
      </c>
      <c r="CM49" s="681">
        <f>CG49*CM3</f>
        <v>0</v>
      </c>
      <c r="CN49" s="708"/>
      <c r="CO49" s="680"/>
      <c r="CP49" s="560">
        <f t="shared" si="207"/>
        <v>0</v>
      </c>
      <c r="CQ49" s="681">
        <f>CO49*$CQ$3</f>
        <v>0</v>
      </c>
      <c r="CR49" s="681">
        <f>CO49*$CR$3</f>
        <v>0</v>
      </c>
      <c r="CS49" s="681">
        <f>CO49*$CS$3</f>
        <v>0</v>
      </c>
      <c r="CT49" s="681">
        <f>CO49*$CT$3</f>
        <v>0</v>
      </c>
      <c r="CU49" s="681">
        <f>CO49*CU3</f>
        <v>0</v>
      </c>
      <c r="CV49" s="708"/>
      <c r="CW49" s="680"/>
      <c r="CX49" s="560">
        <f t="shared" si="212"/>
        <v>0</v>
      </c>
      <c r="CY49" s="681">
        <f>CW49*$CY$3</f>
        <v>0</v>
      </c>
      <c r="CZ49" s="681">
        <f>CW49*$CZ$3</f>
        <v>0</v>
      </c>
      <c r="DA49" s="681">
        <f>CW49*$DA$3</f>
        <v>0</v>
      </c>
      <c r="DB49" s="681">
        <f>CW49*$DB$3</f>
        <v>0</v>
      </c>
      <c r="DC49" s="681">
        <f>CW49*DC3</f>
        <v>0</v>
      </c>
      <c r="DF49" s="688"/>
      <c r="DG49" s="688"/>
      <c r="DH49" s="688"/>
      <c r="DI49" s="688"/>
      <c r="DJ49" s="688"/>
      <c r="DN49" s="711">
        <v>37785252.140000001</v>
      </c>
      <c r="DO49" s="673" t="s">
        <v>447</v>
      </c>
    </row>
    <row r="50" spans="1:119" s="673" customFormat="1" ht="25.5" customHeight="1">
      <c r="A50" s="674" t="s">
        <v>38</v>
      </c>
      <c r="B50" s="675" t="s">
        <v>448</v>
      </c>
      <c r="C50" s="671" t="s">
        <v>9</v>
      </c>
      <c r="D50" s="566">
        <v>432737.40652417857</v>
      </c>
      <c r="E50" s="557">
        <f t="shared" si="159"/>
        <v>41390.153219189204</v>
      </c>
      <c r="F50" s="697">
        <f>SUM(F51:F71)</f>
        <v>17234.586146861951</v>
      </c>
      <c r="G50" s="697">
        <f>SUM(G51:G71)</f>
        <v>24155.567072327249</v>
      </c>
      <c r="H50" s="566">
        <f t="shared" si="230"/>
        <v>383258.20269459306</v>
      </c>
      <c r="I50" s="697">
        <f>SUM(I51:I71)</f>
        <v>8089.0506103963353</v>
      </c>
      <c r="J50" s="697">
        <f>SUM(J51:J71)</f>
        <v>0</v>
      </c>
      <c r="K50" s="698"/>
      <c r="M50" s="566">
        <f>O50+P50+Q50+R50+S50</f>
        <v>25278.001059999999</v>
      </c>
      <c r="N50" s="557">
        <f t="shared" si="160"/>
        <v>1369.4629286003624</v>
      </c>
      <c r="O50" s="697">
        <f>SUM(O51:O71)</f>
        <v>575.65323304969706</v>
      </c>
      <c r="P50" s="697">
        <f>SUM(P51:P71)</f>
        <v>793.80969555066542</v>
      </c>
      <c r="Q50" s="697">
        <f>SUM(Q51:Q71)</f>
        <v>23499.117335003837</v>
      </c>
      <c r="R50" s="697">
        <f>SUM(R51:R71)</f>
        <v>409.42079639580101</v>
      </c>
      <c r="S50" s="697">
        <f>SUM(S51:S71)</f>
        <v>0</v>
      </c>
      <c r="U50" s="566">
        <f>W50+X50+Y50+Z50+AA50</f>
        <v>24972.05816</v>
      </c>
      <c r="V50" s="557">
        <f t="shared" si="162"/>
        <v>1422.9466751931841</v>
      </c>
      <c r="W50" s="697">
        <f>SUM(W51:W71)</f>
        <v>598.59614057676197</v>
      </c>
      <c r="X50" s="697">
        <f>SUM(X51:X71)</f>
        <v>824.35053461642212</v>
      </c>
      <c r="Y50" s="697">
        <f>SUM(Y51:Y71)</f>
        <v>23124.552834169423</v>
      </c>
      <c r="Z50" s="697">
        <f>SUM(Z51:Z71)</f>
        <v>424.55865063739577</v>
      </c>
      <c r="AA50" s="697">
        <f>SUM(AA51:AA71)</f>
        <v>0</v>
      </c>
      <c r="AC50" s="566">
        <f>AE50+AF50+AG50+AH50+AI50</f>
        <v>25149.072889999999</v>
      </c>
      <c r="AD50" s="557">
        <f t="shared" si="167"/>
        <v>1579.5411209720885</v>
      </c>
      <c r="AE50" s="697">
        <f>SUM(AE51:AE71)</f>
        <v>670.97704690583748</v>
      </c>
      <c r="AF50" s="697">
        <f>SUM(AF51:AF71)</f>
        <v>908.56407406625101</v>
      </c>
      <c r="AG50" s="697">
        <f>SUM(AG51:AG71)</f>
        <v>23110.271842952658</v>
      </c>
      <c r="AH50" s="697">
        <f>SUM(AH51:AH71)</f>
        <v>459.25992607525228</v>
      </c>
      <c r="AI50" s="697">
        <f>SUM(AI51:AI71)</f>
        <v>0</v>
      </c>
      <c r="AK50" s="566">
        <f>AM50+AN50+AO50+AP50+AQ50</f>
        <v>27936.870549999996</v>
      </c>
      <c r="AL50" s="557">
        <f t="shared" si="172"/>
        <v>1323.8468328672805</v>
      </c>
      <c r="AM50" s="697">
        <f>SUM(AM51:AM71)</f>
        <v>556.478524162403</v>
      </c>
      <c r="AN50" s="697">
        <f>SUM(AN51:AN71)</f>
        <v>767.36830870487745</v>
      </c>
      <c r="AO50" s="697">
        <f>SUM(AO51:AO71)</f>
        <v>26199.534963879065</v>
      </c>
      <c r="AP50" s="697">
        <f>SUM(AP51:AP71)</f>
        <v>413.48875325365356</v>
      </c>
      <c r="AQ50" s="697">
        <f>SUM(AQ51:AQ71)</f>
        <v>0</v>
      </c>
      <c r="AS50" s="566">
        <f>AU50+AV50+AW50+AX50+AY50</f>
        <v>103056.09941</v>
      </c>
      <c r="AT50" s="557">
        <f t="shared" si="177"/>
        <v>18119.251786557386</v>
      </c>
      <c r="AU50" s="697">
        <f>SUM(AU51:AU71)</f>
        <v>7615.8349104008739</v>
      </c>
      <c r="AV50" s="697">
        <f>SUM(AV51:AV71)</f>
        <v>10503.416876156512</v>
      </c>
      <c r="AW50" s="697">
        <f>SUM(AW51:AW71)</f>
        <v>79446.205038098909</v>
      </c>
      <c r="AX50" s="697">
        <f>SUM(AX51:AX71)</f>
        <v>5490.6425853436958</v>
      </c>
      <c r="AY50" s="697">
        <f>SUM(AY51:AY71)</f>
        <v>0</v>
      </c>
      <c r="BA50" s="566">
        <f>BC50+BD50+BE50+BF50+BG50</f>
        <v>0</v>
      </c>
      <c r="BB50" s="557">
        <f t="shared" si="182"/>
        <v>0</v>
      </c>
      <c r="BC50" s="697">
        <f>SUM(BC51:BC71)</f>
        <v>0</v>
      </c>
      <c r="BD50" s="697">
        <f>SUM(BD51:BD71)</f>
        <v>0</v>
      </c>
      <c r="BE50" s="697">
        <f>SUM(BE51:BE71)</f>
        <v>0</v>
      </c>
      <c r="BF50" s="697">
        <f>SUM(BF51:BF71)</f>
        <v>0</v>
      </c>
      <c r="BG50" s="697">
        <f>SUM(BG51:BG71)</f>
        <v>0</v>
      </c>
      <c r="BI50" s="566">
        <f>BK50+BL50+BM50+BN50+BO50</f>
        <v>0</v>
      </c>
      <c r="BJ50" s="557">
        <f t="shared" si="187"/>
        <v>0</v>
      </c>
      <c r="BK50" s="697">
        <f>SUM(BK51:BK71)</f>
        <v>0</v>
      </c>
      <c r="BL50" s="697">
        <f>SUM(BL51:BL71)</f>
        <v>0</v>
      </c>
      <c r="BM50" s="697">
        <f>SUM(BM51:BM71)</f>
        <v>0</v>
      </c>
      <c r="BN50" s="697">
        <f>SUM(BN51:BN71)</f>
        <v>0</v>
      </c>
      <c r="BO50" s="697">
        <f>SUM(BO51:BO71)</f>
        <v>0</v>
      </c>
      <c r="BQ50" s="566">
        <f>BS50+BT50+BU50+BV50+BW50</f>
        <v>0</v>
      </c>
      <c r="BR50" s="557">
        <f t="shared" si="192"/>
        <v>0</v>
      </c>
      <c r="BS50" s="697">
        <f>SUM(BS51:BS71)</f>
        <v>0</v>
      </c>
      <c r="BT50" s="697">
        <f>SUM(BT51:BT71)</f>
        <v>0</v>
      </c>
      <c r="BU50" s="697">
        <f>SUM(BU51:BU71)</f>
        <v>0</v>
      </c>
      <c r="BV50" s="697">
        <f>SUM(BV51:BV71)</f>
        <v>0</v>
      </c>
      <c r="BW50" s="697">
        <f>SUM(BW51:BW71)</f>
        <v>0</v>
      </c>
      <c r="BY50" s="566">
        <f>CA50+CB50+CC50+CD50+CE50</f>
        <v>0</v>
      </c>
      <c r="BZ50" s="557">
        <f t="shared" si="197"/>
        <v>0</v>
      </c>
      <c r="CA50" s="697">
        <f>SUM(CA51:CA71)</f>
        <v>0</v>
      </c>
      <c r="CB50" s="697">
        <f>SUM(CB51:CB71)</f>
        <v>0</v>
      </c>
      <c r="CC50" s="697">
        <f>SUM(CC51:CC71)</f>
        <v>0</v>
      </c>
      <c r="CD50" s="697">
        <f>SUM(CD51:CD71)</f>
        <v>0</v>
      </c>
      <c r="CE50" s="697">
        <f>SUM(CE51:CE71)</f>
        <v>0</v>
      </c>
      <c r="CG50" s="566">
        <f>CI50+CJ50+CK50+CL50+CM50</f>
        <v>0</v>
      </c>
      <c r="CH50" s="557">
        <f t="shared" si="202"/>
        <v>0</v>
      </c>
      <c r="CI50" s="697">
        <f>SUM(CI51:CI71)</f>
        <v>0</v>
      </c>
      <c r="CJ50" s="697">
        <f>SUM(CJ51:CJ71)</f>
        <v>0</v>
      </c>
      <c r="CK50" s="697">
        <f>SUM(CK51:CK71)</f>
        <v>0</v>
      </c>
      <c r="CL50" s="697">
        <f>SUM(CL51:CL71)</f>
        <v>0</v>
      </c>
      <c r="CM50" s="697">
        <f>SUM(CM51:CM71)</f>
        <v>0</v>
      </c>
      <c r="CO50" s="566">
        <f>CQ50+CR50+CS50+CT50+CU50</f>
        <v>0</v>
      </c>
      <c r="CP50" s="557">
        <f t="shared" si="207"/>
        <v>0</v>
      </c>
      <c r="CQ50" s="697">
        <f>SUM(CQ51:CQ71)</f>
        <v>0</v>
      </c>
      <c r="CR50" s="697">
        <f>SUM(CR51:CR71)</f>
        <v>0</v>
      </c>
      <c r="CS50" s="697">
        <f>SUM(CS51:CS71)</f>
        <v>0</v>
      </c>
      <c r="CT50" s="697">
        <f>SUM(CT51:CT71)</f>
        <v>0</v>
      </c>
      <c r="CU50" s="697">
        <f>SUM(CU51:CU71)</f>
        <v>0</v>
      </c>
      <c r="CW50" s="566">
        <f>CY50+CZ50+DA50+DB50+DC50</f>
        <v>0</v>
      </c>
      <c r="CX50" s="557">
        <f t="shared" si="212"/>
        <v>0</v>
      </c>
      <c r="CY50" s="697">
        <f>SUM(CY51:CY71)</f>
        <v>0</v>
      </c>
      <c r="CZ50" s="697">
        <f>SUM(CZ51:CZ71)</f>
        <v>0</v>
      </c>
      <c r="DA50" s="697">
        <f>SUM(DA51:DA71)</f>
        <v>0</v>
      </c>
      <c r="DB50" s="697">
        <f>SUM(DB51:DB71)</f>
        <v>0</v>
      </c>
      <c r="DC50" s="697">
        <f>SUM(DC51:DC71)</f>
        <v>0</v>
      </c>
      <c r="DF50" s="688"/>
      <c r="DG50" s="688"/>
      <c r="DH50" s="688"/>
      <c r="DI50" s="688"/>
      <c r="DJ50" s="688"/>
      <c r="DN50" s="711">
        <v>35584196.43</v>
      </c>
      <c r="DO50" s="673" t="s">
        <v>447</v>
      </c>
    </row>
    <row r="51" spans="1:119" s="673" customFormat="1" ht="22.5" customHeight="1" outlineLevel="1">
      <c r="A51" s="690"/>
      <c r="B51" s="678" t="s">
        <v>149</v>
      </c>
      <c r="C51" s="671" t="s">
        <v>9</v>
      </c>
      <c r="D51" s="563">
        <v>5683.5645714285711</v>
      </c>
      <c r="E51" s="560">
        <f t="shared" si="159"/>
        <v>1267.1646442195829</v>
      </c>
      <c r="F51" s="564">
        <v>532.65218723137843</v>
      </c>
      <c r="G51" s="564">
        <v>734.51245698820458</v>
      </c>
      <c r="H51" s="563">
        <f t="shared" si="230"/>
        <v>4197.3974964468807</v>
      </c>
      <c r="I51" s="564">
        <v>219.00243076210722</v>
      </c>
      <c r="J51" s="564"/>
      <c r="K51" s="679" t="s">
        <v>184</v>
      </c>
      <c r="M51" s="680"/>
      <c r="N51" s="560">
        <f t="shared" si="160"/>
        <v>0</v>
      </c>
      <c r="O51" s="681">
        <f>$M$51*$O$3</f>
        <v>0</v>
      </c>
      <c r="P51" s="681">
        <f>$M$51*$P$3</f>
        <v>0</v>
      </c>
      <c r="Q51" s="681">
        <f>$M$51*$Q$3</f>
        <v>0</v>
      </c>
      <c r="R51" s="681">
        <f>$M$51*$R$3</f>
        <v>0</v>
      </c>
      <c r="S51" s="681">
        <f>$M$16*$S$3</f>
        <v>0</v>
      </c>
      <c r="U51" s="680">
        <f>379464.27/1000</f>
        <v>379.46427</v>
      </c>
      <c r="V51" s="560">
        <f t="shared" si="162"/>
        <v>84.602488569551554</v>
      </c>
      <c r="W51" s="681">
        <f>U51*$W$3</f>
        <v>35.562624626054806</v>
      </c>
      <c r="X51" s="681">
        <f>U51*$X$3</f>
        <v>49.039863943496741</v>
      </c>
      <c r="Y51" s="681">
        <f>U51*$Y$3</f>
        <v>269.56864094170686</v>
      </c>
      <c r="Z51" s="681">
        <f>U51*$Z$3</f>
        <v>25.293140488741582</v>
      </c>
      <c r="AA51" s="681">
        <f>U51*AA3</f>
        <v>0</v>
      </c>
      <c r="AC51" s="680">
        <f>782788/1000</f>
        <v>782.78800000000001</v>
      </c>
      <c r="AD51" s="560">
        <f t="shared" si="167"/>
        <v>174.52450219458638</v>
      </c>
      <c r="AE51" s="681">
        <f t="shared" ref="AE51" si="287">AC51*$AE$3</f>
        <v>73.361309632077322</v>
      </c>
      <c r="AF51" s="681">
        <f t="shared" ref="AF51" si="288">AC51*$AF$3</f>
        <v>101.16319256250905</v>
      </c>
      <c r="AG51" s="681">
        <f t="shared" ref="AG51" si="289">AC51*$AG$3</f>
        <v>556.08686769238341</v>
      </c>
      <c r="AH51" s="681">
        <f t="shared" ref="AH51" si="290">AC51*$AH$3</f>
        <v>52.176630113030264</v>
      </c>
      <c r="AI51" s="681">
        <f>AC51*AI3</f>
        <v>0</v>
      </c>
      <c r="AK51" s="680"/>
      <c r="AL51" s="560">
        <f t="shared" si="172"/>
        <v>0</v>
      </c>
      <c r="AM51" s="681">
        <f>AK51*$AM$3</f>
        <v>0</v>
      </c>
      <c r="AN51" s="681">
        <f>AK51*$AN$3</f>
        <v>0</v>
      </c>
      <c r="AO51" s="681">
        <f>AK51*$AO$3</f>
        <v>0</v>
      </c>
      <c r="AP51" s="681">
        <f>AK51*$AP$3</f>
        <v>0</v>
      </c>
      <c r="AQ51" s="681">
        <f>AK51*AQ3</f>
        <v>0</v>
      </c>
      <c r="AS51" s="680">
        <f>35584196.43/1000+379464/1000+950000/1000+37785282.14/1000+83150/1000</f>
        <v>74782.092569999993</v>
      </c>
      <c r="AT51" s="560">
        <f t="shared" si="177"/>
        <v>16672.850732061204</v>
      </c>
      <c r="AU51" s="681">
        <f>AS51*$AU$3</f>
        <v>7008.4266084334949</v>
      </c>
      <c r="AV51" s="681">
        <f>AS51*$AV$3</f>
        <v>9664.4241236277085</v>
      </c>
      <c r="AW51" s="681">
        <f>AS51*$AW$3</f>
        <v>53124.651395694811</v>
      </c>
      <c r="AX51" s="681">
        <f>AS51*$AX$3</f>
        <v>4984.5904422439771</v>
      </c>
      <c r="AY51" s="681">
        <f>AS51*AY3</f>
        <v>0</v>
      </c>
      <c r="BA51" s="680"/>
      <c r="BB51" s="560">
        <f t="shared" si="182"/>
        <v>0</v>
      </c>
      <c r="BC51" s="681">
        <f t="shared" ref="BC51" si="291">BA51*$BC$3</f>
        <v>0</v>
      </c>
      <c r="BD51" s="681">
        <f t="shared" ref="BD51" si="292">BA51*$BD$3</f>
        <v>0</v>
      </c>
      <c r="BE51" s="681">
        <f t="shared" ref="BE51" si="293">BA51*$BE$3</f>
        <v>0</v>
      </c>
      <c r="BF51" s="681">
        <f t="shared" ref="BF51" si="294">BA51*$BF$3</f>
        <v>0</v>
      </c>
      <c r="BG51" s="681">
        <f>BA51*BG3</f>
        <v>0</v>
      </c>
      <c r="BI51" s="680"/>
      <c r="BJ51" s="560">
        <f t="shared" si="187"/>
        <v>0</v>
      </c>
      <c r="BK51" s="681">
        <f t="shared" ref="BK51" si="295">BI51*$BK$3</f>
        <v>0</v>
      </c>
      <c r="BL51" s="681">
        <f t="shared" ref="BL51" si="296">BI51*$BL$3</f>
        <v>0</v>
      </c>
      <c r="BM51" s="681">
        <f t="shared" ref="BM51" si="297">BI51*$BM$3</f>
        <v>0</v>
      </c>
      <c r="BN51" s="681">
        <f t="shared" ref="BN51" si="298">BI51*$BN$3</f>
        <v>0</v>
      </c>
      <c r="BO51" s="681">
        <f>BI51*BO3</f>
        <v>0</v>
      </c>
      <c r="BQ51" s="680"/>
      <c r="BR51" s="560">
        <f t="shared" si="192"/>
        <v>0</v>
      </c>
      <c r="BS51" s="681">
        <f t="shared" ref="BS51" si="299">BQ51*$BS$3</f>
        <v>0</v>
      </c>
      <c r="BT51" s="681">
        <f t="shared" ref="BT51" si="300">BQ51*$BT$3</f>
        <v>0</v>
      </c>
      <c r="BU51" s="681">
        <f t="shared" ref="BU51" si="301">BQ51*$BU$3</f>
        <v>0</v>
      </c>
      <c r="BV51" s="681">
        <f t="shared" ref="BV51" si="302">BQ51*$BV$3</f>
        <v>0</v>
      </c>
      <c r="BW51" s="681">
        <f>BQ51*BW3</f>
        <v>0</v>
      </c>
      <c r="BY51" s="680"/>
      <c r="BZ51" s="560">
        <f t="shared" si="197"/>
        <v>0</v>
      </c>
      <c r="CA51" s="681">
        <f t="shared" ref="CA51" si="303">BY51*$CA$3</f>
        <v>0</v>
      </c>
      <c r="CB51" s="681">
        <f t="shared" ref="CB51" si="304">BY51*$CB$3</f>
        <v>0</v>
      </c>
      <c r="CC51" s="681">
        <f t="shared" ref="CC51" si="305">BY51*$CC$3</f>
        <v>0</v>
      </c>
      <c r="CD51" s="681">
        <f t="shared" ref="CD51" si="306">BY51*$CD$3</f>
        <v>0</v>
      </c>
      <c r="CE51" s="681">
        <f>BY51*CE3</f>
        <v>0</v>
      </c>
      <c r="CG51" s="680"/>
      <c r="CH51" s="560">
        <f t="shared" si="202"/>
        <v>0</v>
      </c>
      <c r="CI51" s="681">
        <f>CG51*$CI$3</f>
        <v>0</v>
      </c>
      <c r="CJ51" s="681">
        <f>CG51*$CJ$3</f>
        <v>0</v>
      </c>
      <c r="CK51" s="681">
        <f>CG51*$CK$3</f>
        <v>0</v>
      </c>
      <c r="CL51" s="681">
        <f>CG51*$CL$3</f>
        <v>0</v>
      </c>
      <c r="CM51" s="681">
        <f>CG51*CM3</f>
        <v>0</v>
      </c>
      <c r="CN51" s="708"/>
      <c r="CO51" s="680"/>
      <c r="CP51" s="560">
        <f t="shared" si="207"/>
        <v>0</v>
      </c>
      <c r="CQ51" s="681">
        <f>CO51*$CQ$3</f>
        <v>0</v>
      </c>
      <c r="CR51" s="681">
        <f>CO51*$CR$3</f>
        <v>0</v>
      </c>
      <c r="CS51" s="681">
        <f>CO51*$CS$3</f>
        <v>0</v>
      </c>
      <c r="CT51" s="681">
        <f>CO51*$CT$3</f>
        <v>0</v>
      </c>
      <c r="CU51" s="681">
        <f>CO51*CU3</f>
        <v>0</v>
      </c>
      <c r="CV51" s="708"/>
      <c r="CW51" s="680"/>
      <c r="CX51" s="560">
        <f t="shared" si="212"/>
        <v>0</v>
      </c>
      <c r="CY51" s="681">
        <f>CW51*$CY$3</f>
        <v>0</v>
      </c>
      <c r="CZ51" s="681">
        <f>CW51*$CZ$3</f>
        <v>0</v>
      </c>
      <c r="DA51" s="681">
        <f>CW51*$DA$3</f>
        <v>0</v>
      </c>
      <c r="DB51" s="681">
        <f>CW51*$DB$3</f>
        <v>0</v>
      </c>
      <c r="DC51" s="681">
        <f>CW51*DC3</f>
        <v>0</v>
      </c>
      <c r="DF51" s="688"/>
      <c r="DG51" s="688"/>
      <c r="DH51" s="688"/>
      <c r="DI51" s="688"/>
      <c r="DJ51" s="688"/>
      <c r="DN51" s="712">
        <f>SUM(DN49:DN50)</f>
        <v>73369448.569999993</v>
      </c>
    </row>
    <row r="52" spans="1:119" s="673" customFormat="1" ht="81" outlineLevel="1">
      <c r="A52" s="690"/>
      <c r="B52" s="678" t="s">
        <v>84</v>
      </c>
      <c r="C52" s="671" t="s">
        <v>9</v>
      </c>
      <c r="D52" s="563">
        <v>0</v>
      </c>
      <c r="E52" s="563"/>
      <c r="F52" s="564">
        <v>0</v>
      </c>
      <c r="G52" s="564">
        <v>0</v>
      </c>
      <c r="H52" s="564"/>
      <c r="I52" s="564">
        <v>0</v>
      </c>
      <c r="J52" s="564"/>
      <c r="K52" s="713"/>
      <c r="M52" s="680"/>
      <c r="N52" s="563"/>
      <c r="O52" s="563"/>
      <c r="P52" s="563"/>
      <c r="Q52" s="563"/>
      <c r="R52" s="563"/>
      <c r="S52" s="563"/>
      <c r="U52" s="680"/>
      <c r="V52" s="563"/>
      <c r="W52" s="563"/>
      <c r="X52" s="563"/>
      <c r="Y52" s="563"/>
      <c r="Z52" s="563"/>
      <c r="AA52" s="563"/>
      <c r="AC52" s="680"/>
      <c r="AD52" s="563"/>
      <c r="AE52" s="563"/>
      <c r="AF52" s="563"/>
      <c r="AG52" s="563"/>
      <c r="AH52" s="563"/>
      <c r="AI52" s="563"/>
      <c r="AK52" s="680"/>
      <c r="AL52" s="563"/>
      <c r="AM52" s="563"/>
      <c r="AN52" s="563"/>
      <c r="AO52" s="563"/>
      <c r="AP52" s="563"/>
      <c r="AQ52" s="563"/>
      <c r="AS52" s="680"/>
      <c r="AT52" s="563"/>
      <c r="AU52" s="563"/>
      <c r="AV52" s="563"/>
      <c r="AW52" s="563"/>
      <c r="AX52" s="563"/>
      <c r="AY52" s="563"/>
      <c r="BA52" s="680"/>
      <c r="BB52" s="563"/>
      <c r="BC52" s="563"/>
      <c r="BD52" s="563"/>
      <c r="BE52" s="563"/>
      <c r="BF52" s="563"/>
      <c r="BG52" s="563"/>
      <c r="BI52" s="680"/>
      <c r="BJ52" s="563"/>
      <c r="BK52" s="563"/>
      <c r="BL52" s="563"/>
      <c r="BM52" s="563"/>
      <c r="BN52" s="563"/>
      <c r="BO52" s="563"/>
      <c r="BQ52" s="680"/>
      <c r="BR52" s="563"/>
      <c r="BS52" s="563"/>
      <c r="BT52" s="563"/>
      <c r="BU52" s="563"/>
      <c r="BV52" s="563"/>
      <c r="BW52" s="563"/>
      <c r="BY52" s="680"/>
      <c r="BZ52" s="563"/>
      <c r="CA52" s="563"/>
      <c r="CB52" s="563"/>
      <c r="CC52" s="563"/>
      <c r="CD52" s="563"/>
      <c r="CE52" s="563"/>
      <c r="CG52" s="680"/>
      <c r="CH52" s="563"/>
      <c r="CI52" s="563"/>
      <c r="CJ52" s="563"/>
      <c r="CK52" s="563"/>
      <c r="CL52" s="563"/>
      <c r="CM52" s="563"/>
      <c r="CO52" s="680"/>
      <c r="CP52" s="563"/>
      <c r="CQ52" s="563"/>
      <c r="CR52" s="563"/>
      <c r="CS52" s="563"/>
      <c r="CT52" s="563"/>
      <c r="CU52" s="563"/>
      <c r="CW52" s="680"/>
      <c r="CX52" s="563"/>
      <c r="CY52" s="563"/>
      <c r="CZ52" s="563"/>
      <c r="DA52" s="563"/>
      <c r="DB52" s="563"/>
      <c r="DC52" s="563"/>
      <c r="DF52" s="688"/>
      <c r="DG52" s="688"/>
      <c r="DH52" s="688"/>
      <c r="DI52" s="688"/>
      <c r="DJ52" s="688"/>
    </row>
    <row r="53" spans="1:119" s="673" customFormat="1" ht="39.75" customHeight="1" outlineLevel="1">
      <c r="A53" s="690"/>
      <c r="B53" s="678" t="s">
        <v>449</v>
      </c>
      <c r="C53" s="671" t="s">
        <v>9</v>
      </c>
      <c r="D53" s="563">
        <v>11224.196428571428</v>
      </c>
      <c r="E53" s="560">
        <f t="shared" ref="E53:E67" si="307">F53+G53</f>
        <v>6745.1687572289829</v>
      </c>
      <c r="F53" s="564">
        <v>2688.4027686458444</v>
      </c>
      <c r="G53" s="564">
        <v>4056.7659885831386</v>
      </c>
      <c r="H53" s="563">
        <f t="shared" ref="H53:H67" si="308">D53-F53-G53-I53</f>
        <v>2253.6007050648386</v>
      </c>
      <c r="I53" s="564">
        <v>2225.426966277606</v>
      </c>
      <c r="J53" s="564"/>
      <c r="K53" s="683" t="s">
        <v>429</v>
      </c>
      <c r="M53" s="680"/>
      <c r="N53" s="560">
        <f t="shared" ref="N53:N63" si="309">O53+P53</f>
        <v>0</v>
      </c>
      <c r="O53" s="684">
        <f>$M$53*$DF$53</f>
        <v>0</v>
      </c>
      <c r="P53" s="684">
        <f>$M$53*$DG$53</f>
        <v>0</v>
      </c>
      <c r="Q53" s="684">
        <f>$M$53*$DH$53</f>
        <v>0</v>
      </c>
      <c r="R53" s="684">
        <f>$M$53*$DI$53</f>
        <v>0</v>
      </c>
      <c r="S53" s="684">
        <f>M53*$DJ$53</f>
        <v>0</v>
      </c>
      <c r="U53" s="680">
        <f>4018/1000</f>
        <v>4.0179999999999998</v>
      </c>
      <c r="V53" s="560">
        <f t="shared" ref="V53:V63" si="310">W53+X53</f>
        <v>3.1267542969592164</v>
      </c>
      <c r="W53" s="684">
        <f>$U$53*W5</f>
        <v>1.7753645316522468</v>
      </c>
      <c r="X53" s="684">
        <f t="shared" ref="X53:Z53" si="311">$U$53*X5</f>
        <v>1.3513897653069697</v>
      </c>
      <c r="Y53" s="684">
        <f t="shared" si="311"/>
        <v>0.80834436253749276</v>
      </c>
      <c r="Z53" s="684">
        <f t="shared" si="311"/>
        <v>8.2901340503290427E-2</v>
      </c>
      <c r="AA53" s="684"/>
      <c r="AC53" s="680">
        <f>61159/1000</f>
        <v>61.158999999999999</v>
      </c>
      <c r="AD53" s="560">
        <f t="shared" ref="AD53:AD63" si="312">AE53+AF53</f>
        <v>47.593122460858325</v>
      </c>
      <c r="AE53" s="684">
        <f>$AC$53*AE5</f>
        <v>27.02327510983568</v>
      </c>
      <c r="AF53" s="684">
        <f t="shared" ref="AF53:AH53" si="313">$AC$53*AF5</f>
        <v>20.569847351022641</v>
      </c>
      <c r="AG53" s="684">
        <f>$AC$53*AG5</f>
        <v>12.304015148937411</v>
      </c>
      <c r="AH53" s="684">
        <f t="shared" si="313"/>
        <v>1.2618623902042656</v>
      </c>
      <c r="AI53" s="684"/>
      <c r="AK53" s="680"/>
      <c r="AL53" s="560">
        <f t="shared" ref="AL53:AL63" si="314">AM53+AN53</f>
        <v>0</v>
      </c>
      <c r="AM53" s="684">
        <f>AK53*$DF$53</f>
        <v>0</v>
      </c>
      <c r="AN53" s="684">
        <f>AK53*$DG$53</f>
        <v>0</v>
      </c>
      <c r="AO53" s="684">
        <f>AK53*$DH$53</f>
        <v>0</v>
      </c>
      <c r="AP53" s="684">
        <f>AK53*$DI$53</f>
        <v>0</v>
      </c>
      <c r="AQ53" s="684">
        <f>AK53*$DJ$53</f>
        <v>0</v>
      </c>
      <c r="AS53" s="680"/>
      <c r="AT53" s="560">
        <f t="shared" ref="AT53:AT63" si="315">AU53+AV53</f>
        <v>0</v>
      </c>
      <c r="AU53" s="684">
        <f>AS53*$DF$53</f>
        <v>0</v>
      </c>
      <c r="AV53" s="684">
        <f>AS53*$DG$53</f>
        <v>0</v>
      </c>
      <c r="AW53" s="684">
        <f>AS53*$DH$53</f>
        <v>0</v>
      </c>
      <c r="AX53" s="684">
        <f>AS53*$DI$53</f>
        <v>0</v>
      </c>
      <c r="AY53" s="684">
        <f>AS53*$DJ$53</f>
        <v>0</v>
      </c>
      <c r="BA53" s="680"/>
      <c r="BB53" s="560">
        <f t="shared" ref="BB53:BB63" si="316">BC53+BD53</f>
        <v>0</v>
      </c>
      <c r="BC53" s="684">
        <f>BA53*$DF$53</f>
        <v>0</v>
      </c>
      <c r="BD53" s="684">
        <f>BA53*$DG$53</f>
        <v>0</v>
      </c>
      <c r="BE53" s="684">
        <f>BA53*$DH$53</f>
        <v>0</v>
      </c>
      <c r="BF53" s="684">
        <f>BA53*$DI$53</f>
        <v>0</v>
      </c>
      <c r="BG53" s="684">
        <f>BA53*$DJ$53</f>
        <v>0</v>
      </c>
      <c r="BI53" s="680"/>
      <c r="BJ53" s="560">
        <f t="shared" ref="BJ53:BJ63" si="317">BK53+BL53</f>
        <v>0</v>
      </c>
      <c r="BK53" s="684">
        <f>BI53*$DF$53</f>
        <v>0</v>
      </c>
      <c r="BL53" s="684">
        <f>BI53*$DG$53</f>
        <v>0</v>
      </c>
      <c r="BM53" s="684">
        <f>BI53*$DH$53</f>
        <v>0</v>
      </c>
      <c r="BN53" s="684">
        <f>BI53*$DI$53</f>
        <v>0</v>
      </c>
      <c r="BO53" s="684">
        <f>BI53*$DJ$53</f>
        <v>0</v>
      </c>
      <c r="BQ53" s="680"/>
      <c r="BR53" s="560">
        <f t="shared" ref="BR53:BR63" si="318">BS53+BT53</f>
        <v>0</v>
      </c>
      <c r="BS53" s="684">
        <f>BQ53*$DF$53</f>
        <v>0</v>
      </c>
      <c r="BT53" s="684">
        <f>BQ53*$DG$53</f>
        <v>0</v>
      </c>
      <c r="BU53" s="684">
        <f>BQ53*$DH$53</f>
        <v>0</v>
      </c>
      <c r="BV53" s="684">
        <f>BQ53*$DI$53</f>
        <v>0</v>
      </c>
      <c r="BW53" s="684">
        <f>BQ53*$DJ$53</f>
        <v>0</v>
      </c>
      <c r="BY53" s="680"/>
      <c r="BZ53" s="560">
        <f t="shared" ref="BZ53:BZ63" si="319">CA53+CB53</f>
        <v>0</v>
      </c>
      <c r="CA53" s="684">
        <f>BY53*$DF$53</f>
        <v>0</v>
      </c>
      <c r="CB53" s="684">
        <f>BY53*$DG$53</f>
        <v>0</v>
      </c>
      <c r="CC53" s="684">
        <f>BY53*$DH$53</f>
        <v>0</v>
      </c>
      <c r="CD53" s="684">
        <f>BY53*$DI$53</f>
        <v>0</v>
      </c>
      <c r="CE53" s="684">
        <f>BY53*$DJ$53</f>
        <v>0</v>
      </c>
      <c r="CG53" s="680"/>
      <c r="CH53" s="560">
        <f t="shared" ref="CH53:CH98" si="320">CI53+CJ53</f>
        <v>0</v>
      </c>
      <c r="CI53" s="684">
        <f>CG53*$DF$53</f>
        <v>0</v>
      </c>
      <c r="CJ53" s="684">
        <f>CG53*$DG$53</f>
        <v>0</v>
      </c>
      <c r="CK53" s="684">
        <f>CG53*$DH$53</f>
        <v>0</v>
      </c>
      <c r="CL53" s="684">
        <f>CG53*$DI$53</f>
        <v>0</v>
      </c>
      <c r="CM53" s="684">
        <f>CG53*$DJ$53</f>
        <v>0</v>
      </c>
      <c r="CO53" s="680"/>
      <c r="CP53" s="560">
        <f t="shared" ref="CP53:CP98" si="321">CQ53+CR53</f>
        <v>0</v>
      </c>
      <c r="CQ53" s="684">
        <f>CO53*$DF$53</f>
        <v>0</v>
      </c>
      <c r="CR53" s="684">
        <f>CO53*$DG$53</f>
        <v>0</v>
      </c>
      <c r="CS53" s="684">
        <f>CO53*$DH$53</f>
        <v>0</v>
      </c>
      <c r="CT53" s="684">
        <f>CO53*$DI$53</f>
        <v>0</v>
      </c>
      <c r="CU53" s="684">
        <f>CO53*$DJ$53</f>
        <v>0</v>
      </c>
      <c r="CW53" s="680"/>
      <c r="CX53" s="560">
        <f t="shared" ref="CX53:CX98" si="322">CY53+CZ53</f>
        <v>0</v>
      </c>
      <c r="CY53" s="684">
        <f>CW53*$DF$53</f>
        <v>0</v>
      </c>
      <c r="CZ53" s="684">
        <f>CW53*$DG$53</f>
        <v>0</v>
      </c>
      <c r="DA53" s="684">
        <f>CW53*$DH$53</f>
        <v>0</v>
      </c>
      <c r="DB53" s="684">
        <f>CW53*$DI$53</f>
        <v>0</v>
      </c>
      <c r="DC53" s="684">
        <f>CW53*$DJ$53</f>
        <v>0</v>
      </c>
      <c r="DF53" s="685">
        <f>F53/$D$53</f>
        <v>0.23951850680396672</v>
      </c>
      <c r="DG53" s="685">
        <f>G53/$D$53</f>
        <v>0.36143041636874385</v>
      </c>
      <c r="DH53" s="685">
        <f>H53/$D$53</f>
        <v>0.20078058321647424</v>
      </c>
      <c r="DI53" s="685">
        <f>I53/$D$53</f>
        <v>0.1982704936108152</v>
      </c>
      <c r="DJ53" s="685">
        <f>J53/$D$53</f>
        <v>0</v>
      </c>
      <c r="DN53" s="714">
        <v>782787.73</v>
      </c>
      <c r="DO53" s="673" t="s">
        <v>450</v>
      </c>
    </row>
    <row r="54" spans="1:119" s="673" customFormat="1" ht="33" customHeight="1" outlineLevel="1">
      <c r="A54" s="690"/>
      <c r="B54" s="678" t="s">
        <v>86</v>
      </c>
      <c r="C54" s="671" t="s">
        <v>9</v>
      </c>
      <c r="D54" s="563">
        <v>39095.405430428575</v>
      </c>
      <c r="E54" s="560">
        <f t="shared" si="307"/>
        <v>0</v>
      </c>
      <c r="F54" s="564"/>
      <c r="G54" s="564"/>
      <c r="H54" s="563">
        <f t="shared" si="308"/>
        <v>39095.405430428575</v>
      </c>
      <c r="I54" s="564"/>
      <c r="J54" s="564"/>
      <c r="K54" s="683" t="s">
        <v>429</v>
      </c>
      <c r="M54" s="680"/>
      <c r="N54" s="560">
        <f t="shared" si="309"/>
        <v>0</v>
      </c>
      <c r="O54" s="684"/>
      <c r="P54" s="684"/>
      <c r="Q54" s="684">
        <f>$M$54</f>
        <v>0</v>
      </c>
      <c r="R54" s="684"/>
      <c r="S54" s="684"/>
      <c r="U54" s="680"/>
      <c r="V54" s="560">
        <f t="shared" si="310"/>
        <v>0</v>
      </c>
      <c r="W54" s="684"/>
      <c r="X54" s="684"/>
      <c r="Y54" s="684">
        <f>U54</f>
        <v>0</v>
      </c>
      <c r="Z54" s="684"/>
      <c r="AA54" s="684"/>
      <c r="AC54" s="680"/>
      <c r="AD54" s="560">
        <f t="shared" si="312"/>
        <v>0</v>
      </c>
      <c r="AE54" s="684"/>
      <c r="AF54" s="684"/>
      <c r="AG54" s="684">
        <f>AC54</f>
        <v>0</v>
      </c>
      <c r="AH54" s="684"/>
      <c r="AI54" s="684"/>
      <c r="AK54" s="680"/>
      <c r="AL54" s="560">
        <f t="shared" si="314"/>
        <v>0</v>
      </c>
      <c r="AM54" s="684"/>
      <c r="AN54" s="684"/>
      <c r="AO54" s="684">
        <f>AK54</f>
        <v>0</v>
      </c>
      <c r="AP54" s="684"/>
      <c r="AQ54" s="684"/>
      <c r="AS54" s="680"/>
      <c r="AT54" s="560">
        <f t="shared" si="315"/>
        <v>0</v>
      </c>
      <c r="AU54" s="684"/>
      <c r="AV54" s="684"/>
      <c r="AW54" s="684">
        <f>AS54</f>
        <v>0</v>
      </c>
      <c r="AX54" s="684"/>
      <c r="AY54" s="684"/>
      <c r="BA54" s="680"/>
      <c r="BB54" s="560">
        <f t="shared" si="316"/>
        <v>0</v>
      </c>
      <c r="BC54" s="684"/>
      <c r="BD54" s="684"/>
      <c r="BE54" s="684">
        <f>BA54</f>
        <v>0</v>
      </c>
      <c r="BF54" s="684"/>
      <c r="BG54" s="684"/>
      <c r="BI54" s="680"/>
      <c r="BJ54" s="560">
        <f t="shared" si="317"/>
        <v>0</v>
      </c>
      <c r="BK54" s="684"/>
      <c r="BL54" s="684"/>
      <c r="BM54" s="684">
        <f>BI54</f>
        <v>0</v>
      </c>
      <c r="BN54" s="684"/>
      <c r="BO54" s="684"/>
      <c r="BQ54" s="680"/>
      <c r="BR54" s="560">
        <f t="shared" si="318"/>
        <v>0</v>
      </c>
      <c r="BS54" s="684"/>
      <c r="BT54" s="684"/>
      <c r="BU54" s="684">
        <f>BQ54</f>
        <v>0</v>
      </c>
      <c r="BV54" s="684"/>
      <c r="BW54" s="684"/>
      <c r="BY54" s="680"/>
      <c r="BZ54" s="560">
        <f t="shared" si="319"/>
        <v>0</v>
      </c>
      <c r="CA54" s="684"/>
      <c r="CB54" s="684"/>
      <c r="CC54" s="684">
        <f>BY54</f>
        <v>0</v>
      </c>
      <c r="CD54" s="684"/>
      <c r="CE54" s="684"/>
      <c r="CG54" s="680"/>
      <c r="CH54" s="560">
        <f t="shared" si="320"/>
        <v>0</v>
      </c>
      <c r="CI54" s="684"/>
      <c r="CJ54" s="684"/>
      <c r="CK54" s="684">
        <f>CG54</f>
        <v>0</v>
      </c>
      <c r="CL54" s="684"/>
      <c r="CM54" s="684"/>
      <c r="CO54" s="680"/>
      <c r="CP54" s="560">
        <f t="shared" si="321"/>
        <v>0</v>
      </c>
      <c r="CQ54" s="684"/>
      <c r="CR54" s="684"/>
      <c r="CS54" s="684">
        <f>CO54</f>
        <v>0</v>
      </c>
      <c r="CT54" s="684"/>
      <c r="CU54" s="684"/>
      <c r="CW54" s="680"/>
      <c r="CX54" s="560">
        <f t="shared" si="322"/>
        <v>0</v>
      </c>
      <c r="CY54" s="684"/>
      <c r="CZ54" s="684"/>
      <c r="DA54" s="684">
        <f>CW54</f>
        <v>0</v>
      </c>
      <c r="DB54" s="684"/>
      <c r="DC54" s="684"/>
      <c r="DF54" s="685">
        <f>F54/$D$54</f>
        <v>0</v>
      </c>
      <c r="DG54" s="685">
        <f>G54/$D$54</f>
        <v>0</v>
      </c>
      <c r="DH54" s="685">
        <f>H54/$D$54</f>
        <v>1</v>
      </c>
      <c r="DI54" s="685">
        <f>I54/$D$54</f>
        <v>0</v>
      </c>
      <c r="DJ54" s="685">
        <f>J54/$D$54</f>
        <v>0</v>
      </c>
      <c r="DN54" s="714">
        <v>1732787.73</v>
      </c>
      <c r="DO54" s="673" t="s">
        <v>451</v>
      </c>
    </row>
    <row r="55" spans="1:119" s="673" customFormat="1" ht="36.75" customHeight="1" outlineLevel="1">
      <c r="A55" s="690"/>
      <c r="B55" s="678" t="s">
        <v>87</v>
      </c>
      <c r="C55" s="671" t="s">
        <v>9</v>
      </c>
      <c r="D55" s="563">
        <v>1442.808</v>
      </c>
      <c r="E55" s="560">
        <f t="shared" si="307"/>
        <v>0</v>
      </c>
      <c r="F55" s="564"/>
      <c r="G55" s="564"/>
      <c r="H55" s="563">
        <f t="shared" si="308"/>
        <v>1442.808</v>
      </c>
      <c r="I55" s="564"/>
      <c r="J55" s="564"/>
      <c r="K55" s="683" t="s">
        <v>429</v>
      </c>
      <c r="M55" s="680"/>
      <c r="N55" s="560">
        <f t="shared" si="309"/>
        <v>0</v>
      </c>
      <c r="O55" s="684"/>
      <c r="P55" s="684"/>
      <c r="Q55" s="684">
        <f>$M$55</f>
        <v>0</v>
      </c>
      <c r="R55" s="684"/>
      <c r="S55" s="684"/>
      <c r="U55" s="680"/>
      <c r="V55" s="560">
        <f t="shared" si="310"/>
        <v>0</v>
      </c>
      <c r="W55" s="684"/>
      <c r="X55" s="684"/>
      <c r="Y55" s="684">
        <f t="shared" ref="Y55:Y57" si="323">U55</f>
        <v>0</v>
      </c>
      <c r="Z55" s="684"/>
      <c r="AA55" s="684"/>
      <c r="AC55" s="680"/>
      <c r="AD55" s="560">
        <f t="shared" si="312"/>
        <v>0</v>
      </c>
      <c r="AE55" s="684"/>
      <c r="AF55" s="684"/>
      <c r="AG55" s="684">
        <f t="shared" ref="AG55:AG57" si="324">AC55</f>
        <v>0</v>
      </c>
      <c r="AH55" s="684"/>
      <c r="AI55" s="684"/>
      <c r="AK55" s="680"/>
      <c r="AL55" s="560">
        <f t="shared" si="314"/>
        <v>0</v>
      </c>
      <c r="AM55" s="684"/>
      <c r="AN55" s="684"/>
      <c r="AO55" s="684">
        <f t="shared" ref="AO55:AO56" si="325">AK55</f>
        <v>0</v>
      </c>
      <c r="AP55" s="684"/>
      <c r="AQ55" s="684"/>
      <c r="AS55" s="680"/>
      <c r="AT55" s="560">
        <f t="shared" si="315"/>
        <v>0</v>
      </c>
      <c r="AU55" s="684"/>
      <c r="AV55" s="684"/>
      <c r="AW55" s="684">
        <f t="shared" ref="AW55:AW56" si="326">AS55</f>
        <v>0</v>
      </c>
      <c r="AX55" s="684"/>
      <c r="AY55" s="684"/>
      <c r="BA55" s="680"/>
      <c r="BB55" s="560">
        <f t="shared" si="316"/>
        <v>0</v>
      </c>
      <c r="BC55" s="684"/>
      <c r="BD55" s="684"/>
      <c r="BE55" s="684">
        <f t="shared" ref="BE55:BE57" si="327">BA55</f>
        <v>0</v>
      </c>
      <c r="BF55" s="684"/>
      <c r="BG55" s="684"/>
      <c r="BI55" s="680"/>
      <c r="BJ55" s="560">
        <f t="shared" si="317"/>
        <v>0</v>
      </c>
      <c r="BK55" s="684"/>
      <c r="BL55" s="684"/>
      <c r="BM55" s="684">
        <f t="shared" ref="BM55:BM57" si="328">BI55</f>
        <v>0</v>
      </c>
      <c r="BN55" s="684"/>
      <c r="BO55" s="684"/>
      <c r="BQ55" s="680"/>
      <c r="BR55" s="560">
        <f t="shared" si="318"/>
        <v>0</v>
      </c>
      <c r="BS55" s="684"/>
      <c r="BT55" s="684"/>
      <c r="BU55" s="684">
        <f t="shared" ref="BU55:BU57" si="329">BQ55</f>
        <v>0</v>
      </c>
      <c r="BV55" s="684"/>
      <c r="BW55" s="684"/>
      <c r="BY55" s="680"/>
      <c r="BZ55" s="560">
        <f t="shared" si="319"/>
        <v>0</v>
      </c>
      <c r="CA55" s="684"/>
      <c r="CB55" s="684"/>
      <c r="CC55" s="684">
        <f t="shared" ref="CC55:CC57" si="330">BY55</f>
        <v>0</v>
      </c>
      <c r="CD55" s="684"/>
      <c r="CE55" s="684"/>
      <c r="CG55" s="680"/>
      <c r="CH55" s="560">
        <f t="shared" si="320"/>
        <v>0</v>
      </c>
      <c r="CI55" s="684"/>
      <c r="CJ55" s="684"/>
      <c r="CK55" s="684">
        <f t="shared" ref="CK55:CK57" si="331">CG55</f>
        <v>0</v>
      </c>
      <c r="CL55" s="684"/>
      <c r="CM55" s="684"/>
      <c r="CO55" s="680"/>
      <c r="CP55" s="560">
        <f t="shared" si="321"/>
        <v>0</v>
      </c>
      <c r="CQ55" s="684"/>
      <c r="CR55" s="684"/>
      <c r="CS55" s="684">
        <f t="shared" ref="CS55:CS57" si="332">CO55</f>
        <v>0</v>
      </c>
      <c r="CT55" s="684"/>
      <c r="CU55" s="684"/>
      <c r="CW55" s="680"/>
      <c r="CX55" s="560">
        <f t="shared" si="322"/>
        <v>0</v>
      </c>
      <c r="CY55" s="684"/>
      <c r="CZ55" s="684"/>
      <c r="DA55" s="684">
        <f t="shared" ref="DA55:DA57" si="333">CW55</f>
        <v>0</v>
      </c>
      <c r="DB55" s="684"/>
      <c r="DC55" s="684"/>
      <c r="DF55" s="685">
        <f>F55/$D$55</f>
        <v>0</v>
      </c>
      <c r="DG55" s="685">
        <f>G55/$D$55</f>
        <v>0</v>
      </c>
      <c r="DH55" s="685">
        <f>H55/$D$55</f>
        <v>1</v>
      </c>
      <c r="DI55" s="685">
        <f>I55/$D$55</f>
        <v>0</v>
      </c>
      <c r="DJ55" s="685">
        <f>J55/$D$55</f>
        <v>0</v>
      </c>
      <c r="DN55" s="714"/>
    </row>
    <row r="56" spans="1:119" s="673" customFormat="1" ht="34.5" customHeight="1" outlineLevel="1">
      <c r="A56" s="690"/>
      <c r="B56" s="678" t="s">
        <v>124</v>
      </c>
      <c r="C56" s="671" t="s">
        <v>9</v>
      </c>
      <c r="D56" s="563">
        <v>2223.2142857142853</v>
      </c>
      <c r="E56" s="560">
        <f t="shared" si="307"/>
        <v>0</v>
      </c>
      <c r="F56" s="564"/>
      <c r="G56" s="564"/>
      <c r="H56" s="563">
        <f t="shared" si="308"/>
        <v>2223.2142857142853</v>
      </c>
      <c r="I56" s="564"/>
      <c r="J56" s="564"/>
      <c r="K56" s="683" t="s">
        <v>429</v>
      </c>
      <c r="M56" s="680"/>
      <c r="N56" s="560">
        <f t="shared" si="309"/>
        <v>0</v>
      </c>
      <c r="O56" s="684"/>
      <c r="P56" s="684"/>
      <c r="Q56" s="684">
        <f>$M$56</f>
        <v>0</v>
      </c>
      <c r="R56" s="684"/>
      <c r="S56" s="684"/>
      <c r="U56" s="680"/>
      <c r="V56" s="560">
        <f t="shared" si="310"/>
        <v>0</v>
      </c>
      <c r="W56" s="684"/>
      <c r="X56" s="684"/>
      <c r="Y56" s="684">
        <f t="shared" si="323"/>
        <v>0</v>
      </c>
      <c r="Z56" s="684"/>
      <c r="AA56" s="684"/>
      <c r="AC56" s="680"/>
      <c r="AD56" s="560">
        <f t="shared" si="312"/>
        <v>0</v>
      </c>
      <c r="AE56" s="684"/>
      <c r="AF56" s="684"/>
      <c r="AG56" s="684">
        <f t="shared" si="324"/>
        <v>0</v>
      </c>
      <c r="AH56" s="684"/>
      <c r="AI56" s="684"/>
      <c r="AK56" s="680"/>
      <c r="AL56" s="560">
        <f t="shared" si="314"/>
        <v>0</v>
      </c>
      <c r="AM56" s="684"/>
      <c r="AN56" s="684"/>
      <c r="AO56" s="684">
        <f t="shared" si="325"/>
        <v>0</v>
      </c>
      <c r="AP56" s="684"/>
      <c r="AQ56" s="684"/>
      <c r="AS56" s="680"/>
      <c r="AT56" s="560">
        <f t="shared" si="315"/>
        <v>0</v>
      </c>
      <c r="AU56" s="684"/>
      <c r="AV56" s="684"/>
      <c r="AW56" s="684">
        <f t="shared" si="326"/>
        <v>0</v>
      </c>
      <c r="AX56" s="684"/>
      <c r="AY56" s="684"/>
      <c r="BA56" s="680"/>
      <c r="BB56" s="560">
        <f t="shared" si="316"/>
        <v>0</v>
      </c>
      <c r="BC56" s="684"/>
      <c r="BD56" s="684"/>
      <c r="BE56" s="684">
        <f t="shared" si="327"/>
        <v>0</v>
      </c>
      <c r="BF56" s="684"/>
      <c r="BG56" s="684"/>
      <c r="BI56" s="680"/>
      <c r="BJ56" s="560">
        <f t="shared" si="317"/>
        <v>0</v>
      </c>
      <c r="BK56" s="684"/>
      <c r="BL56" s="684"/>
      <c r="BM56" s="684">
        <f t="shared" si="328"/>
        <v>0</v>
      </c>
      <c r="BN56" s="684"/>
      <c r="BO56" s="684"/>
      <c r="BQ56" s="680"/>
      <c r="BR56" s="560">
        <f t="shared" si="318"/>
        <v>0</v>
      </c>
      <c r="BS56" s="684"/>
      <c r="BT56" s="684"/>
      <c r="BU56" s="684">
        <f t="shared" si="329"/>
        <v>0</v>
      </c>
      <c r="BV56" s="684"/>
      <c r="BW56" s="684"/>
      <c r="BY56" s="680"/>
      <c r="BZ56" s="560">
        <f t="shared" si="319"/>
        <v>0</v>
      </c>
      <c r="CA56" s="684"/>
      <c r="CB56" s="684"/>
      <c r="CC56" s="684">
        <f t="shared" si="330"/>
        <v>0</v>
      </c>
      <c r="CD56" s="684"/>
      <c r="CE56" s="684"/>
      <c r="CG56" s="680"/>
      <c r="CH56" s="560">
        <f t="shared" si="320"/>
        <v>0</v>
      </c>
      <c r="CI56" s="684"/>
      <c r="CJ56" s="684"/>
      <c r="CK56" s="684">
        <f t="shared" si="331"/>
        <v>0</v>
      </c>
      <c r="CL56" s="684"/>
      <c r="CM56" s="684"/>
      <c r="CO56" s="680"/>
      <c r="CP56" s="560">
        <f t="shared" si="321"/>
        <v>0</v>
      </c>
      <c r="CQ56" s="684"/>
      <c r="CR56" s="684"/>
      <c r="CS56" s="684">
        <f t="shared" si="332"/>
        <v>0</v>
      </c>
      <c r="CT56" s="684"/>
      <c r="CU56" s="684"/>
      <c r="CW56" s="680"/>
      <c r="CX56" s="560">
        <f t="shared" si="322"/>
        <v>0</v>
      </c>
      <c r="CY56" s="684"/>
      <c r="CZ56" s="684"/>
      <c r="DA56" s="684">
        <f t="shared" si="333"/>
        <v>0</v>
      </c>
      <c r="DB56" s="684"/>
      <c r="DC56" s="684"/>
      <c r="DF56" s="685">
        <f>F56/$D$56</f>
        <v>0</v>
      </c>
      <c r="DG56" s="685">
        <f>G56/$D$56</f>
        <v>0</v>
      </c>
      <c r="DH56" s="685">
        <f>H56/$D$56</f>
        <v>1</v>
      </c>
      <c r="DI56" s="685">
        <f>I56/$D$56</f>
        <v>0</v>
      </c>
      <c r="DJ56" s="685">
        <f>J56/$D$56</f>
        <v>0</v>
      </c>
    </row>
    <row r="57" spans="1:119" s="673" customFormat="1" ht="35.25" customHeight="1" outlineLevel="1">
      <c r="A57" s="690"/>
      <c r="B57" s="678" t="s">
        <v>150</v>
      </c>
      <c r="C57" s="671" t="s">
        <v>9</v>
      </c>
      <c r="D57" s="563">
        <v>4560</v>
      </c>
      <c r="E57" s="560">
        <f t="shared" si="307"/>
        <v>0</v>
      </c>
      <c r="F57" s="564"/>
      <c r="G57" s="564"/>
      <c r="H57" s="563">
        <f t="shared" si="308"/>
        <v>4560</v>
      </c>
      <c r="I57" s="564"/>
      <c r="J57" s="564"/>
      <c r="K57" s="683" t="s">
        <v>429</v>
      </c>
      <c r="M57" s="680"/>
      <c r="N57" s="560">
        <f t="shared" si="309"/>
        <v>0</v>
      </c>
      <c r="O57" s="684"/>
      <c r="P57" s="684"/>
      <c r="Q57" s="684">
        <f>$M$57</f>
        <v>0</v>
      </c>
      <c r="R57" s="684"/>
      <c r="S57" s="684"/>
      <c r="U57" s="680"/>
      <c r="V57" s="560">
        <f t="shared" si="310"/>
        <v>0</v>
      </c>
      <c r="W57" s="684"/>
      <c r="X57" s="684"/>
      <c r="Y57" s="684">
        <f t="shared" si="323"/>
        <v>0</v>
      </c>
      <c r="Z57" s="684"/>
      <c r="AA57" s="684"/>
      <c r="AC57" s="680"/>
      <c r="AD57" s="560">
        <f t="shared" si="312"/>
        <v>0</v>
      </c>
      <c r="AE57" s="684"/>
      <c r="AF57" s="684"/>
      <c r="AG57" s="684">
        <f t="shared" si="324"/>
        <v>0</v>
      </c>
      <c r="AH57" s="684"/>
      <c r="AI57" s="684"/>
      <c r="AK57" s="680">
        <f>17705.55/1000</f>
        <v>17.705549999999999</v>
      </c>
      <c r="AL57" s="560">
        <f t="shared" si="314"/>
        <v>0</v>
      </c>
      <c r="AM57" s="684"/>
      <c r="AN57" s="684"/>
      <c r="AO57" s="684"/>
      <c r="AP57" s="684">
        <f>AK57</f>
        <v>17.705549999999999</v>
      </c>
      <c r="AQ57" s="684"/>
      <c r="AS57" s="680">
        <f>(52045.3/1000+1071.47/1000)+27.984</f>
        <v>81.100770000000011</v>
      </c>
      <c r="AT57" s="560">
        <f t="shared" si="315"/>
        <v>0</v>
      </c>
      <c r="AU57" s="684"/>
      <c r="AV57" s="684"/>
      <c r="AW57" s="684"/>
      <c r="AX57" s="684">
        <f>AS57</f>
        <v>81.100770000000011</v>
      </c>
      <c r="AY57" s="684"/>
      <c r="BA57" s="680"/>
      <c r="BB57" s="560">
        <f t="shared" si="316"/>
        <v>0</v>
      </c>
      <c r="BC57" s="684"/>
      <c r="BD57" s="684"/>
      <c r="BE57" s="684">
        <f t="shared" si="327"/>
        <v>0</v>
      </c>
      <c r="BF57" s="684"/>
      <c r="BG57" s="684"/>
      <c r="BI57" s="680"/>
      <c r="BJ57" s="560">
        <f t="shared" si="317"/>
        <v>0</v>
      </c>
      <c r="BK57" s="684"/>
      <c r="BL57" s="684"/>
      <c r="BM57" s="684">
        <f t="shared" si="328"/>
        <v>0</v>
      </c>
      <c r="BN57" s="684"/>
      <c r="BO57" s="684"/>
      <c r="BQ57" s="680"/>
      <c r="BR57" s="560">
        <f t="shared" si="318"/>
        <v>0</v>
      </c>
      <c r="BS57" s="684"/>
      <c r="BT57" s="684"/>
      <c r="BU57" s="684">
        <f t="shared" si="329"/>
        <v>0</v>
      </c>
      <c r="BV57" s="684"/>
      <c r="BW57" s="684"/>
      <c r="BY57" s="680"/>
      <c r="BZ57" s="560">
        <f t="shared" si="319"/>
        <v>0</v>
      </c>
      <c r="CA57" s="684"/>
      <c r="CB57" s="684"/>
      <c r="CC57" s="684">
        <f t="shared" si="330"/>
        <v>0</v>
      </c>
      <c r="CD57" s="684"/>
      <c r="CE57" s="684"/>
      <c r="CG57" s="680"/>
      <c r="CH57" s="560">
        <f t="shared" si="320"/>
        <v>0</v>
      </c>
      <c r="CI57" s="684"/>
      <c r="CJ57" s="684"/>
      <c r="CK57" s="684">
        <f t="shared" si="331"/>
        <v>0</v>
      </c>
      <c r="CL57" s="684"/>
      <c r="CM57" s="684"/>
      <c r="CO57" s="680"/>
      <c r="CP57" s="560">
        <f t="shared" si="321"/>
        <v>0</v>
      </c>
      <c r="CQ57" s="684"/>
      <c r="CR57" s="684"/>
      <c r="CS57" s="684">
        <f t="shared" si="332"/>
        <v>0</v>
      </c>
      <c r="CT57" s="684"/>
      <c r="CU57" s="684"/>
      <c r="CW57" s="680"/>
      <c r="CX57" s="560">
        <f t="shared" si="322"/>
        <v>0</v>
      </c>
      <c r="CY57" s="684"/>
      <c r="CZ57" s="684"/>
      <c r="DA57" s="684">
        <f t="shared" si="333"/>
        <v>0</v>
      </c>
      <c r="DB57" s="684"/>
      <c r="DC57" s="684"/>
      <c r="DF57" s="685">
        <f>F57/$D$57</f>
        <v>0</v>
      </c>
      <c r="DG57" s="685">
        <f>G57/$D$57</f>
        <v>0</v>
      </c>
      <c r="DH57" s="685">
        <f>H57/$D$57</f>
        <v>1</v>
      </c>
      <c r="DI57" s="685">
        <f>I57/$D$57</f>
        <v>0</v>
      </c>
      <c r="DJ57" s="685">
        <f>J57/$D$57</f>
        <v>0</v>
      </c>
    </row>
    <row r="58" spans="1:119" s="673" customFormat="1" ht="20.25" customHeight="1" outlineLevel="1">
      <c r="A58" s="690"/>
      <c r="B58" s="678" t="s">
        <v>123</v>
      </c>
      <c r="C58" s="671" t="s">
        <v>9</v>
      </c>
      <c r="D58" s="563">
        <v>22552.372607142854</v>
      </c>
      <c r="E58" s="560">
        <f t="shared" si="307"/>
        <v>5028.1067192757582</v>
      </c>
      <c r="F58" s="564">
        <v>2113.5627906541563</v>
      </c>
      <c r="G58" s="564">
        <v>2914.5439286216024</v>
      </c>
      <c r="H58" s="563">
        <f t="shared" si="308"/>
        <v>16655.264690054431</v>
      </c>
      <c r="I58" s="564">
        <v>869.00119781266358</v>
      </c>
      <c r="J58" s="564"/>
      <c r="K58" s="679" t="s">
        <v>184</v>
      </c>
      <c r="M58" s="680">
        <f>1125000/1000</f>
        <v>1125</v>
      </c>
      <c r="N58" s="560">
        <f t="shared" si="309"/>
        <v>250.82150591080813</v>
      </c>
      <c r="O58" s="681">
        <f>$M$58*$O$3</f>
        <v>105.43272678692954</v>
      </c>
      <c r="P58" s="681">
        <f>$M$58*$P$3</f>
        <v>145.38877912387861</v>
      </c>
      <c r="Q58" s="681">
        <f>$M$58*$Q$3</f>
        <v>799.19176859370771</v>
      </c>
      <c r="R58" s="681">
        <f>$M$58*$R$3</f>
        <v>74.986725495484151</v>
      </c>
      <c r="S58" s="681">
        <f t="shared" ref="S58:S59" si="334">$M$16*$S$3</f>
        <v>0</v>
      </c>
      <c r="U58" s="680">
        <f>1125000/1000</f>
        <v>1125</v>
      </c>
      <c r="V58" s="560">
        <f t="shared" si="310"/>
        <v>250.82150591080813</v>
      </c>
      <c r="W58" s="681">
        <f t="shared" ref="W58:W59" si="335">U58*$W$3</f>
        <v>105.43272678692954</v>
      </c>
      <c r="X58" s="681">
        <f t="shared" ref="X58:X59" si="336">U58*$X$3</f>
        <v>145.38877912387861</v>
      </c>
      <c r="Y58" s="681">
        <f t="shared" ref="Y58:Y59" si="337">U58*$Y$3</f>
        <v>799.19176859370771</v>
      </c>
      <c r="Z58" s="681">
        <f t="shared" ref="Z58:Z59" si="338">U58*$Z$3</f>
        <v>74.986725495484151</v>
      </c>
      <c r="AA58" s="681">
        <f>U58*AA3</f>
        <v>0</v>
      </c>
      <c r="AC58" s="680">
        <f>1125000/1000</f>
        <v>1125</v>
      </c>
      <c r="AD58" s="560">
        <f t="shared" si="312"/>
        <v>250.82150591080813</v>
      </c>
      <c r="AE58" s="681">
        <f t="shared" ref="AE58:AE59" si="339">AC58*$AE$3</f>
        <v>105.43272678692954</v>
      </c>
      <c r="AF58" s="681">
        <f t="shared" ref="AF58:AF59" si="340">AC58*$AF$3</f>
        <v>145.38877912387861</v>
      </c>
      <c r="AG58" s="681">
        <f t="shared" ref="AG58:AG59" si="341">AC58*$AG$3</f>
        <v>799.19176859370771</v>
      </c>
      <c r="AH58" s="681">
        <f t="shared" ref="AH58:AH59" si="342">AC58*$AH$3</f>
        <v>74.986725495484151</v>
      </c>
      <c r="AI58" s="681">
        <f>AC58*AI3</f>
        <v>0</v>
      </c>
      <c r="AK58" s="680">
        <f>1125000/1000</f>
        <v>1125</v>
      </c>
      <c r="AL58" s="560">
        <f t="shared" si="314"/>
        <v>250.82150591080813</v>
      </c>
      <c r="AM58" s="681">
        <f t="shared" ref="AM58:AM59" si="343">AK58*$AM$3</f>
        <v>105.43272678692954</v>
      </c>
      <c r="AN58" s="681">
        <f t="shared" ref="AN58:AN59" si="344">AK58*$AN$3</f>
        <v>145.38877912387861</v>
      </c>
      <c r="AO58" s="681">
        <f t="shared" ref="AO58:AO59" si="345">AK58*$AO$3</f>
        <v>799.19176859370771</v>
      </c>
      <c r="AP58" s="681">
        <f t="shared" ref="AP58:AP59" si="346">AK58*$AP$3</f>
        <v>74.986725495484151</v>
      </c>
      <c r="AQ58" s="681">
        <f>AK58*AQ3</f>
        <v>0</v>
      </c>
      <c r="AS58" s="680">
        <f>1125000/1000</f>
        <v>1125</v>
      </c>
      <c r="AT58" s="560">
        <f t="shared" si="315"/>
        <v>250.82150591080813</v>
      </c>
      <c r="AU58" s="681">
        <f t="shared" ref="AU58:AU59" si="347">AS58*$AU$3</f>
        <v>105.43272678692954</v>
      </c>
      <c r="AV58" s="681">
        <f t="shared" ref="AV58:AV59" si="348">AS58*$AV$3</f>
        <v>145.38877912387861</v>
      </c>
      <c r="AW58" s="681">
        <f t="shared" ref="AW58:AW59" si="349">AS58*$AW$3</f>
        <v>799.19176859370771</v>
      </c>
      <c r="AX58" s="681">
        <f t="shared" ref="AX58:AX59" si="350">AS58*$AX$3</f>
        <v>74.986725495484151</v>
      </c>
      <c r="AY58" s="681">
        <f>AS58*AY3</f>
        <v>0</v>
      </c>
      <c r="BA58" s="680"/>
      <c r="BB58" s="560">
        <f t="shared" si="316"/>
        <v>0</v>
      </c>
      <c r="BC58" s="681">
        <f t="shared" ref="BC58:BC59" si="351">BA58*$BC$3</f>
        <v>0</v>
      </c>
      <c r="BD58" s="681">
        <f t="shared" ref="BD58:BD59" si="352">BA58*$BD$3</f>
        <v>0</v>
      </c>
      <c r="BE58" s="681">
        <f t="shared" ref="BE58:BE59" si="353">BA58*$BE$3</f>
        <v>0</v>
      </c>
      <c r="BF58" s="681">
        <f t="shared" ref="BF58:BF59" si="354">BA58*$BF$3</f>
        <v>0</v>
      </c>
      <c r="BG58" s="681">
        <f>BA58*BG3</f>
        <v>0</v>
      </c>
      <c r="BI58" s="680"/>
      <c r="BJ58" s="560">
        <f t="shared" si="317"/>
        <v>0</v>
      </c>
      <c r="BK58" s="681">
        <f t="shared" ref="BK58:BK59" si="355">BI58*$BK$3</f>
        <v>0</v>
      </c>
      <c r="BL58" s="681">
        <f t="shared" ref="BL58:BL59" si="356">BI58*$BL$3</f>
        <v>0</v>
      </c>
      <c r="BM58" s="681">
        <f t="shared" ref="BM58:BM59" si="357">BI58*$BM$3</f>
        <v>0</v>
      </c>
      <c r="BN58" s="681">
        <f t="shared" ref="BN58:BN59" si="358">BI58*$BN$3</f>
        <v>0</v>
      </c>
      <c r="BO58" s="681">
        <f>BI58*BO3</f>
        <v>0</v>
      </c>
      <c r="BQ58" s="680"/>
      <c r="BR58" s="560">
        <f t="shared" si="318"/>
        <v>0</v>
      </c>
      <c r="BS58" s="681">
        <f t="shared" ref="BS58:BS59" si="359">BQ58*$BS$3</f>
        <v>0</v>
      </c>
      <c r="BT58" s="681">
        <f t="shared" ref="BT58:BT59" si="360">BQ58*$BT$3</f>
        <v>0</v>
      </c>
      <c r="BU58" s="681">
        <f t="shared" ref="BU58:BU59" si="361">BQ58*$BU$3</f>
        <v>0</v>
      </c>
      <c r="BV58" s="681">
        <f t="shared" ref="BV58:BV59" si="362">BQ58*$BV$3</f>
        <v>0</v>
      </c>
      <c r="BW58" s="681">
        <f>BQ58*BW3</f>
        <v>0</v>
      </c>
      <c r="BY58" s="680"/>
      <c r="BZ58" s="560">
        <f t="shared" si="319"/>
        <v>0</v>
      </c>
      <c r="CA58" s="681">
        <f t="shared" ref="CA58:CA59" si="363">BY58*$CA$3</f>
        <v>0</v>
      </c>
      <c r="CB58" s="681">
        <f t="shared" ref="CB58:CB59" si="364">BY58*$CB$3</f>
        <v>0</v>
      </c>
      <c r="CC58" s="681">
        <f t="shared" ref="CC58:CC59" si="365">BY58*$CC$3</f>
        <v>0</v>
      </c>
      <c r="CD58" s="681">
        <f t="shared" ref="CD58:CD59" si="366">BY58*$CD$3</f>
        <v>0</v>
      </c>
      <c r="CE58" s="681">
        <f>BY58*CE3</f>
        <v>0</v>
      </c>
      <c r="CG58" s="680"/>
      <c r="CH58" s="560">
        <f t="shared" si="320"/>
        <v>0</v>
      </c>
      <c r="CI58" s="681">
        <f>CG58*$CI$3</f>
        <v>0</v>
      </c>
      <c r="CJ58" s="681">
        <f>CG58*$CJ$3</f>
        <v>0</v>
      </c>
      <c r="CK58" s="681">
        <f>CG58*$CK$3</f>
        <v>0</v>
      </c>
      <c r="CL58" s="681">
        <f>CG58*$CL$3</f>
        <v>0</v>
      </c>
      <c r="CM58" s="681">
        <f>CG58*CM3</f>
        <v>0</v>
      </c>
      <c r="CN58" s="708"/>
      <c r="CO58" s="680"/>
      <c r="CP58" s="560">
        <f t="shared" si="321"/>
        <v>0</v>
      </c>
      <c r="CQ58" s="681">
        <f>CO58*$CQ$3</f>
        <v>0</v>
      </c>
      <c r="CR58" s="681">
        <f>CO58*$CR$3</f>
        <v>0</v>
      </c>
      <c r="CS58" s="681">
        <f>CO58*$CS$3</f>
        <v>0</v>
      </c>
      <c r="CT58" s="681">
        <f>CO58*$CT$3</f>
        <v>0</v>
      </c>
      <c r="CU58" s="681">
        <f>CO58*CU3</f>
        <v>0</v>
      </c>
      <c r="CV58" s="708"/>
      <c r="CW58" s="680"/>
      <c r="CX58" s="560">
        <f t="shared" si="322"/>
        <v>0</v>
      </c>
      <c r="CY58" s="681">
        <f>CW58*$CY$3</f>
        <v>0</v>
      </c>
      <c r="CZ58" s="681">
        <f>CW58*$CZ$3</f>
        <v>0</v>
      </c>
      <c r="DA58" s="681">
        <f>CW58*$DA$3</f>
        <v>0</v>
      </c>
      <c r="DB58" s="681">
        <f>CW58*$DB$3</f>
        <v>0</v>
      </c>
      <c r="DC58" s="681">
        <f>CW58*DC3</f>
        <v>0</v>
      </c>
      <c r="DF58" s="688"/>
      <c r="DG58" s="688"/>
      <c r="DH58" s="688"/>
      <c r="DI58" s="688"/>
      <c r="DJ58" s="688"/>
    </row>
    <row r="59" spans="1:119" s="673" customFormat="1" ht="20.25" customHeight="1" outlineLevel="1">
      <c r="A59" s="690"/>
      <c r="B59" s="678" t="s">
        <v>125</v>
      </c>
      <c r="C59" s="671" t="s">
        <v>9</v>
      </c>
      <c r="D59" s="563">
        <v>720</v>
      </c>
      <c r="E59" s="560">
        <f t="shared" si="307"/>
        <v>160.52576378291721</v>
      </c>
      <c r="F59" s="564">
        <v>67.476945143634893</v>
      </c>
      <c r="G59" s="564">
        <v>93.048818639282317</v>
      </c>
      <c r="H59" s="563">
        <f t="shared" si="308"/>
        <v>531.73077554780707</v>
      </c>
      <c r="I59" s="564">
        <v>27.74346066927567</v>
      </c>
      <c r="J59" s="564"/>
      <c r="K59" s="679" t="s">
        <v>184</v>
      </c>
      <c r="M59" s="680">
        <f>60000/1000</f>
        <v>60</v>
      </c>
      <c r="N59" s="560">
        <f t="shared" si="309"/>
        <v>13.377146981909767</v>
      </c>
      <c r="O59" s="681">
        <f>$M$59*$O$3</f>
        <v>5.623078761969575</v>
      </c>
      <c r="P59" s="681">
        <f>$M$59*$P$3</f>
        <v>7.7540682199401925</v>
      </c>
      <c r="Q59" s="681">
        <f>$M$59*$Q$3</f>
        <v>42.623560991664412</v>
      </c>
      <c r="R59" s="681">
        <f>$M$59*$R$3</f>
        <v>3.9992920264258212</v>
      </c>
      <c r="S59" s="681">
        <f t="shared" si="334"/>
        <v>0</v>
      </c>
      <c r="U59" s="680">
        <f>60000/1000</f>
        <v>60</v>
      </c>
      <c r="V59" s="560">
        <f t="shared" si="310"/>
        <v>13.377146981909767</v>
      </c>
      <c r="W59" s="681">
        <f t="shared" si="335"/>
        <v>5.623078761969575</v>
      </c>
      <c r="X59" s="681">
        <f t="shared" si="336"/>
        <v>7.7540682199401925</v>
      </c>
      <c r="Y59" s="681">
        <f t="shared" si="337"/>
        <v>42.623560991664412</v>
      </c>
      <c r="Z59" s="681">
        <f t="shared" si="338"/>
        <v>3.9992920264258212</v>
      </c>
      <c r="AA59" s="681">
        <f>U59*AA3</f>
        <v>0</v>
      </c>
      <c r="AC59" s="680"/>
      <c r="AD59" s="560">
        <f t="shared" si="312"/>
        <v>0</v>
      </c>
      <c r="AE59" s="681">
        <f t="shared" si="339"/>
        <v>0</v>
      </c>
      <c r="AF59" s="681">
        <f t="shared" si="340"/>
        <v>0</v>
      </c>
      <c r="AG59" s="681">
        <f t="shared" si="341"/>
        <v>0</v>
      </c>
      <c r="AH59" s="681">
        <f t="shared" si="342"/>
        <v>0</v>
      </c>
      <c r="AI59" s="681">
        <f>AC59*AI3</f>
        <v>0</v>
      </c>
      <c r="AK59" s="680"/>
      <c r="AL59" s="560">
        <f t="shared" si="314"/>
        <v>0</v>
      </c>
      <c r="AM59" s="681">
        <f t="shared" si="343"/>
        <v>0</v>
      </c>
      <c r="AN59" s="681">
        <f t="shared" si="344"/>
        <v>0</v>
      </c>
      <c r="AO59" s="681">
        <f t="shared" si="345"/>
        <v>0</v>
      </c>
      <c r="AP59" s="681">
        <f t="shared" si="346"/>
        <v>0</v>
      </c>
      <c r="AQ59" s="681">
        <f>AK59*AQ3</f>
        <v>0</v>
      </c>
      <c r="AS59" s="680"/>
      <c r="AT59" s="560">
        <f t="shared" si="315"/>
        <v>0</v>
      </c>
      <c r="AU59" s="681">
        <f t="shared" si="347"/>
        <v>0</v>
      </c>
      <c r="AV59" s="681">
        <f t="shared" si="348"/>
        <v>0</v>
      </c>
      <c r="AW59" s="681">
        <f t="shared" si="349"/>
        <v>0</v>
      </c>
      <c r="AX59" s="681">
        <f t="shared" si="350"/>
        <v>0</v>
      </c>
      <c r="AY59" s="681">
        <f>AS59*AY3</f>
        <v>0</v>
      </c>
      <c r="BA59" s="680"/>
      <c r="BB59" s="560">
        <f t="shared" si="316"/>
        <v>0</v>
      </c>
      <c r="BC59" s="681">
        <f t="shared" si="351"/>
        <v>0</v>
      </c>
      <c r="BD59" s="681">
        <f t="shared" si="352"/>
        <v>0</v>
      </c>
      <c r="BE59" s="681">
        <f t="shared" si="353"/>
        <v>0</v>
      </c>
      <c r="BF59" s="681">
        <f t="shared" si="354"/>
        <v>0</v>
      </c>
      <c r="BG59" s="681">
        <f>BA59*BG3</f>
        <v>0</v>
      </c>
      <c r="BI59" s="680"/>
      <c r="BJ59" s="560">
        <f t="shared" si="317"/>
        <v>0</v>
      </c>
      <c r="BK59" s="681">
        <f t="shared" si="355"/>
        <v>0</v>
      </c>
      <c r="BL59" s="681">
        <f t="shared" si="356"/>
        <v>0</v>
      </c>
      <c r="BM59" s="681">
        <f t="shared" si="357"/>
        <v>0</v>
      </c>
      <c r="BN59" s="681">
        <f t="shared" si="358"/>
        <v>0</v>
      </c>
      <c r="BO59" s="681">
        <f>BI59*BO3</f>
        <v>0</v>
      </c>
      <c r="BQ59" s="680"/>
      <c r="BR59" s="560">
        <f t="shared" si="318"/>
        <v>0</v>
      </c>
      <c r="BS59" s="681">
        <f t="shared" si="359"/>
        <v>0</v>
      </c>
      <c r="BT59" s="681">
        <f t="shared" si="360"/>
        <v>0</v>
      </c>
      <c r="BU59" s="681">
        <f t="shared" si="361"/>
        <v>0</v>
      </c>
      <c r="BV59" s="681">
        <f t="shared" si="362"/>
        <v>0</v>
      </c>
      <c r="BW59" s="681">
        <f>BQ59*BW3</f>
        <v>0</v>
      </c>
      <c r="BY59" s="680"/>
      <c r="BZ59" s="560">
        <f t="shared" si="319"/>
        <v>0</v>
      </c>
      <c r="CA59" s="681">
        <f t="shared" si="363"/>
        <v>0</v>
      </c>
      <c r="CB59" s="681">
        <f t="shared" si="364"/>
        <v>0</v>
      </c>
      <c r="CC59" s="681">
        <f t="shared" si="365"/>
        <v>0</v>
      </c>
      <c r="CD59" s="681">
        <f t="shared" si="366"/>
        <v>0</v>
      </c>
      <c r="CE59" s="681">
        <f>BY59*CE3</f>
        <v>0</v>
      </c>
      <c r="CG59" s="680"/>
      <c r="CH59" s="560">
        <f t="shared" si="320"/>
        <v>0</v>
      </c>
      <c r="CI59" s="681">
        <f>CG59*$CI$3</f>
        <v>0</v>
      </c>
      <c r="CJ59" s="681">
        <f>CG59*$CJ$3</f>
        <v>0</v>
      </c>
      <c r="CK59" s="681">
        <f>CG59*$CK$3</f>
        <v>0</v>
      </c>
      <c r="CL59" s="681">
        <f>CG59*$CL$3</f>
        <v>0</v>
      </c>
      <c r="CM59" s="681">
        <f>CG59*CM3</f>
        <v>0</v>
      </c>
      <c r="CN59" s="708"/>
      <c r="CO59" s="680"/>
      <c r="CP59" s="560">
        <f t="shared" si="321"/>
        <v>0</v>
      </c>
      <c r="CQ59" s="681">
        <f>CO59*$CQ$3</f>
        <v>0</v>
      </c>
      <c r="CR59" s="681">
        <f>CO59*$CR$3</f>
        <v>0</v>
      </c>
      <c r="CS59" s="681">
        <f>CO59*$CS$3</f>
        <v>0</v>
      </c>
      <c r="CT59" s="681">
        <f>CO59*$CT$3</f>
        <v>0</v>
      </c>
      <c r="CU59" s="681">
        <f>CO59*CU3</f>
        <v>0</v>
      </c>
      <c r="CV59" s="708"/>
      <c r="CW59" s="680"/>
      <c r="CX59" s="560">
        <f t="shared" si="322"/>
        <v>0</v>
      </c>
      <c r="CY59" s="681">
        <f>CW59*$CY$3</f>
        <v>0</v>
      </c>
      <c r="CZ59" s="681">
        <f>CW59*$CZ$3</f>
        <v>0</v>
      </c>
      <c r="DA59" s="681">
        <f>CW59*$DA$3</f>
        <v>0</v>
      </c>
      <c r="DB59" s="681">
        <f>CW59*$DB$3</f>
        <v>0</v>
      </c>
      <c r="DC59" s="681">
        <f>CW59*DC3</f>
        <v>0</v>
      </c>
      <c r="DF59" s="688"/>
      <c r="DG59" s="688"/>
      <c r="DH59" s="688"/>
      <c r="DI59" s="688"/>
      <c r="DJ59" s="688"/>
    </row>
    <row r="60" spans="1:119" s="673" customFormat="1" ht="20.25" customHeight="1" outlineLevel="1">
      <c r="A60" s="690"/>
      <c r="B60" s="678" t="s">
        <v>151</v>
      </c>
      <c r="C60" s="671" t="s">
        <v>9</v>
      </c>
      <c r="D60" s="563">
        <v>1347.9985937499996</v>
      </c>
      <c r="E60" s="560">
        <f t="shared" si="307"/>
        <v>351.65104188119449</v>
      </c>
      <c r="F60" s="564">
        <v>143.68574828732955</v>
      </c>
      <c r="G60" s="564">
        <v>207.96529359386497</v>
      </c>
      <c r="H60" s="563">
        <f t="shared" si="308"/>
        <v>966.02454299991314</v>
      </c>
      <c r="I60" s="564">
        <v>30.323008868892011</v>
      </c>
      <c r="J60" s="564"/>
      <c r="K60" s="683" t="s">
        <v>429</v>
      </c>
      <c r="M60" s="715"/>
      <c r="N60" s="560">
        <f t="shared" si="309"/>
        <v>0</v>
      </c>
      <c r="O60" s="716">
        <f>M60*O3</f>
        <v>0</v>
      </c>
      <c r="P60" s="716">
        <f>M60*P3</f>
        <v>0</v>
      </c>
      <c r="Q60" s="716">
        <f>M60*Q3</f>
        <v>0</v>
      </c>
      <c r="R60" s="716">
        <f>M60*R3</f>
        <v>0</v>
      </c>
      <c r="S60" s="716">
        <f>M60*S3</f>
        <v>0</v>
      </c>
      <c r="U60" s="680"/>
      <c r="V60" s="560">
        <f t="shared" si="310"/>
        <v>0</v>
      </c>
      <c r="W60" s="681">
        <f>U60*W3</f>
        <v>0</v>
      </c>
      <c r="X60" s="681">
        <f>U60*X3</f>
        <v>0</v>
      </c>
      <c r="Y60" s="681">
        <f>U60*Y3</f>
        <v>0</v>
      </c>
      <c r="Z60" s="681">
        <f>U60*Z3</f>
        <v>0</v>
      </c>
      <c r="AA60" s="681">
        <f>U60*AA3</f>
        <v>0</v>
      </c>
      <c r="AC60" s="680"/>
      <c r="AD60" s="560">
        <f t="shared" si="312"/>
        <v>0</v>
      </c>
      <c r="AE60" s="681">
        <f>AC60*AE3</f>
        <v>0</v>
      </c>
      <c r="AF60" s="681">
        <f>AC60*AF3</f>
        <v>0</v>
      </c>
      <c r="AG60" s="681">
        <f>AC60*AG3</f>
        <v>0</v>
      </c>
      <c r="AH60" s="681">
        <f>AC60*AH3</f>
        <v>0</v>
      </c>
      <c r="AI60" s="681">
        <f>AC60*AI3</f>
        <v>0</v>
      </c>
      <c r="AK60" s="680"/>
      <c r="AL60" s="560">
        <f t="shared" si="314"/>
        <v>0</v>
      </c>
      <c r="AM60" s="681">
        <f>AK60*AM3</f>
        <v>0</v>
      </c>
      <c r="AN60" s="681">
        <f>AK60*AN3</f>
        <v>0</v>
      </c>
      <c r="AO60" s="681">
        <f>AK60*AO3</f>
        <v>0</v>
      </c>
      <c r="AP60" s="681">
        <f>AK60*AP3</f>
        <v>0</v>
      </c>
      <c r="AQ60" s="681">
        <f>AK60*AQ3</f>
        <v>0</v>
      </c>
      <c r="AS60" s="680"/>
      <c r="AT60" s="560">
        <f t="shared" si="315"/>
        <v>0</v>
      </c>
      <c r="AU60" s="681">
        <f>AS60*AU3</f>
        <v>0</v>
      </c>
      <c r="AV60" s="681">
        <f>AS60*AV3</f>
        <v>0</v>
      </c>
      <c r="AW60" s="681">
        <f>AS60*AW3</f>
        <v>0</v>
      </c>
      <c r="AX60" s="681">
        <f>AS60*AX3</f>
        <v>0</v>
      </c>
      <c r="AY60" s="681">
        <f>AS60*AY3</f>
        <v>0</v>
      </c>
      <c r="BA60" s="680"/>
      <c r="BB60" s="560">
        <f t="shared" si="316"/>
        <v>0</v>
      </c>
      <c r="BC60" s="684">
        <f>BA60*$DF$60</f>
        <v>0</v>
      </c>
      <c r="BD60" s="684">
        <f>BA60*$DG$60</f>
        <v>0</v>
      </c>
      <c r="BE60" s="684">
        <f>BA60*$DH$60</f>
        <v>0</v>
      </c>
      <c r="BF60" s="684">
        <f>BA60*$DI$60</f>
        <v>0</v>
      </c>
      <c r="BG60" s="684">
        <f>BA60*$DJ$60</f>
        <v>0</v>
      </c>
      <c r="BI60" s="680"/>
      <c r="BJ60" s="560">
        <f t="shared" si="317"/>
        <v>0</v>
      </c>
      <c r="BK60" s="684">
        <f>BI60*$DF$60</f>
        <v>0</v>
      </c>
      <c r="BL60" s="684">
        <f>BI60*$DG$60</f>
        <v>0</v>
      </c>
      <c r="BM60" s="684">
        <f>BI60*$DH$60</f>
        <v>0</v>
      </c>
      <c r="BN60" s="684">
        <f>BI60*$DI$60</f>
        <v>0</v>
      </c>
      <c r="BO60" s="684">
        <f>BI60*$DJ$60</f>
        <v>0</v>
      </c>
      <c r="BQ60" s="680"/>
      <c r="BR60" s="560">
        <f t="shared" si="318"/>
        <v>0</v>
      </c>
      <c r="BS60" s="684">
        <f>BQ60*$DF$60</f>
        <v>0</v>
      </c>
      <c r="BT60" s="684">
        <f>BQ60*$DG$60</f>
        <v>0</v>
      </c>
      <c r="BU60" s="684">
        <f>BQ60*$DH$60</f>
        <v>0</v>
      </c>
      <c r="BV60" s="684">
        <f>BQ60*$DI$60</f>
        <v>0</v>
      </c>
      <c r="BW60" s="684">
        <f>BQ60*$DJ$60</f>
        <v>0</v>
      </c>
      <c r="BY60" s="680"/>
      <c r="BZ60" s="560">
        <f t="shared" si="319"/>
        <v>0</v>
      </c>
      <c r="CA60" s="684">
        <f>BY60*$DF$60</f>
        <v>0</v>
      </c>
      <c r="CB60" s="684">
        <f>BY60*$DG$60</f>
        <v>0</v>
      </c>
      <c r="CC60" s="684">
        <f>BY60*$DH$60</f>
        <v>0</v>
      </c>
      <c r="CD60" s="684">
        <f>BY60*$DI$60</f>
        <v>0</v>
      </c>
      <c r="CE60" s="684">
        <f>BY60*$DJ$60</f>
        <v>0</v>
      </c>
      <c r="CG60" s="680"/>
      <c r="CH60" s="560">
        <f t="shared" si="320"/>
        <v>0</v>
      </c>
      <c r="CI60" s="684">
        <f>CG60*$DF$60</f>
        <v>0</v>
      </c>
      <c r="CJ60" s="684">
        <f>CG60*$DG$60</f>
        <v>0</v>
      </c>
      <c r="CK60" s="684">
        <f>CG60*$DH$60</f>
        <v>0</v>
      </c>
      <c r="CL60" s="684">
        <f>CG60*$DI$60</f>
        <v>0</v>
      </c>
      <c r="CM60" s="684">
        <f>CG60*$DJ$60</f>
        <v>0</v>
      </c>
      <c r="CO60" s="680"/>
      <c r="CP60" s="560">
        <f t="shared" si="321"/>
        <v>0</v>
      </c>
      <c r="CQ60" s="684">
        <f>CO60*$DF$60</f>
        <v>0</v>
      </c>
      <c r="CR60" s="684">
        <f>CO60*$DG$60</f>
        <v>0</v>
      </c>
      <c r="CS60" s="684">
        <f>CO60*$DH$60</f>
        <v>0</v>
      </c>
      <c r="CT60" s="684">
        <f>CO60*$DI$60</f>
        <v>0</v>
      </c>
      <c r="CU60" s="684">
        <f>CO60*$DJ$60</f>
        <v>0</v>
      </c>
      <c r="CW60" s="680"/>
      <c r="CX60" s="560">
        <f t="shared" si="322"/>
        <v>0</v>
      </c>
      <c r="CY60" s="684">
        <f>CW60*$DF$60</f>
        <v>0</v>
      </c>
      <c r="CZ60" s="684">
        <f>CW60*$DG$60</f>
        <v>0</v>
      </c>
      <c r="DA60" s="684">
        <f>CW60*$DH$60</f>
        <v>0</v>
      </c>
      <c r="DB60" s="684">
        <f>CW60*$DI$60</f>
        <v>0</v>
      </c>
      <c r="DC60" s="684">
        <f>CW60*$DJ$60</f>
        <v>0</v>
      </c>
      <c r="DF60" s="685">
        <f>F60/$D$60</f>
        <v>0.10659191259807617</v>
      </c>
      <c r="DG60" s="685">
        <f>G60/$D$60</f>
        <v>0.15427708497478915</v>
      </c>
      <c r="DH60" s="685">
        <f>H60/$D$60</f>
        <v>0.71663616525928842</v>
      </c>
      <c r="DI60" s="685">
        <f>I60/$D$60</f>
        <v>2.2494837167846282E-2</v>
      </c>
      <c r="DJ60" s="685">
        <f>J60/$D$60</f>
        <v>0</v>
      </c>
    </row>
    <row r="61" spans="1:119" s="673" customFormat="1" ht="20.25" customHeight="1" outlineLevel="1">
      <c r="A61" s="690"/>
      <c r="B61" s="678" t="s">
        <v>88</v>
      </c>
      <c r="C61" s="671" t="s">
        <v>9</v>
      </c>
      <c r="D61" s="563">
        <v>56064</v>
      </c>
      <c r="E61" s="560">
        <f t="shared" si="307"/>
        <v>12499.606139896485</v>
      </c>
      <c r="F61" s="564">
        <v>5254.2047951843697</v>
      </c>
      <c r="G61" s="564">
        <v>7245.401344712116</v>
      </c>
      <c r="H61" s="563">
        <f t="shared" si="308"/>
        <v>41404.103055989246</v>
      </c>
      <c r="I61" s="564">
        <v>2160.2908041142655</v>
      </c>
      <c r="J61" s="564"/>
      <c r="K61" s="679" t="s">
        <v>184</v>
      </c>
      <c r="M61" s="680">
        <f>4761600/1000</f>
        <v>4761.6000000000004</v>
      </c>
      <c r="N61" s="560">
        <f t="shared" si="309"/>
        <v>1061.6103844843592</v>
      </c>
      <c r="O61" s="681">
        <f>$M$61*$O$3</f>
        <v>446.24753054990549</v>
      </c>
      <c r="P61" s="681">
        <f>$M$61*$P$3</f>
        <v>615.36285393445371</v>
      </c>
      <c r="Q61" s="681">
        <f>$M$61*$Q$3</f>
        <v>3382.6058002984878</v>
      </c>
      <c r="R61" s="681">
        <f>$M$61*$R$3</f>
        <v>317.3838152171532</v>
      </c>
      <c r="S61" s="681">
        <f>$M$16*$S$3</f>
        <v>0</v>
      </c>
      <c r="U61" s="680">
        <f>4608000/1000</f>
        <v>4608</v>
      </c>
      <c r="V61" s="560">
        <f t="shared" si="310"/>
        <v>1027.36488821067</v>
      </c>
      <c r="W61" s="681">
        <f>U61*$W$3</f>
        <v>431.85244891926334</v>
      </c>
      <c r="X61" s="681">
        <f>U61*$X$3</f>
        <v>595.51243929140674</v>
      </c>
      <c r="Y61" s="681">
        <f>U61*$Y$3</f>
        <v>3273.4894841598266</v>
      </c>
      <c r="Z61" s="681">
        <f>U61*$Z$3</f>
        <v>307.14562762950305</v>
      </c>
      <c r="AA61" s="681">
        <f>U61*AA3</f>
        <v>0</v>
      </c>
      <c r="AC61" s="680">
        <f>4761600/1000</f>
        <v>4761.6000000000004</v>
      </c>
      <c r="AD61" s="560">
        <f t="shared" si="312"/>
        <v>1061.6103844843592</v>
      </c>
      <c r="AE61" s="681">
        <f t="shared" ref="AE61" si="367">AC61*$AE$3</f>
        <v>446.24753054990549</v>
      </c>
      <c r="AF61" s="681">
        <f t="shared" ref="AF61" si="368">AC61*$AF$3</f>
        <v>615.36285393445371</v>
      </c>
      <c r="AG61" s="681">
        <f t="shared" ref="AG61" si="369">AC61*$AG$3</f>
        <v>3382.6058002984878</v>
      </c>
      <c r="AH61" s="681">
        <f t="shared" ref="AH61" si="370">AC61*$AH$3</f>
        <v>317.3838152171532</v>
      </c>
      <c r="AI61" s="681">
        <f>AC61*AI3</f>
        <v>0</v>
      </c>
      <c r="AK61" s="680">
        <f>4608000/1000</f>
        <v>4608</v>
      </c>
      <c r="AL61" s="560">
        <f t="shared" si="314"/>
        <v>1027.36488821067</v>
      </c>
      <c r="AM61" s="681">
        <f>AK61*$AM$3</f>
        <v>431.85244891926334</v>
      </c>
      <c r="AN61" s="681">
        <f>AK61*$AN$3</f>
        <v>595.51243929140674</v>
      </c>
      <c r="AO61" s="681">
        <f>AK61*$AO$3</f>
        <v>3273.4894841598266</v>
      </c>
      <c r="AP61" s="681">
        <f>AK61*$AP$3</f>
        <v>307.14562762950305</v>
      </c>
      <c r="AQ61" s="681">
        <f>AK61*AQ3</f>
        <v>0</v>
      </c>
      <c r="AS61" s="680">
        <f>4761600/1000</f>
        <v>4761.6000000000004</v>
      </c>
      <c r="AT61" s="560">
        <f t="shared" si="315"/>
        <v>1061.6103844843592</v>
      </c>
      <c r="AU61" s="681">
        <f>AS61*$AU$3</f>
        <v>446.24753054990549</v>
      </c>
      <c r="AV61" s="681">
        <f>AS61*$AV$3</f>
        <v>615.36285393445371</v>
      </c>
      <c r="AW61" s="681">
        <f>AS61*$AW$3</f>
        <v>3382.6058002984878</v>
      </c>
      <c r="AX61" s="681">
        <f>AS61*$AX$3</f>
        <v>317.3838152171532</v>
      </c>
      <c r="AY61" s="681">
        <f>AS61*AY3</f>
        <v>0</v>
      </c>
      <c r="BA61" s="680"/>
      <c r="BB61" s="560">
        <f t="shared" si="316"/>
        <v>0</v>
      </c>
      <c r="BC61" s="681">
        <f t="shared" ref="BC61" si="371">BA61*$BC$3</f>
        <v>0</v>
      </c>
      <c r="BD61" s="681">
        <f t="shared" ref="BD61" si="372">BA61*$BD$3</f>
        <v>0</v>
      </c>
      <c r="BE61" s="681">
        <f t="shared" ref="BE61" si="373">BA61*$BE$3</f>
        <v>0</v>
      </c>
      <c r="BF61" s="681">
        <f t="shared" ref="BF61" si="374">BA61*$BF$3</f>
        <v>0</v>
      </c>
      <c r="BG61" s="681">
        <f>BA61*BG3</f>
        <v>0</v>
      </c>
      <c r="BI61" s="680"/>
      <c r="BJ61" s="560">
        <f t="shared" si="317"/>
        <v>0</v>
      </c>
      <c r="BK61" s="681">
        <f t="shared" ref="BK61" si="375">BI61*$BK$3</f>
        <v>0</v>
      </c>
      <c r="BL61" s="681">
        <f t="shared" ref="BL61" si="376">BI61*$BL$3</f>
        <v>0</v>
      </c>
      <c r="BM61" s="681">
        <f t="shared" ref="BM61" si="377">BI61*$BM$3</f>
        <v>0</v>
      </c>
      <c r="BN61" s="681">
        <f t="shared" ref="BN61" si="378">BI61*$BN$3</f>
        <v>0</v>
      </c>
      <c r="BO61" s="681">
        <f>BI61*BO3</f>
        <v>0</v>
      </c>
      <c r="BQ61" s="680"/>
      <c r="BR61" s="560">
        <f t="shared" si="318"/>
        <v>0</v>
      </c>
      <c r="BS61" s="681">
        <f t="shared" ref="BS61" si="379">BQ61*$BS$3</f>
        <v>0</v>
      </c>
      <c r="BT61" s="681">
        <f t="shared" ref="BT61" si="380">BQ61*$BT$3</f>
        <v>0</v>
      </c>
      <c r="BU61" s="681">
        <f t="shared" ref="BU61" si="381">BQ61*$BU$3</f>
        <v>0</v>
      </c>
      <c r="BV61" s="681">
        <f t="shared" ref="BV61" si="382">BQ61*$BV$3</f>
        <v>0</v>
      </c>
      <c r="BW61" s="681">
        <f>BQ61*BW3</f>
        <v>0</v>
      </c>
      <c r="BY61" s="680"/>
      <c r="BZ61" s="560">
        <f t="shared" si="319"/>
        <v>0</v>
      </c>
      <c r="CA61" s="681">
        <f t="shared" ref="CA61" si="383">BY61*$CA$3</f>
        <v>0</v>
      </c>
      <c r="CB61" s="681">
        <f t="shared" ref="CB61" si="384">BY61*$CB$3</f>
        <v>0</v>
      </c>
      <c r="CC61" s="681">
        <f t="shared" ref="CC61" si="385">BY61*$CC$3</f>
        <v>0</v>
      </c>
      <c r="CD61" s="681">
        <f t="shared" ref="CD61" si="386">BY61*$CD$3</f>
        <v>0</v>
      </c>
      <c r="CE61" s="681">
        <f>BY61*CE3</f>
        <v>0</v>
      </c>
      <c r="CG61" s="680"/>
      <c r="CH61" s="560">
        <f t="shared" si="320"/>
        <v>0</v>
      </c>
      <c r="CI61" s="681">
        <f>CG61*$CI$3</f>
        <v>0</v>
      </c>
      <c r="CJ61" s="681">
        <f>CG61*$CJ$3</f>
        <v>0</v>
      </c>
      <c r="CK61" s="681">
        <f>CG61*$CK$3</f>
        <v>0</v>
      </c>
      <c r="CL61" s="681">
        <f>CG61*$CL$3</f>
        <v>0</v>
      </c>
      <c r="CM61" s="681">
        <f>CG61*CM3</f>
        <v>0</v>
      </c>
      <c r="CN61" s="708"/>
      <c r="CO61" s="680"/>
      <c r="CP61" s="560">
        <f t="shared" si="321"/>
        <v>0</v>
      </c>
      <c r="CQ61" s="681">
        <f>CO61*$CQ$3</f>
        <v>0</v>
      </c>
      <c r="CR61" s="681">
        <f>CO61*$CR$3</f>
        <v>0</v>
      </c>
      <c r="CS61" s="681">
        <f>CO61*$CS$3</f>
        <v>0</v>
      </c>
      <c r="CT61" s="681">
        <f>CO61*$CT$3</f>
        <v>0</v>
      </c>
      <c r="CU61" s="681">
        <f>CO61*CU3</f>
        <v>0</v>
      </c>
      <c r="CV61" s="708"/>
      <c r="CW61" s="680"/>
      <c r="CX61" s="560">
        <f t="shared" si="322"/>
        <v>0</v>
      </c>
      <c r="CY61" s="681">
        <f>CW61*$CY$3</f>
        <v>0</v>
      </c>
      <c r="CZ61" s="681">
        <f>CW61*$CZ$3</f>
        <v>0</v>
      </c>
      <c r="DA61" s="681">
        <f>CW61*$DA$3</f>
        <v>0</v>
      </c>
      <c r="DB61" s="681">
        <f>CW61*$DB$3</f>
        <v>0</v>
      </c>
      <c r="DC61" s="681">
        <f>CW61*DC3</f>
        <v>0</v>
      </c>
      <c r="DF61" s="688"/>
      <c r="DG61" s="688"/>
      <c r="DH61" s="688"/>
      <c r="DI61" s="688"/>
      <c r="DJ61" s="688"/>
    </row>
    <row r="62" spans="1:119" s="673" customFormat="1" ht="20.25" customHeight="1" outlineLevel="1">
      <c r="A62" s="690"/>
      <c r="B62" s="678" t="s">
        <v>40</v>
      </c>
      <c r="C62" s="671" t="s">
        <v>9</v>
      </c>
      <c r="D62" s="563">
        <v>599.3850000000001</v>
      </c>
      <c r="E62" s="560">
        <f t="shared" si="307"/>
        <v>541.41432781302763</v>
      </c>
      <c r="F62" s="564">
        <v>214.89098405029395</v>
      </c>
      <c r="G62" s="564">
        <v>326.52334376273365</v>
      </c>
      <c r="H62" s="563">
        <f t="shared" si="308"/>
        <v>57.970672186972536</v>
      </c>
      <c r="I62" s="564">
        <v>0</v>
      </c>
      <c r="J62" s="564"/>
      <c r="K62" s="686" t="s">
        <v>202</v>
      </c>
      <c r="M62" s="680"/>
      <c r="N62" s="560">
        <f t="shared" si="309"/>
        <v>0</v>
      </c>
      <c r="O62" s="687">
        <f>$M$62*$O$6</f>
        <v>0</v>
      </c>
      <c r="P62" s="687">
        <f>$M$62*$P$6</f>
        <v>0</v>
      </c>
      <c r="Q62" s="687">
        <f>$M$62*$Q$6</f>
        <v>0</v>
      </c>
      <c r="R62" s="687">
        <f>$M$62*$R$6</f>
        <v>0</v>
      </c>
      <c r="S62" s="687">
        <f>$M$18*$S$6</f>
        <v>0</v>
      </c>
      <c r="U62" s="680"/>
      <c r="V62" s="560">
        <f t="shared" si="310"/>
        <v>0</v>
      </c>
      <c r="W62" s="687">
        <f>U62*$W$6</f>
        <v>0</v>
      </c>
      <c r="X62" s="687">
        <f>U62*$X$6</f>
        <v>0</v>
      </c>
      <c r="Y62" s="687">
        <f>U62*$Y$6</f>
        <v>0</v>
      </c>
      <c r="Z62" s="687">
        <f>U62*$Z$6</f>
        <v>0</v>
      </c>
      <c r="AA62" s="687">
        <f>U62*AA6</f>
        <v>0</v>
      </c>
      <c r="AC62" s="680"/>
      <c r="AD62" s="560">
        <f t="shared" si="312"/>
        <v>0</v>
      </c>
      <c r="AE62" s="687">
        <f>AC62*$W$6</f>
        <v>0</v>
      </c>
      <c r="AF62" s="687">
        <f>AC62*$X$6</f>
        <v>0</v>
      </c>
      <c r="AG62" s="687">
        <f>AC62*$Y$6</f>
        <v>0</v>
      </c>
      <c r="AH62" s="687">
        <f>AC62*$Z$6</f>
        <v>0</v>
      </c>
      <c r="AI62" s="687">
        <f>AC62*AI6</f>
        <v>0</v>
      </c>
      <c r="AK62" s="680"/>
      <c r="AL62" s="560">
        <f t="shared" si="314"/>
        <v>0</v>
      </c>
      <c r="AM62" s="687">
        <f>AK62*$W$6</f>
        <v>0</v>
      </c>
      <c r="AN62" s="687">
        <f>AK62*$X$6</f>
        <v>0</v>
      </c>
      <c r="AO62" s="687">
        <f>AK62*$Y$6</f>
        <v>0</v>
      </c>
      <c r="AP62" s="687">
        <f>AK62*$Z$6</f>
        <v>0</v>
      </c>
      <c r="AQ62" s="687">
        <f>AK62*AQ6</f>
        <v>0</v>
      </c>
      <c r="AS62" s="680">
        <f>27666/1000</f>
        <v>27.666</v>
      </c>
      <c r="AT62" s="560">
        <f t="shared" si="315"/>
        <v>24.99022964084056</v>
      </c>
      <c r="AU62" s="687">
        <f>AS62*$W$6</f>
        <v>9.9187900343442568</v>
      </c>
      <c r="AV62" s="687">
        <f>AS62*$X$6</f>
        <v>15.071439606496305</v>
      </c>
      <c r="AW62" s="687">
        <f>AS62*$Y$6</f>
        <v>2.6757703591594386</v>
      </c>
      <c r="AX62" s="687">
        <f>AS62*$Z$6</f>
        <v>0</v>
      </c>
      <c r="AY62" s="687">
        <f>AS62*AY6</f>
        <v>0</v>
      </c>
      <c r="BA62" s="680"/>
      <c r="BB62" s="560">
        <f t="shared" si="316"/>
        <v>0</v>
      </c>
      <c r="BC62" s="687">
        <f>BA62*$W$6</f>
        <v>0</v>
      </c>
      <c r="BD62" s="687">
        <f>BA62*$X$6</f>
        <v>0</v>
      </c>
      <c r="BE62" s="687">
        <f>BA62*$Y$6</f>
        <v>0</v>
      </c>
      <c r="BF62" s="687">
        <f>BA62*$Z$6</f>
        <v>0</v>
      </c>
      <c r="BG62" s="687">
        <f>BA62*BG6</f>
        <v>0</v>
      </c>
      <c r="BI62" s="680"/>
      <c r="BJ62" s="560">
        <f t="shared" si="317"/>
        <v>0</v>
      </c>
      <c r="BK62" s="687">
        <f>BI62*$W$6</f>
        <v>0</v>
      </c>
      <c r="BL62" s="687">
        <f>BI62*$X$6</f>
        <v>0</v>
      </c>
      <c r="BM62" s="687">
        <f>BI62*$Y$6</f>
        <v>0</v>
      </c>
      <c r="BN62" s="687">
        <f>BI62*$Z$6</f>
        <v>0</v>
      </c>
      <c r="BO62" s="687">
        <f>BI62*BO6</f>
        <v>0</v>
      </c>
      <c r="BQ62" s="680"/>
      <c r="BR62" s="560">
        <f t="shared" si="318"/>
        <v>0</v>
      </c>
      <c r="BS62" s="687">
        <f>BQ62*$W$6</f>
        <v>0</v>
      </c>
      <c r="BT62" s="687">
        <f>BQ62*$X$6</f>
        <v>0</v>
      </c>
      <c r="BU62" s="687">
        <f>BQ62*$Y$6</f>
        <v>0</v>
      </c>
      <c r="BV62" s="687">
        <f>BQ62*$Z$6</f>
        <v>0</v>
      </c>
      <c r="BW62" s="687">
        <f>BQ62*BW6</f>
        <v>0</v>
      </c>
      <c r="BY62" s="680"/>
      <c r="BZ62" s="560">
        <f t="shared" si="319"/>
        <v>0</v>
      </c>
      <c r="CA62" s="687">
        <f>BY62*$W$6</f>
        <v>0</v>
      </c>
      <c r="CB62" s="687">
        <f>BY62*$X$6</f>
        <v>0</v>
      </c>
      <c r="CC62" s="687">
        <f>BY62*$Y$6</f>
        <v>0</v>
      </c>
      <c r="CD62" s="687">
        <f>BY62*$Z$6</f>
        <v>0</v>
      </c>
      <c r="CE62" s="687">
        <f>BY62*CE6</f>
        <v>0</v>
      </c>
      <c r="CG62" s="680"/>
      <c r="CH62" s="560">
        <f t="shared" si="320"/>
        <v>0</v>
      </c>
      <c r="CI62" s="687">
        <f>CG62*$W$6</f>
        <v>0</v>
      </c>
      <c r="CJ62" s="687">
        <f>CG62*$X$6</f>
        <v>0</v>
      </c>
      <c r="CK62" s="687">
        <f>CG62*$Y$6</f>
        <v>0</v>
      </c>
      <c r="CL62" s="687">
        <f>CG62*$Z$6</f>
        <v>0</v>
      </c>
      <c r="CM62" s="687">
        <f>CG62*CM6</f>
        <v>0</v>
      </c>
      <c r="CO62" s="680"/>
      <c r="CP62" s="560">
        <f t="shared" si="321"/>
        <v>0</v>
      </c>
      <c r="CQ62" s="687">
        <f>CO62*$W$6</f>
        <v>0</v>
      </c>
      <c r="CR62" s="687">
        <f>CO62*$X$6</f>
        <v>0</v>
      </c>
      <c r="CS62" s="687">
        <f>CO62*$Y$6</f>
        <v>0</v>
      </c>
      <c r="CT62" s="687">
        <f>CO62*$Z$6</f>
        <v>0</v>
      </c>
      <c r="CU62" s="687">
        <f>CO62*CU6</f>
        <v>0</v>
      </c>
      <c r="CW62" s="680"/>
      <c r="CX62" s="560">
        <f t="shared" si="322"/>
        <v>0</v>
      </c>
      <c r="CY62" s="687">
        <f>CW62*$W$6</f>
        <v>0</v>
      </c>
      <c r="CZ62" s="687">
        <f>CW62*$X$6</f>
        <v>0</v>
      </c>
      <c r="DA62" s="687">
        <f>CW62*$Y$6</f>
        <v>0</v>
      </c>
      <c r="DB62" s="687">
        <f>CW62*$Z$6</f>
        <v>0</v>
      </c>
      <c r="DC62" s="687">
        <f>CW62*DC6</f>
        <v>0</v>
      </c>
      <c r="DF62" s="688"/>
      <c r="DG62" s="688"/>
      <c r="DH62" s="688"/>
      <c r="DI62" s="688"/>
      <c r="DJ62" s="688"/>
    </row>
    <row r="63" spans="1:119" s="673" customFormat="1" ht="20.25" customHeight="1" outlineLevel="1">
      <c r="A63" s="690"/>
      <c r="B63" s="678" t="s">
        <v>166</v>
      </c>
      <c r="C63" s="671" t="s">
        <v>9</v>
      </c>
      <c r="D63" s="563">
        <v>1974.2999999999995</v>
      </c>
      <c r="E63" s="560">
        <f t="shared" si="307"/>
        <v>440.17502143974076</v>
      </c>
      <c r="F63" s="564">
        <v>185.0274066626088</v>
      </c>
      <c r="G63" s="564">
        <v>255.14761477713196</v>
      </c>
      <c r="H63" s="563">
        <f t="shared" si="308"/>
        <v>1458.050097450049</v>
      </c>
      <c r="I63" s="564">
        <v>76.074881110209645</v>
      </c>
      <c r="J63" s="564"/>
      <c r="K63" s="679" t="s">
        <v>184</v>
      </c>
      <c r="M63" s="680">
        <f>164525/1000</f>
        <v>164.52500000000001</v>
      </c>
      <c r="N63" s="560">
        <f t="shared" si="309"/>
        <v>36.681251786645078</v>
      </c>
      <c r="O63" s="681">
        <f>$M$63*$O$3</f>
        <v>15.418950555217405</v>
      </c>
      <c r="P63" s="681">
        <f>$M$63*$P$3</f>
        <v>21.262301231427671</v>
      </c>
      <c r="Q63" s="681">
        <f>$M$63*$Q$3</f>
        <v>116.8773562025598</v>
      </c>
      <c r="R63" s="681">
        <f>$M$63*$R$3</f>
        <v>10.966392010795138</v>
      </c>
      <c r="S63" s="681">
        <f t="shared" ref="S63:S67" si="387">$M$16*$S$3</f>
        <v>0</v>
      </c>
      <c r="U63" s="680">
        <f>164525/1000</f>
        <v>164.52500000000001</v>
      </c>
      <c r="V63" s="560">
        <f t="shared" si="310"/>
        <v>36.681251786645078</v>
      </c>
      <c r="W63" s="681">
        <f t="shared" ref="W63:W69" si="388">U63*$W$3</f>
        <v>15.418950555217405</v>
      </c>
      <c r="X63" s="681">
        <f t="shared" ref="X63:X69" si="389">U63*$X$3</f>
        <v>21.262301231427671</v>
      </c>
      <c r="Y63" s="681">
        <f t="shared" ref="Y63:Y69" si="390">U63*$Y$3</f>
        <v>116.8773562025598</v>
      </c>
      <c r="Z63" s="681">
        <f t="shared" ref="Z63:Z69" si="391">U63*$Z$3</f>
        <v>10.966392010795138</v>
      </c>
      <c r="AA63" s="681">
        <f>U63*AA3</f>
        <v>0</v>
      </c>
      <c r="AC63" s="680">
        <f>164525/1000</f>
        <v>164.52500000000001</v>
      </c>
      <c r="AD63" s="560">
        <f t="shared" si="312"/>
        <v>36.681251786645078</v>
      </c>
      <c r="AE63" s="681">
        <f t="shared" ref="AE63:AE69" si="392">AC63*$AE$3</f>
        <v>15.418950555217405</v>
      </c>
      <c r="AF63" s="681">
        <f t="shared" ref="AF63:AF69" si="393">AC63*$AF$3</f>
        <v>21.262301231427671</v>
      </c>
      <c r="AG63" s="681">
        <f t="shared" ref="AG63:AG69" si="394">AC63*$AG$3</f>
        <v>116.8773562025598</v>
      </c>
      <c r="AH63" s="681">
        <f t="shared" ref="AH63:AH69" si="395">AC63*$AH$3</f>
        <v>10.966392010795138</v>
      </c>
      <c r="AI63" s="681">
        <f>AC63*AI3</f>
        <v>0</v>
      </c>
      <c r="AK63" s="680">
        <f>164525/1000</f>
        <v>164.52500000000001</v>
      </c>
      <c r="AL63" s="560">
        <f t="shared" si="314"/>
        <v>36.681251786645078</v>
      </c>
      <c r="AM63" s="681">
        <f t="shared" ref="AM63:AM69" si="396">AK63*$AM$3</f>
        <v>15.418950555217405</v>
      </c>
      <c r="AN63" s="681">
        <f t="shared" ref="AN63:AN69" si="397">AK63*$AN$3</f>
        <v>21.262301231427671</v>
      </c>
      <c r="AO63" s="681">
        <f t="shared" ref="AO63:AO69" si="398">AK63*$AO$3</f>
        <v>116.8773562025598</v>
      </c>
      <c r="AP63" s="681">
        <f t="shared" ref="AP63:AP69" si="399">AK63*$AP$3</f>
        <v>10.966392010795138</v>
      </c>
      <c r="AQ63" s="681">
        <f>AK63*AQ3</f>
        <v>0</v>
      </c>
      <c r="AS63" s="680">
        <f>164525/1000</f>
        <v>164.52500000000001</v>
      </c>
      <c r="AT63" s="560">
        <f t="shared" si="315"/>
        <v>36.681251786645078</v>
      </c>
      <c r="AU63" s="681">
        <f t="shared" ref="AU63:AU69" si="400">AS63*$AU$3</f>
        <v>15.418950555217405</v>
      </c>
      <c r="AV63" s="681">
        <f t="shared" ref="AV63:AV69" si="401">AS63*$AV$3</f>
        <v>21.262301231427671</v>
      </c>
      <c r="AW63" s="681">
        <f t="shared" ref="AW63:AW69" si="402">AS63*$AW$3</f>
        <v>116.8773562025598</v>
      </c>
      <c r="AX63" s="681">
        <f t="shared" ref="AX63:AX69" si="403">AS63*$AX$3</f>
        <v>10.966392010795138</v>
      </c>
      <c r="AY63" s="681">
        <f>AS63*AY3</f>
        <v>0</v>
      </c>
      <c r="BA63" s="680"/>
      <c r="BB63" s="560">
        <f t="shared" si="316"/>
        <v>0</v>
      </c>
      <c r="BC63" s="681">
        <f t="shared" ref="BC63:BC69" si="404">BA63*$BC$3</f>
        <v>0</v>
      </c>
      <c r="BD63" s="681">
        <f t="shared" ref="BD63:BD69" si="405">BA63*$BD$3</f>
        <v>0</v>
      </c>
      <c r="BE63" s="681">
        <f t="shared" ref="BE63:BE69" si="406">BA63*$BE$3</f>
        <v>0</v>
      </c>
      <c r="BF63" s="681">
        <f t="shared" ref="BF63:BF69" si="407">BA63*$BF$3</f>
        <v>0</v>
      </c>
      <c r="BG63" s="681">
        <f>BA63*BG3</f>
        <v>0</v>
      </c>
      <c r="BI63" s="680"/>
      <c r="BJ63" s="560">
        <f t="shared" si="317"/>
        <v>0</v>
      </c>
      <c r="BK63" s="681">
        <f t="shared" ref="BK63:BK69" si="408">BI63*$BK$3</f>
        <v>0</v>
      </c>
      <c r="BL63" s="681">
        <f t="shared" ref="BL63:BL69" si="409">BI63*$BL$3</f>
        <v>0</v>
      </c>
      <c r="BM63" s="681">
        <f t="shared" ref="BM63:BM69" si="410">BI63*$BM$3</f>
        <v>0</v>
      </c>
      <c r="BN63" s="681">
        <f t="shared" ref="BN63:BN69" si="411">BI63*$BN$3</f>
        <v>0</v>
      </c>
      <c r="BO63" s="681">
        <f>BI63*BO3</f>
        <v>0</v>
      </c>
      <c r="BQ63" s="680"/>
      <c r="BR63" s="560">
        <f t="shared" si="318"/>
        <v>0</v>
      </c>
      <c r="BS63" s="681">
        <f t="shared" ref="BS63:BS69" si="412">BQ63*$BS$3</f>
        <v>0</v>
      </c>
      <c r="BT63" s="681">
        <f t="shared" ref="BT63:BT69" si="413">BQ63*$BT$3</f>
        <v>0</v>
      </c>
      <c r="BU63" s="681">
        <f t="shared" ref="BU63:BU69" si="414">BQ63*$BU$3</f>
        <v>0</v>
      </c>
      <c r="BV63" s="681">
        <f t="shared" ref="BV63:BV69" si="415">BQ63*$BV$3</f>
        <v>0</v>
      </c>
      <c r="BW63" s="681">
        <f>BQ63*BW3</f>
        <v>0</v>
      </c>
      <c r="BY63" s="680"/>
      <c r="BZ63" s="560">
        <f t="shared" si="319"/>
        <v>0</v>
      </c>
      <c r="CA63" s="681">
        <f t="shared" ref="CA63:CA69" si="416">BY63*$CA$3</f>
        <v>0</v>
      </c>
      <c r="CB63" s="681">
        <f t="shared" ref="CB63:CB69" si="417">BY63*$CB$3</f>
        <v>0</v>
      </c>
      <c r="CC63" s="681">
        <f t="shared" ref="CC63:CC69" si="418">BY63*$CC$3</f>
        <v>0</v>
      </c>
      <c r="CD63" s="681">
        <f t="shared" ref="CD63:CD69" si="419">BY63*$CD$3</f>
        <v>0</v>
      </c>
      <c r="CE63" s="681">
        <f>BY63*CE3</f>
        <v>0</v>
      </c>
      <c r="CG63" s="680"/>
      <c r="CH63" s="560">
        <f t="shared" si="320"/>
        <v>0</v>
      </c>
      <c r="CI63" s="681">
        <f t="shared" ref="CI63:CI69" si="420">CG63*$CI$3</f>
        <v>0</v>
      </c>
      <c r="CJ63" s="681">
        <f t="shared" ref="CJ63:CJ69" si="421">CG63*$CJ$3</f>
        <v>0</v>
      </c>
      <c r="CK63" s="681">
        <f t="shared" ref="CK63:CK69" si="422">CG63*$CK$3</f>
        <v>0</v>
      </c>
      <c r="CL63" s="681">
        <f t="shared" ref="CL63:CL69" si="423">CG63*$CL$3</f>
        <v>0</v>
      </c>
      <c r="CM63" s="681">
        <f>CG63*CM3</f>
        <v>0</v>
      </c>
      <c r="CN63" s="708"/>
      <c r="CO63" s="680"/>
      <c r="CP63" s="560">
        <f t="shared" si="321"/>
        <v>0</v>
      </c>
      <c r="CQ63" s="681">
        <f t="shared" ref="CQ63:CQ69" si="424">CO63*$CQ$3</f>
        <v>0</v>
      </c>
      <c r="CR63" s="681">
        <f t="shared" ref="CR63:CR69" si="425">CO63*$CR$3</f>
        <v>0</v>
      </c>
      <c r="CS63" s="681">
        <f t="shared" ref="CS63:CS69" si="426">CO63*$CS$3</f>
        <v>0</v>
      </c>
      <c r="CT63" s="681">
        <f t="shared" ref="CT63:CT69" si="427">CO63*$CT$3</f>
        <v>0</v>
      </c>
      <c r="CU63" s="681">
        <f>CO63*CU3</f>
        <v>0</v>
      </c>
      <c r="CV63" s="708"/>
      <c r="CW63" s="680"/>
      <c r="CX63" s="560">
        <f t="shared" si="322"/>
        <v>0</v>
      </c>
      <c r="CY63" s="681">
        <f t="shared" ref="CY63:CY69" si="428">CW63*$CY$3</f>
        <v>0</v>
      </c>
      <c r="CZ63" s="681">
        <f t="shared" ref="CZ63:CZ69" si="429">CW63*$CZ$3</f>
        <v>0</v>
      </c>
      <c r="DA63" s="681">
        <f t="shared" ref="DA63:DA69" si="430">CW63*$DA$3</f>
        <v>0</v>
      </c>
      <c r="DB63" s="681">
        <f t="shared" ref="DB63:DB69" si="431">CW63*$DB$3</f>
        <v>0</v>
      </c>
      <c r="DC63" s="681">
        <f>CW63*DC3</f>
        <v>0</v>
      </c>
      <c r="DF63" s="688"/>
      <c r="DG63" s="688"/>
      <c r="DH63" s="688"/>
      <c r="DI63" s="688"/>
      <c r="DJ63" s="688"/>
    </row>
    <row r="64" spans="1:119" s="673" customFormat="1" ht="20.25" customHeight="1" outlineLevel="1">
      <c r="A64" s="690"/>
      <c r="B64" s="678" t="s">
        <v>115</v>
      </c>
      <c r="C64" s="671" t="s">
        <v>9</v>
      </c>
      <c r="D64" s="563">
        <v>9240</v>
      </c>
      <c r="E64" s="560">
        <f t="shared" si="307"/>
        <v>2060.0806352141039</v>
      </c>
      <c r="F64" s="564">
        <v>865.95412934331443</v>
      </c>
      <c r="G64" s="564">
        <v>1194.1265058707895</v>
      </c>
      <c r="H64" s="563">
        <f t="shared" si="308"/>
        <v>6823.8782861968584</v>
      </c>
      <c r="I64" s="564">
        <v>356.0410785890378</v>
      </c>
      <c r="J64" s="564"/>
      <c r="K64" s="679" t="s">
        <v>184</v>
      </c>
      <c r="M64" s="680"/>
      <c r="N64" s="560">
        <f>O64+P64</f>
        <v>0</v>
      </c>
      <c r="O64" s="681">
        <f>$M$64*$O$3</f>
        <v>0</v>
      </c>
      <c r="P64" s="681">
        <f>$M$64*$P$3</f>
        <v>0</v>
      </c>
      <c r="Q64" s="681">
        <f>$M$64*$Q$3</f>
        <v>0</v>
      </c>
      <c r="R64" s="681">
        <f>$M$64*$R$3</f>
        <v>0</v>
      </c>
      <c r="S64" s="681">
        <f t="shared" si="387"/>
        <v>0</v>
      </c>
      <c r="U64" s="680"/>
      <c r="V64" s="560">
        <f>W64+X64</f>
        <v>0</v>
      </c>
      <c r="W64" s="681">
        <f>U64*$W$3</f>
        <v>0</v>
      </c>
      <c r="X64" s="681">
        <f t="shared" si="389"/>
        <v>0</v>
      </c>
      <c r="Y64" s="681">
        <f t="shared" si="390"/>
        <v>0</v>
      </c>
      <c r="Z64" s="681">
        <f t="shared" si="391"/>
        <v>0</v>
      </c>
      <c r="AA64" s="681">
        <f>U64*AA3</f>
        <v>0</v>
      </c>
      <c r="AC64" s="680"/>
      <c r="AD64" s="560">
        <f>AE64+AF64</f>
        <v>0</v>
      </c>
      <c r="AE64" s="681">
        <f t="shared" si="392"/>
        <v>0</v>
      </c>
      <c r="AF64" s="681">
        <f t="shared" si="393"/>
        <v>0</v>
      </c>
      <c r="AG64" s="681">
        <f t="shared" si="394"/>
        <v>0</v>
      </c>
      <c r="AH64" s="681">
        <f t="shared" si="395"/>
        <v>0</v>
      </c>
      <c r="AI64" s="681">
        <f>AC64*AI3</f>
        <v>0</v>
      </c>
      <c r="AK64" s="680"/>
      <c r="AL64" s="560">
        <f>AM64+AN64</f>
        <v>0</v>
      </c>
      <c r="AM64" s="681">
        <f t="shared" si="396"/>
        <v>0</v>
      </c>
      <c r="AN64" s="681">
        <f t="shared" si="397"/>
        <v>0</v>
      </c>
      <c r="AO64" s="681">
        <f t="shared" si="398"/>
        <v>0</v>
      </c>
      <c r="AP64" s="681">
        <f t="shared" si="399"/>
        <v>0</v>
      </c>
      <c r="AQ64" s="681">
        <f>AK64*AQ3</f>
        <v>0</v>
      </c>
      <c r="AS64" s="680"/>
      <c r="AT64" s="560">
        <f>AU64+AV64</f>
        <v>0</v>
      </c>
      <c r="AU64" s="681">
        <f t="shared" si="400"/>
        <v>0</v>
      </c>
      <c r="AV64" s="681">
        <f t="shared" si="401"/>
        <v>0</v>
      </c>
      <c r="AW64" s="681">
        <f t="shared" si="402"/>
        <v>0</v>
      </c>
      <c r="AX64" s="681">
        <f t="shared" si="403"/>
        <v>0</v>
      </c>
      <c r="AY64" s="681">
        <f>AS64*AY3</f>
        <v>0</v>
      </c>
      <c r="BA64" s="680"/>
      <c r="BB64" s="560">
        <f>BC64+BD64</f>
        <v>0</v>
      </c>
      <c r="BC64" s="681">
        <f t="shared" si="404"/>
        <v>0</v>
      </c>
      <c r="BD64" s="681">
        <f t="shared" si="405"/>
        <v>0</v>
      </c>
      <c r="BE64" s="681">
        <f t="shared" si="406"/>
        <v>0</v>
      </c>
      <c r="BF64" s="681">
        <f t="shared" si="407"/>
        <v>0</v>
      </c>
      <c r="BG64" s="681">
        <f>BA64*BG3</f>
        <v>0</v>
      </c>
      <c r="BI64" s="680"/>
      <c r="BJ64" s="560">
        <f>BK64+BL64</f>
        <v>0</v>
      </c>
      <c r="BK64" s="681">
        <f t="shared" si="408"/>
        <v>0</v>
      </c>
      <c r="BL64" s="681">
        <f t="shared" si="409"/>
        <v>0</v>
      </c>
      <c r="BM64" s="681">
        <f t="shared" si="410"/>
        <v>0</v>
      </c>
      <c r="BN64" s="681">
        <f t="shared" si="411"/>
        <v>0</v>
      </c>
      <c r="BO64" s="681">
        <f>BI64*BO3</f>
        <v>0</v>
      </c>
      <c r="BQ64" s="680"/>
      <c r="BR64" s="560">
        <f>BS64+BT64</f>
        <v>0</v>
      </c>
      <c r="BS64" s="681">
        <f t="shared" si="412"/>
        <v>0</v>
      </c>
      <c r="BT64" s="681">
        <f t="shared" si="413"/>
        <v>0</v>
      </c>
      <c r="BU64" s="681">
        <f t="shared" si="414"/>
        <v>0</v>
      </c>
      <c r="BV64" s="681">
        <f t="shared" si="415"/>
        <v>0</v>
      </c>
      <c r="BW64" s="681">
        <f>BQ64*BW3</f>
        <v>0</v>
      </c>
      <c r="BY64" s="680"/>
      <c r="BZ64" s="560">
        <f>CA64+CB64</f>
        <v>0</v>
      </c>
      <c r="CA64" s="681">
        <f t="shared" si="416"/>
        <v>0</v>
      </c>
      <c r="CB64" s="681">
        <f t="shared" si="417"/>
        <v>0</v>
      </c>
      <c r="CC64" s="681">
        <f t="shared" si="418"/>
        <v>0</v>
      </c>
      <c r="CD64" s="681">
        <f t="shared" si="419"/>
        <v>0</v>
      </c>
      <c r="CE64" s="681">
        <f>BY64*CE3</f>
        <v>0</v>
      </c>
      <c r="CG64" s="680"/>
      <c r="CH64" s="560">
        <f t="shared" si="320"/>
        <v>0</v>
      </c>
      <c r="CI64" s="681">
        <f>CG64*$CI$3</f>
        <v>0</v>
      </c>
      <c r="CJ64" s="681">
        <f t="shared" si="421"/>
        <v>0</v>
      </c>
      <c r="CK64" s="681">
        <f t="shared" si="422"/>
        <v>0</v>
      </c>
      <c r="CL64" s="681">
        <f t="shared" si="423"/>
        <v>0</v>
      </c>
      <c r="CM64" s="681">
        <f>CG64*CM3</f>
        <v>0</v>
      </c>
      <c r="CN64" s="708"/>
      <c r="CO64" s="680"/>
      <c r="CP64" s="560">
        <f t="shared" si="321"/>
        <v>0</v>
      </c>
      <c r="CQ64" s="681">
        <f t="shared" si="424"/>
        <v>0</v>
      </c>
      <c r="CR64" s="681">
        <f t="shared" si="425"/>
        <v>0</v>
      </c>
      <c r="CS64" s="681">
        <f t="shared" si="426"/>
        <v>0</v>
      </c>
      <c r="CT64" s="681">
        <f t="shared" si="427"/>
        <v>0</v>
      </c>
      <c r="CU64" s="681">
        <f>CO64*CU3</f>
        <v>0</v>
      </c>
      <c r="CV64" s="708"/>
      <c r="CW64" s="680"/>
      <c r="CX64" s="560">
        <f t="shared" si="322"/>
        <v>0</v>
      </c>
      <c r="CY64" s="681">
        <f t="shared" si="428"/>
        <v>0</v>
      </c>
      <c r="CZ64" s="681">
        <f t="shared" si="429"/>
        <v>0</v>
      </c>
      <c r="DA64" s="681">
        <f t="shared" si="430"/>
        <v>0</v>
      </c>
      <c r="DB64" s="681">
        <f t="shared" si="431"/>
        <v>0</v>
      </c>
      <c r="DC64" s="681">
        <f>CW64*DC3</f>
        <v>0</v>
      </c>
      <c r="DF64" s="688"/>
      <c r="DG64" s="688"/>
      <c r="DH64" s="688"/>
      <c r="DI64" s="688"/>
      <c r="DJ64" s="688"/>
    </row>
    <row r="65" spans="1:118" s="673" customFormat="1" ht="20.25" customHeight="1" outlineLevel="1">
      <c r="A65" s="690"/>
      <c r="B65" s="678" t="s">
        <v>116</v>
      </c>
      <c r="C65" s="671" t="s">
        <v>9</v>
      </c>
      <c r="D65" s="563">
        <v>10183.257142857141</v>
      </c>
      <c r="E65" s="560">
        <f t="shared" si="307"/>
        <v>2270.3821259097081</v>
      </c>
      <c r="F65" s="564">
        <v>954.35428279458267</v>
      </c>
      <c r="G65" s="564">
        <v>1316.0278431151253</v>
      </c>
      <c r="H65" s="563">
        <f t="shared" si="308"/>
        <v>7520.4878030196869</v>
      </c>
      <c r="I65" s="564">
        <v>392.3872139277467</v>
      </c>
      <c r="J65" s="564"/>
      <c r="K65" s="679" t="s">
        <v>184</v>
      </c>
      <c r="M65" s="680"/>
      <c r="N65" s="560">
        <f>O65+P65</f>
        <v>0</v>
      </c>
      <c r="O65" s="681">
        <f>$M$65*$O$3</f>
        <v>0</v>
      </c>
      <c r="P65" s="681">
        <f>$M$65*$P$3</f>
        <v>0</v>
      </c>
      <c r="Q65" s="681">
        <f>$M$65*$Q$3</f>
        <v>0</v>
      </c>
      <c r="R65" s="681">
        <f>$M$65*$R$3</f>
        <v>0</v>
      </c>
      <c r="S65" s="681">
        <f t="shared" si="387"/>
        <v>0</v>
      </c>
      <c r="U65" s="680"/>
      <c r="V65" s="560">
        <f>W65+X65</f>
        <v>0</v>
      </c>
      <c r="W65" s="681">
        <f t="shared" si="388"/>
        <v>0</v>
      </c>
      <c r="X65" s="681">
        <f t="shared" si="389"/>
        <v>0</v>
      </c>
      <c r="Y65" s="681">
        <f t="shared" si="390"/>
        <v>0</v>
      </c>
      <c r="Z65" s="681">
        <f t="shared" si="391"/>
        <v>0</v>
      </c>
      <c r="AA65" s="681">
        <f>U65*AA3</f>
        <v>0</v>
      </c>
      <c r="AC65" s="680"/>
      <c r="AD65" s="560">
        <f>AE65+AF65</f>
        <v>0</v>
      </c>
      <c r="AE65" s="681">
        <f t="shared" si="392"/>
        <v>0</v>
      </c>
      <c r="AF65" s="681">
        <f t="shared" si="393"/>
        <v>0</v>
      </c>
      <c r="AG65" s="681">
        <f t="shared" si="394"/>
        <v>0</v>
      </c>
      <c r="AH65" s="681">
        <f t="shared" si="395"/>
        <v>0</v>
      </c>
      <c r="AI65" s="681">
        <f>AC65*AI3</f>
        <v>0</v>
      </c>
      <c r="AK65" s="680"/>
      <c r="AL65" s="560">
        <f>AM65+AN65</f>
        <v>0</v>
      </c>
      <c r="AM65" s="681">
        <f t="shared" si="396"/>
        <v>0</v>
      </c>
      <c r="AN65" s="681">
        <f t="shared" si="397"/>
        <v>0</v>
      </c>
      <c r="AO65" s="681">
        <f t="shared" si="398"/>
        <v>0</v>
      </c>
      <c r="AP65" s="681">
        <f t="shared" si="399"/>
        <v>0</v>
      </c>
      <c r="AQ65" s="681">
        <f>AK65*AQ3</f>
        <v>0</v>
      </c>
      <c r="AS65" s="680"/>
      <c r="AT65" s="560">
        <f>AU65+AV65</f>
        <v>0</v>
      </c>
      <c r="AU65" s="681">
        <f t="shared" si="400"/>
        <v>0</v>
      </c>
      <c r="AV65" s="681">
        <f t="shared" si="401"/>
        <v>0</v>
      </c>
      <c r="AW65" s="681">
        <f t="shared" si="402"/>
        <v>0</v>
      </c>
      <c r="AX65" s="681">
        <f t="shared" si="403"/>
        <v>0</v>
      </c>
      <c r="AY65" s="681">
        <f>AS65*AY3</f>
        <v>0</v>
      </c>
      <c r="BA65" s="680"/>
      <c r="BB65" s="560">
        <f>BC65+BD65</f>
        <v>0</v>
      </c>
      <c r="BC65" s="681">
        <f t="shared" si="404"/>
        <v>0</v>
      </c>
      <c r="BD65" s="681">
        <f t="shared" si="405"/>
        <v>0</v>
      </c>
      <c r="BE65" s="681">
        <f t="shared" si="406"/>
        <v>0</v>
      </c>
      <c r="BF65" s="681">
        <f t="shared" si="407"/>
        <v>0</v>
      </c>
      <c r="BG65" s="681">
        <f>BA65*BG3</f>
        <v>0</v>
      </c>
      <c r="BI65" s="680"/>
      <c r="BJ65" s="560">
        <f>BK65+BL65</f>
        <v>0</v>
      </c>
      <c r="BK65" s="681">
        <f t="shared" si="408"/>
        <v>0</v>
      </c>
      <c r="BL65" s="681">
        <f t="shared" si="409"/>
        <v>0</v>
      </c>
      <c r="BM65" s="681">
        <f t="shared" si="410"/>
        <v>0</v>
      </c>
      <c r="BN65" s="681">
        <f t="shared" si="411"/>
        <v>0</v>
      </c>
      <c r="BO65" s="681">
        <f>BI65*BO3</f>
        <v>0</v>
      </c>
      <c r="BQ65" s="680"/>
      <c r="BR65" s="560">
        <f>BS65+BT65</f>
        <v>0</v>
      </c>
      <c r="BS65" s="681">
        <f t="shared" si="412"/>
        <v>0</v>
      </c>
      <c r="BT65" s="681">
        <f t="shared" si="413"/>
        <v>0</v>
      </c>
      <c r="BU65" s="681">
        <f t="shared" si="414"/>
        <v>0</v>
      </c>
      <c r="BV65" s="681">
        <f t="shared" si="415"/>
        <v>0</v>
      </c>
      <c r="BW65" s="681">
        <f>BQ65*BW3</f>
        <v>0</v>
      </c>
      <c r="BY65" s="680"/>
      <c r="BZ65" s="560">
        <f>CA65+CB65</f>
        <v>0</v>
      </c>
      <c r="CA65" s="681">
        <f t="shared" si="416"/>
        <v>0</v>
      </c>
      <c r="CB65" s="681">
        <f t="shared" si="417"/>
        <v>0</v>
      </c>
      <c r="CC65" s="681">
        <f t="shared" si="418"/>
        <v>0</v>
      </c>
      <c r="CD65" s="681">
        <f t="shared" si="419"/>
        <v>0</v>
      </c>
      <c r="CE65" s="681">
        <f>BY65*CE3</f>
        <v>0</v>
      </c>
      <c r="CG65" s="680"/>
      <c r="CH65" s="560">
        <f t="shared" si="320"/>
        <v>0</v>
      </c>
      <c r="CI65" s="681">
        <f t="shared" si="420"/>
        <v>0</v>
      </c>
      <c r="CJ65" s="681">
        <f t="shared" si="421"/>
        <v>0</v>
      </c>
      <c r="CK65" s="681">
        <f t="shared" si="422"/>
        <v>0</v>
      </c>
      <c r="CL65" s="681">
        <f t="shared" si="423"/>
        <v>0</v>
      </c>
      <c r="CM65" s="681">
        <f>CG65*CM3</f>
        <v>0</v>
      </c>
      <c r="CN65" s="708"/>
      <c r="CO65" s="680"/>
      <c r="CP65" s="560">
        <f t="shared" si="321"/>
        <v>0</v>
      </c>
      <c r="CQ65" s="681">
        <f t="shared" si="424"/>
        <v>0</v>
      </c>
      <c r="CR65" s="681">
        <f t="shared" si="425"/>
        <v>0</v>
      </c>
      <c r="CS65" s="681">
        <f t="shared" si="426"/>
        <v>0</v>
      </c>
      <c r="CT65" s="681">
        <f t="shared" si="427"/>
        <v>0</v>
      </c>
      <c r="CU65" s="681">
        <f>CO65*CU3</f>
        <v>0</v>
      </c>
      <c r="CV65" s="708"/>
      <c r="CW65" s="680"/>
      <c r="CX65" s="560">
        <f t="shared" si="322"/>
        <v>0</v>
      </c>
      <c r="CY65" s="681">
        <f t="shared" si="428"/>
        <v>0</v>
      </c>
      <c r="CZ65" s="681">
        <f t="shared" si="429"/>
        <v>0</v>
      </c>
      <c r="DA65" s="681">
        <f t="shared" si="430"/>
        <v>0</v>
      </c>
      <c r="DB65" s="681">
        <f t="shared" si="431"/>
        <v>0</v>
      </c>
      <c r="DC65" s="681">
        <f>CW65*DC3</f>
        <v>0</v>
      </c>
      <c r="DF65" s="688"/>
      <c r="DG65" s="688"/>
      <c r="DH65" s="688"/>
      <c r="DI65" s="688"/>
      <c r="DJ65" s="688"/>
    </row>
    <row r="66" spans="1:118" s="673" customFormat="1" ht="39" customHeight="1" outlineLevel="1">
      <c r="A66" s="690"/>
      <c r="B66" s="678" t="s">
        <v>152</v>
      </c>
      <c r="C66" s="671" t="s">
        <v>9</v>
      </c>
      <c r="D66" s="563">
        <v>375.28928571428565</v>
      </c>
      <c r="E66" s="560">
        <f t="shared" si="307"/>
        <v>83.67166559559881</v>
      </c>
      <c r="F66" s="564">
        <v>35.171353534912186</v>
      </c>
      <c r="G66" s="564">
        <v>48.500312060686625</v>
      </c>
      <c r="H66" s="563">
        <f t="shared" si="308"/>
        <v>277.15675409394407</v>
      </c>
      <c r="I66" s="564">
        <v>14.460866024742838</v>
      </c>
      <c r="J66" s="564"/>
      <c r="K66" s="679" t="s">
        <v>184</v>
      </c>
      <c r="M66" s="680">
        <f>31274.11/1000</f>
        <v>31.27411</v>
      </c>
      <c r="N66" s="560">
        <f>O66+P66</f>
        <v>6.9726394366402351</v>
      </c>
      <c r="O66" s="681">
        <f>$M$66*$O$3</f>
        <v>2.9309463956750053</v>
      </c>
      <c r="P66" s="681">
        <f>$M$66*$P$3</f>
        <v>4.0416930409652299</v>
      </c>
      <c r="Q66" s="681">
        <f>$M$66*$Q$3</f>
        <v>22.21689891741703</v>
      </c>
      <c r="R66" s="681">
        <f>$M$66*$R$3</f>
        <v>2.0845716459427339</v>
      </c>
      <c r="S66" s="681">
        <f t="shared" si="387"/>
        <v>0</v>
      </c>
      <c r="U66" s="680">
        <f>31274.11/1000</f>
        <v>31.27411</v>
      </c>
      <c r="V66" s="560">
        <f>W66+X66</f>
        <v>6.9726394366402351</v>
      </c>
      <c r="W66" s="681">
        <f t="shared" si="388"/>
        <v>2.9309463956750053</v>
      </c>
      <c r="X66" s="681">
        <f t="shared" si="389"/>
        <v>4.0416930409652299</v>
      </c>
      <c r="Y66" s="681">
        <f t="shared" si="390"/>
        <v>22.21689891741703</v>
      </c>
      <c r="Z66" s="681">
        <f t="shared" si="391"/>
        <v>2.0845716459427339</v>
      </c>
      <c r="AA66" s="681">
        <f>U66*AA3</f>
        <v>0</v>
      </c>
      <c r="AC66" s="680">
        <f>31274.11/1000</f>
        <v>31.27411</v>
      </c>
      <c r="AD66" s="560">
        <f>AE66+AF66</f>
        <v>6.9726394366402351</v>
      </c>
      <c r="AE66" s="681">
        <f t="shared" si="392"/>
        <v>2.9309463956750053</v>
      </c>
      <c r="AF66" s="681">
        <f t="shared" si="393"/>
        <v>4.0416930409652299</v>
      </c>
      <c r="AG66" s="681">
        <f t="shared" si="394"/>
        <v>22.21689891741703</v>
      </c>
      <c r="AH66" s="681">
        <f t="shared" si="395"/>
        <v>2.0845716459427339</v>
      </c>
      <c r="AI66" s="681">
        <f>AC66*AI3</f>
        <v>0</v>
      </c>
      <c r="AK66" s="680">
        <f>31274/1000</f>
        <v>31.274000000000001</v>
      </c>
      <c r="AL66" s="560">
        <f>AM66+AN66</f>
        <v>6.9726149118707674</v>
      </c>
      <c r="AM66" s="681">
        <f t="shared" si="396"/>
        <v>2.9309360866972747</v>
      </c>
      <c r="AN66" s="681">
        <f t="shared" si="397"/>
        <v>4.0416788251734932</v>
      </c>
      <c r="AO66" s="681">
        <f t="shared" si="398"/>
        <v>22.21682077422188</v>
      </c>
      <c r="AP66" s="681">
        <f t="shared" si="399"/>
        <v>2.0845643139073524</v>
      </c>
      <c r="AQ66" s="681">
        <f>AK66*AQ3</f>
        <v>0</v>
      </c>
      <c r="AS66" s="680">
        <f>31274/1000</f>
        <v>31.274000000000001</v>
      </c>
      <c r="AT66" s="560">
        <f>AU66+AV66</f>
        <v>6.9726149118707674</v>
      </c>
      <c r="AU66" s="681">
        <f t="shared" si="400"/>
        <v>2.9309360866972747</v>
      </c>
      <c r="AV66" s="681">
        <f t="shared" si="401"/>
        <v>4.0416788251734932</v>
      </c>
      <c r="AW66" s="681">
        <f t="shared" si="402"/>
        <v>22.21682077422188</v>
      </c>
      <c r="AX66" s="681">
        <f t="shared" si="403"/>
        <v>2.0845643139073524</v>
      </c>
      <c r="AY66" s="681">
        <f>AS66*AY3</f>
        <v>0</v>
      </c>
      <c r="BA66" s="680"/>
      <c r="BB66" s="560">
        <f>BC66+BD66</f>
        <v>0</v>
      </c>
      <c r="BC66" s="681">
        <f t="shared" si="404"/>
        <v>0</v>
      </c>
      <c r="BD66" s="681">
        <f t="shared" si="405"/>
        <v>0</v>
      </c>
      <c r="BE66" s="681">
        <f t="shared" si="406"/>
        <v>0</v>
      </c>
      <c r="BF66" s="681">
        <f t="shared" si="407"/>
        <v>0</v>
      </c>
      <c r="BG66" s="681">
        <f>BA66*BG3</f>
        <v>0</v>
      </c>
      <c r="BI66" s="680"/>
      <c r="BJ66" s="560">
        <f>BK66+BL66</f>
        <v>0</v>
      </c>
      <c r="BK66" s="681">
        <f t="shared" si="408"/>
        <v>0</v>
      </c>
      <c r="BL66" s="681">
        <f t="shared" si="409"/>
        <v>0</v>
      </c>
      <c r="BM66" s="681">
        <f t="shared" si="410"/>
        <v>0</v>
      </c>
      <c r="BN66" s="681">
        <f t="shared" si="411"/>
        <v>0</v>
      </c>
      <c r="BO66" s="681">
        <f>BI66*BO3</f>
        <v>0</v>
      </c>
      <c r="BQ66" s="680"/>
      <c r="BR66" s="560">
        <f>BS66+BT66</f>
        <v>0</v>
      </c>
      <c r="BS66" s="681">
        <f t="shared" si="412"/>
        <v>0</v>
      </c>
      <c r="BT66" s="681">
        <f t="shared" si="413"/>
        <v>0</v>
      </c>
      <c r="BU66" s="681">
        <f t="shared" si="414"/>
        <v>0</v>
      </c>
      <c r="BV66" s="681">
        <f t="shared" si="415"/>
        <v>0</v>
      </c>
      <c r="BW66" s="681">
        <f>BQ66*BW3</f>
        <v>0</v>
      </c>
      <c r="BY66" s="680"/>
      <c r="BZ66" s="560">
        <f>CA66+CB66</f>
        <v>0</v>
      </c>
      <c r="CA66" s="681">
        <f t="shared" si="416"/>
        <v>0</v>
      </c>
      <c r="CB66" s="681">
        <f t="shared" si="417"/>
        <v>0</v>
      </c>
      <c r="CC66" s="681">
        <f t="shared" si="418"/>
        <v>0</v>
      </c>
      <c r="CD66" s="681">
        <f t="shared" si="419"/>
        <v>0</v>
      </c>
      <c r="CE66" s="681">
        <f>BY66*CE3</f>
        <v>0</v>
      </c>
      <c r="CG66" s="680"/>
      <c r="CH66" s="560">
        <f t="shared" si="320"/>
        <v>0</v>
      </c>
      <c r="CI66" s="681">
        <f t="shared" si="420"/>
        <v>0</v>
      </c>
      <c r="CJ66" s="681">
        <f t="shared" si="421"/>
        <v>0</v>
      </c>
      <c r="CK66" s="681">
        <f t="shared" si="422"/>
        <v>0</v>
      </c>
      <c r="CL66" s="681">
        <f t="shared" si="423"/>
        <v>0</v>
      </c>
      <c r="CM66" s="681">
        <f>CG66*CM3</f>
        <v>0</v>
      </c>
      <c r="CN66" s="708"/>
      <c r="CO66" s="680"/>
      <c r="CP66" s="560">
        <f t="shared" si="321"/>
        <v>0</v>
      </c>
      <c r="CQ66" s="681">
        <f t="shared" si="424"/>
        <v>0</v>
      </c>
      <c r="CR66" s="681">
        <f t="shared" si="425"/>
        <v>0</v>
      </c>
      <c r="CS66" s="681">
        <f t="shared" si="426"/>
        <v>0</v>
      </c>
      <c r="CT66" s="681">
        <f t="shared" si="427"/>
        <v>0</v>
      </c>
      <c r="CU66" s="681">
        <f>CO66*CU3</f>
        <v>0</v>
      </c>
      <c r="CV66" s="708"/>
      <c r="CW66" s="680"/>
      <c r="CX66" s="560">
        <f t="shared" si="322"/>
        <v>0</v>
      </c>
      <c r="CY66" s="681">
        <f t="shared" si="428"/>
        <v>0</v>
      </c>
      <c r="CZ66" s="681">
        <f t="shared" si="429"/>
        <v>0</v>
      </c>
      <c r="DA66" s="681">
        <f t="shared" si="430"/>
        <v>0</v>
      </c>
      <c r="DB66" s="681">
        <f t="shared" si="431"/>
        <v>0</v>
      </c>
      <c r="DC66" s="681">
        <f>CW66*DC3</f>
        <v>0</v>
      </c>
      <c r="DF66" s="688"/>
      <c r="DG66" s="688"/>
      <c r="DH66" s="688"/>
      <c r="DI66" s="688"/>
      <c r="DJ66" s="688"/>
    </row>
    <row r="67" spans="1:118" s="673" customFormat="1" ht="36" customHeight="1" outlineLevel="1">
      <c r="A67" s="690"/>
      <c r="B67" s="678" t="s">
        <v>126</v>
      </c>
      <c r="C67" s="671"/>
      <c r="D67" s="563">
        <v>41712.393749999996</v>
      </c>
      <c r="E67" s="560">
        <f t="shared" si="307"/>
        <v>9299.880369350738</v>
      </c>
      <c r="F67" s="564">
        <v>3909.2012567756233</v>
      </c>
      <c r="G67" s="564">
        <v>5390.6791125751151</v>
      </c>
      <c r="H67" s="563">
        <f t="shared" si="308"/>
        <v>30805.227053670831</v>
      </c>
      <c r="I67" s="564">
        <v>1607.2863269784239</v>
      </c>
      <c r="J67" s="564"/>
      <c r="K67" s="679" t="s">
        <v>184</v>
      </c>
      <c r="M67" s="680"/>
      <c r="N67" s="560">
        <f>O67+P67</f>
        <v>0</v>
      </c>
      <c r="O67" s="681">
        <f>$M$67*$O$3</f>
        <v>0</v>
      </c>
      <c r="P67" s="681">
        <f>$M$67*$P$3</f>
        <v>0</v>
      </c>
      <c r="Q67" s="681">
        <f>$M$67*$Q$3</f>
        <v>0</v>
      </c>
      <c r="R67" s="681">
        <f>$M$67*$R$3</f>
        <v>0</v>
      </c>
      <c r="S67" s="681">
        <f t="shared" si="387"/>
        <v>0</v>
      </c>
      <c r="U67" s="680"/>
      <c r="V67" s="560">
        <f>W67+X67</f>
        <v>0</v>
      </c>
      <c r="W67" s="681">
        <f t="shared" si="388"/>
        <v>0</v>
      </c>
      <c r="X67" s="681">
        <f t="shared" si="389"/>
        <v>0</v>
      </c>
      <c r="Y67" s="681">
        <f t="shared" si="390"/>
        <v>0</v>
      </c>
      <c r="Z67" s="681">
        <f t="shared" si="391"/>
        <v>0</v>
      </c>
      <c r="AA67" s="681">
        <f>U67*AA3</f>
        <v>0</v>
      </c>
      <c r="AC67" s="680"/>
      <c r="AD67" s="560">
        <f>AE67+AF67</f>
        <v>0</v>
      </c>
      <c r="AE67" s="681">
        <f t="shared" si="392"/>
        <v>0</v>
      </c>
      <c r="AF67" s="681">
        <f t="shared" si="393"/>
        <v>0</v>
      </c>
      <c r="AG67" s="681">
        <f t="shared" si="394"/>
        <v>0</v>
      </c>
      <c r="AH67" s="681">
        <f t="shared" si="395"/>
        <v>0</v>
      </c>
      <c r="AI67" s="681">
        <f>AC67*AI3</f>
        <v>0</v>
      </c>
      <c r="AK67" s="680"/>
      <c r="AL67" s="560">
        <f>AM67+AN67</f>
        <v>0</v>
      </c>
      <c r="AM67" s="681">
        <f t="shared" si="396"/>
        <v>0</v>
      </c>
      <c r="AN67" s="681">
        <f t="shared" si="397"/>
        <v>0</v>
      </c>
      <c r="AO67" s="681">
        <f t="shared" si="398"/>
        <v>0</v>
      </c>
      <c r="AP67" s="681">
        <f t="shared" si="399"/>
        <v>0</v>
      </c>
      <c r="AQ67" s="681">
        <f>AK67*AQ3</f>
        <v>0</v>
      </c>
      <c r="AS67" s="680"/>
      <c r="AT67" s="560">
        <f>AU67+AV67</f>
        <v>0</v>
      </c>
      <c r="AU67" s="681">
        <f t="shared" si="400"/>
        <v>0</v>
      </c>
      <c r="AV67" s="681">
        <f t="shared" si="401"/>
        <v>0</v>
      </c>
      <c r="AW67" s="681">
        <f t="shared" si="402"/>
        <v>0</v>
      </c>
      <c r="AX67" s="681">
        <f t="shared" si="403"/>
        <v>0</v>
      </c>
      <c r="AY67" s="681">
        <f>AS67*AY3</f>
        <v>0</v>
      </c>
      <c r="BA67" s="680"/>
      <c r="BB67" s="560">
        <f>BC67+BD67</f>
        <v>0</v>
      </c>
      <c r="BC67" s="681">
        <f t="shared" si="404"/>
        <v>0</v>
      </c>
      <c r="BD67" s="681">
        <f t="shared" si="405"/>
        <v>0</v>
      </c>
      <c r="BE67" s="681">
        <f t="shared" si="406"/>
        <v>0</v>
      </c>
      <c r="BF67" s="681">
        <f t="shared" si="407"/>
        <v>0</v>
      </c>
      <c r="BG67" s="681">
        <f>BA67*BG3</f>
        <v>0</v>
      </c>
      <c r="BI67" s="680"/>
      <c r="BJ67" s="560">
        <f>BK67+BL67</f>
        <v>0</v>
      </c>
      <c r="BK67" s="681">
        <f t="shared" si="408"/>
        <v>0</v>
      </c>
      <c r="BL67" s="681">
        <f t="shared" si="409"/>
        <v>0</v>
      </c>
      <c r="BM67" s="681">
        <f t="shared" si="410"/>
        <v>0</v>
      </c>
      <c r="BN67" s="681">
        <f t="shared" si="411"/>
        <v>0</v>
      </c>
      <c r="BO67" s="681">
        <f>BI67*BO3</f>
        <v>0</v>
      </c>
      <c r="BQ67" s="680"/>
      <c r="BR67" s="560">
        <f>BS67+BT67</f>
        <v>0</v>
      </c>
      <c r="BS67" s="681">
        <f t="shared" si="412"/>
        <v>0</v>
      </c>
      <c r="BT67" s="681">
        <f t="shared" si="413"/>
        <v>0</v>
      </c>
      <c r="BU67" s="681">
        <f t="shared" si="414"/>
        <v>0</v>
      </c>
      <c r="BV67" s="681">
        <f t="shared" si="415"/>
        <v>0</v>
      </c>
      <c r="BW67" s="681">
        <f>BQ67*BW3</f>
        <v>0</v>
      </c>
      <c r="BY67" s="680"/>
      <c r="BZ67" s="560">
        <f>CA67+CB67</f>
        <v>0</v>
      </c>
      <c r="CA67" s="681">
        <f t="shared" si="416"/>
        <v>0</v>
      </c>
      <c r="CB67" s="681">
        <f t="shared" si="417"/>
        <v>0</v>
      </c>
      <c r="CC67" s="681">
        <f t="shared" si="418"/>
        <v>0</v>
      </c>
      <c r="CD67" s="681">
        <f t="shared" si="419"/>
        <v>0</v>
      </c>
      <c r="CE67" s="681">
        <f>BY67*CE3</f>
        <v>0</v>
      </c>
      <c r="CG67" s="680"/>
      <c r="CH67" s="560">
        <f t="shared" si="320"/>
        <v>0</v>
      </c>
      <c r="CI67" s="681">
        <f t="shared" si="420"/>
        <v>0</v>
      </c>
      <c r="CJ67" s="681">
        <f t="shared" si="421"/>
        <v>0</v>
      </c>
      <c r="CK67" s="681">
        <f t="shared" si="422"/>
        <v>0</v>
      </c>
      <c r="CL67" s="681">
        <f t="shared" si="423"/>
        <v>0</v>
      </c>
      <c r="CM67" s="681">
        <f>CG67*CM3</f>
        <v>0</v>
      </c>
      <c r="CN67" s="708"/>
      <c r="CO67" s="680"/>
      <c r="CP67" s="560">
        <f t="shared" si="321"/>
        <v>0</v>
      </c>
      <c r="CQ67" s="681">
        <f t="shared" si="424"/>
        <v>0</v>
      </c>
      <c r="CR67" s="681">
        <f t="shared" si="425"/>
        <v>0</v>
      </c>
      <c r="CS67" s="681">
        <f t="shared" si="426"/>
        <v>0</v>
      </c>
      <c r="CT67" s="681">
        <f t="shared" si="427"/>
        <v>0</v>
      </c>
      <c r="CU67" s="681">
        <f>CO67*CU3</f>
        <v>0</v>
      </c>
      <c r="CV67" s="708"/>
      <c r="CW67" s="680"/>
      <c r="CX67" s="560">
        <f t="shared" si="322"/>
        <v>0</v>
      </c>
      <c r="CY67" s="681">
        <f t="shared" si="428"/>
        <v>0</v>
      </c>
      <c r="CZ67" s="681">
        <f t="shared" si="429"/>
        <v>0</v>
      </c>
      <c r="DA67" s="681">
        <f t="shared" si="430"/>
        <v>0</v>
      </c>
      <c r="DB67" s="681">
        <f t="shared" si="431"/>
        <v>0</v>
      </c>
      <c r="DC67" s="681">
        <f>CW67*DC3</f>
        <v>0</v>
      </c>
      <c r="DF67" s="688"/>
      <c r="DG67" s="688"/>
      <c r="DH67" s="688"/>
      <c r="DI67" s="688"/>
      <c r="DJ67" s="688"/>
    </row>
    <row r="68" spans="1:118" s="673" customFormat="1" outlineLevel="1">
      <c r="A68" s="690"/>
      <c r="B68" s="678" t="s">
        <v>118</v>
      </c>
      <c r="C68" s="671"/>
      <c r="D68" s="563">
        <v>0</v>
      </c>
      <c r="E68" s="563"/>
      <c r="F68" s="564">
        <v>0</v>
      </c>
      <c r="G68" s="564">
        <v>0</v>
      </c>
      <c r="H68" s="564">
        <v>0</v>
      </c>
      <c r="I68" s="564">
        <v>0</v>
      </c>
      <c r="J68" s="564"/>
      <c r="K68" s="679" t="s">
        <v>184</v>
      </c>
      <c r="M68" s="680"/>
      <c r="N68" s="563"/>
      <c r="O68" s="681">
        <f>M68*O3</f>
        <v>0</v>
      </c>
      <c r="P68" s="681">
        <f>M68*P3</f>
        <v>0</v>
      </c>
      <c r="Q68" s="681">
        <f>M68*Q3</f>
        <v>0</v>
      </c>
      <c r="R68" s="681">
        <f>M68*R3</f>
        <v>0</v>
      </c>
      <c r="S68" s="681">
        <f>M68*S3</f>
        <v>0</v>
      </c>
      <c r="U68" s="680"/>
      <c r="V68" s="563"/>
      <c r="W68" s="681">
        <f t="shared" si="388"/>
        <v>0</v>
      </c>
      <c r="X68" s="681">
        <f t="shared" si="389"/>
        <v>0</v>
      </c>
      <c r="Y68" s="681">
        <f t="shared" si="390"/>
        <v>0</v>
      </c>
      <c r="Z68" s="681">
        <f t="shared" si="391"/>
        <v>0</v>
      </c>
      <c r="AA68" s="681">
        <f>U68*AA3</f>
        <v>0</v>
      </c>
      <c r="AC68" s="680"/>
      <c r="AD68" s="563"/>
      <c r="AE68" s="681">
        <f t="shared" si="392"/>
        <v>0</v>
      </c>
      <c r="AF68" s="681">
        <f t="shared" si="393"/>
        <v>0</v>
      </c>
      <c r="AG68" s="681">
        <f t="shared" si="394"/>
        <v>0</v>
      </c>
      <c r="AH68" s="681">
        <f t="shared" si="395"/>
        <v>0</v>
      </c>
      <c r="AI68" s="681">
        <f>AC68*AI3</f>
        <v>0</v>
      </c>
      <c r="AK68" s="680"/>
      <c r="AL68" s="563"/>
      <c r="AM68" s="681">
        <f t="shared" si="396"/>
        <v>0</v>
      </c>
      <c r="AN68" s="681">
        <f t="shared" si="397"/>
        <v>0</v>
      </c>
      <c r="AO68" s="681">
        <f t="shared" si="398"/>
        <v>0</v>
      </c>
      <c r="AP68" s="681">
        <f t="shared" si="399"/>
        <v>0</v>
      </c>
      <c r="AQ68" s="681">
        <f>AK68*AQ3</f>
        <v>0</v>
      </c>
      <c r="AS68" s="680"/>
      <c r="AT68" s="563"/>
      <c r="AU68" s="681">
        <f t="shared" si="400"/>
        <v>0</v>
      </c>
      <c r="AV68" s="681">
        <f t="shared" si="401"/>
        <v>0</v>
      </c>
      <c r="AW68" s="681">
        <f t="shared" si="402"/>
        <v>0</v>
      </c>
      <c r="AX68" s="681">
        <f t="shared" si="403"/>
        <v>0</v>
      </c>
      <c r="AY68" s="681">
        <f>AS68*AY3</f>
        <v>0</v>
      </c>
      <c r="BA68" s="680"/>
      <c r="BB68" s="563"/>
      <c r="BC68" s="681">
        <f t="shared" si="404"/>
        <v>0</v>
      </c>
      <c r="BD68" s="681">
        <f t="shared" si="405"/>
        <v>0</v>
      </c>
      <c r="BE68" s="681">
        <f t="shared" si="406"/>
        <v>0</v>
      </c>
      <c r="BF68" s="681">
        <f t="shared" si="407"/>
        <v>0</v>
      </c>
      <c r="BG68" s="681">
        <f>BA68*BG3</f>
        <v>0</v>
      </c>
      <c r="BI68" s="680"/>
      <c r="BJ68" s="563"/>
      <c r="BK68" s="681">
        <f t="shared" si="408"/>
        <v>0</v>
      </c>
      <c r="BL68" s="681">
        <f t="shared" si="409"/>
        <v>0</v>
      </c>
      <c r="BM68" s="681">
        <f t="shared" si="410"/>
        <v>0</v>
      </c>
      <c r="BN68" s="681">
        <f t="shared" si="411"/>
        <v>0</v>
      </c>
      <c r="BO68" s="681">
        <f>BI68*BO3</f>
        <v>0</v>
      </c>
      <c r="BQ68" s="680"/>
      <c r="BR68" s="563"/>
      <c r="BS68" s="681">
        <f t="shared" si="412"/>
        <v>0</v>
      </c>
      <c r="BT68" s="681">
        <f t="shared" si="413"/>
        <v>0</v>
      </c>
      <c r="BU68" s="681">
        <f t="shared" si="414"/>
        <v>0</v>
      </c>
      <c r="BV68" s="681">
        <f t="shared" si="415"/>
        <v>0</v>
      </c>
      <c r="BW68" s="681">
        <f>BQ68*BW3</f>
        <v>0</v>
      </c>
      <c r="BY68" s="680"/>
      <c r="BZ68" s="563"/>
      <c r="CA68" s="681">
        <f t="shared" si="416"/>
        <v>0</v>
      </c>
      <c r="CB68" s="681">
        <f t="shared" si="417"/>
        <v>0</v>
      </c>
      <c r="CC68" s="681">
        <f t="shared" si="418"/>
        <v>0</v>
      </c>
      <c r="CD68" s="681">
        <f t="shared" si="419"/>
        <v>0</v>
      </c>
      <c r="CE68" s="681">
        <f>BY68*CE3</f>
        <v>0</v>
      </c>
      <c r="CG68" s="680"/>
      <c r="CH68" s="560">
        <f t="shared" si="320"/>
        <v>0</v>
      </c>
      <c r="CI68" s="681">
        <f t="shared" si="420"/>
        <v>0</v>
      </c>
      <c r="CJ68" s="681">
        <f t="shared" si="421"/>
        <v>0</v>
      </c>
      <c r="CK68" s="681">
        <f t="shared" si="422"/>
        <v>0</v>
      </c>
      <c r="CL68" s="681">
        <f t="shared" si="423"/>
        <v>0</v>
      </c>
      <c r="CM68" s="681">
        <f>CG68*CM3</f>
        <v>0</v>
      </c>
      <c r="CN68" s="708"/>
      <c r="CO68" s="680"/>
      <c r="CP68" s="560">
        <f t="shared" si="321"/>
        <v>0</v>
      </c>
      <c r="CQ68" s="681">
        <f t="shared" si="424"/>
        <v>0</v>
      </c>
      <c r="CR68" s="681">
        <f t="shared" si="425"/>
        <v>0</v>
      </c>
      <c r="CS68" s="681">
        <f t="shared" si="426"/>
        <v>0</v>
      </c>
      <c r="CT68" s="681">
        <f t="shared" si="427"/>
        <v>0</v>
      </c>
      <c r="CU68" s="681">
        <f>CO68*CU3</f>
        <v>0</v>
      </c>
      <c r="CV68" s="708"/>
      <c r="CW68" s="680"/>
      <c r="CX68" s="560">
        <f t="shared" si="322"/>
        <v>0</v>
      </c>
      <c r="CY68" s="681">
        <f t="shared" si="428"/>
        <v>0</v>
      </c>
      <c r="CZ68" s="681">
        <f t="shared" si="429"/>
        <v>0</v>
      </c>
      <c r="DA68" s="681">
        <f t="shared" si="430"/>
        <v>0</v>
      </c>
      <c r="DB68" s="681">
        <f t="shared" si="431"/>
        <v>0</v>
      </c>
      <c r="DC68" s="681">
        <f>CW68*DC3</f>
        <v>0</v>
      </c>
      <c r="DF68" s="688"/>
      <c r="DG68" s="688"/>
      <c r="DH68" s="688"/>
      <c r="DI68" s="688"/>
      <c r="DJ68" s="688"/>
    </row>
    <row r="69" spans="1:118" s="673" customFormat="1" ht="24" customHeight="1" outlineLevel="1">
      <c r="A69" s="690"/>
      <c r="B69" s="678" t="s">
        <v>93</v>
      </c>
      <c r="C69" s="671"/>
      <c r="D69" s="563">
        <v>2880.9999999999995</v>
      </c>
      <c r="E69" s="560">
        <f t="shared" ref="E69:E82" si="432">F69+G69</f>
        <v>642.32600758136732</v>
      </c>
      <c r="F69" s="564">
        <v>270.00149855390572</v>
      </c>
      <c r="G69" s="564">
        <v>372.3245090274616</v>
      </c>
      <c r="H69" s="563">
        <f>D69-F69-G69-I69</f>
        <v>2127.6616171572668</v>
      </c>
      <c r="I69" s="564">
        <v>111.01237526136555</v>
      </c>
      <c r="J69" s="564"/>
      <c r="K69" s="679" t="s">
        <v>184</v>
      </c>
      <c r="M69" s="680"/>
      <c r="N69" s="560">
        <f t="shared" ref="N69:N82" si="433">O69+P69</f>
        <v>0</v>
      </c>
      <c r="O69" s="681">
        <f>$M$69*$O$3</f>
        <v>0</v>
      </c>
      <c r="P69" s="681">
        <f>$M$69*$P$3</f>
        <v>0</v>
      </c>
      <c r="Q69" s="681">
        <f>$M$69*$Q$3</f>
        <v>0</v>
      </c>
      <c r="R69" s="681">
        <f>$M$69*$R$3</f>
        <v>0</v>
      </c>
      <c r="S69" s="681">
        <f>$M$16*$S$3</f>
        <v>0</v>
      </c>
      <c r="U69" s="680"/>
      <c r="V69" s="560">
        <f t="shared" ref="V69:V82" si="434">W69+X69</f>
        <v>0</v>
      </c>
      <c r="W69" s="681">
        <f t="shared" si="388"/>
        <v>0</v>
      </c>
      <c r="X69" s="681">
        <f t="shared" si="389"/>
        <v>0</v>
      </c>
      <c r="Y69" s="681">
        <f t="shared" si="390"/>
        <v>0</v>
      </c>
      <c r="Z69" s="681">
        <f t="shared" si="391"/>
        <v>0</v>
      </c>
      <c r="AA69" s="681">
        <f>U69*AA3</f>
        <v>0</v>
      </c>
      <c r="AC69" s="680">
        <f>6000/1000</f>
        <v>6</v>
      </c>
      <c r="AD69" s="560">
        <f t="shared" ref="AD69:AD82" si="435">AE69+AF69</f>
        <v>1.3377146981909767</v>
      </c>
      <c r="AE69" s="681">
        <f t="shared" si="392"/>
        <v>0.56230787619695755</v>
      </c>
      <c r="AF69" s="681">
        <f t="shared" si="393"/>
        <v>0.77540682199401922</v>
      </c>
      <c r="AG69" s="681">
        <f t="shared" si="394"/>
        <v>4.2623560991664409</v>
      </c>
      <c r="AH69" s="681">
        <f t="shared" si="395"/>
        <v>0.39992920264258214</v>
      </c>
      <c r="AI69" s="681">
        <f>AC69*AI3</f>
        <v>0</v>
      </c>
      <c r="AK69" s="680">
        <f>9000/1000</f>
        <v>9</v>
      </c>
      <c r="AL69" s="560">
        <f t="shared" ref="AL69:AL82" si="436">AM69+AN69</f>
        <v>2.0065720472864648</v>
      </c>
      <c r="AM69" s="681">
        <f t="shared" si="396"/>
        <v>0.84346181429543621</v>
      </c>
      <c r="AN69" s="681">
        <f t="shared" si="397"/>
        <v>1.1631102329910288</v>
      </c>
      <c r="AO69" s="681">
        <f t="shared" si="398"/>
        <v>6.3935341487496613</v>
      </c>
      <c r="AP69" s="681">
        <f t="shared" si="399"/>
        <v>0.59989380396387315</v>
      </c>
      <c r="AQ69" s="681">
        <f>AK69*AQ3</f>
        <v>0</v>
      </c>
      <c r="AS69" s="680">
        <f>293000/1000</f>
        <v>293</v>
      </c>
      <c r="AT69" s="560">
        <f t="shared" ref="AT69:AT82" si="437">AU69+AV69</f>
        <v>65.325067761659369</v>
      </c>
      <c r="AU69" s="681">
        <f t="shared" si="400"/>
        <v>27.459367954284758</v>
      </c>
      <c r="AV69" s="681">
        <f t="shared" si="401"/>
        <v>37.865699807374604</v>
      </c>
      <c r="AW69" s="681">
        <f t="shared" si="402"/>
        <v>208.1450561759612</v>
      </c>
      <c r="AX69" s="681">
        <f t="shared" si="403"/>
        <v>19.529876062379426</v>
      </c>
      <c r="AY69" s="681">
        <f>AS69*AY3</f>
        <v>0</v>
      </c>
      <c r="BA69" s="680"/>
      <c r="BB69" s="560">
        <f t="shared" ref="BB69:BB82" si="438">BC69+BD69</f>
        <v>0</v>
      </c>
      <c r="BC69" s="681">
        <f t="shared" si="404"/>
        <v>0</v>
      </c>
      <c r="BD69" s="681">
        <f t="shared" si="405"/>
        <v>0</v>
      </c>
      <c r="BE69" s="681">
        <f t="shared" si="406"/>
        <v>0</v>
      </c>
      <c r="BF69" s="681">
        <f t="shared" si="407"/>
        <v>0</v>
      </c>
      <c r="BG69" s="681">
        <f>BA69*BG3</f>
        <v>0</v>
      </c>
      <c r="BI69" s="680"/>
      <c r="BJ69" s="560">
        <f t="shared" ref="BJ69:BJ82" si="439">BK69+BL69</f>
        <v>0</v>
      </c>
      <c r="BK69" s="681">
        <f t="shared" si="408"/>
        <v>0</v>
      </c>
      <c r="BL69" s="681">
        <f t="shared" si="409"/>
        <v>0</v>
      </c>
      <c r="BM69" s="681">
        <f t="shared" si="410"/>
        <v>0</v>
      </c>
      <c r="BN69" s="681">
        <f t="shared" si="411"/>
        <v>0</v>
      </c>
      <c r="BO69" s="681">
        <f>BI69*BO3</f>
        <v>0</v>
      </c>
      <c r="BQ69" s="680"/>
      <c r="BR69" s="560">
        <f t="shared" ref="BR69:BR82" si="440">BS69+BT69</f>
        <v>0</v>
      </c>
      <c r="BS69" s="681">
        <f t="shared" si="412"/>
        <v>0</v>
      </c>
      <c r="BT69" s="681">
        <f t="shared" si="413"/>
        <v>0</v>
      </c>
      <c r="BU69" s="681">
        <f t="shared" si="414"/>
        <v>0</v>
      </c>
      <c r="BV69" s="681">
        <f t="shared" si="415"/>
        <v>0</v>
      </c>
      <c r="BW69" s="681">
        <f>BQ69*BW3</f>
        <v>0</v>
      </c>
      <c r="BY69" s="680"/>
      <c r="BZ69" s="560">
        <f t="shared" ref="BZ69:BZ82" si="441">CA69+CB69</f>
        <v>0</v>
      </c>
      <c r="CA69" s="681">
        <f t="shared" si="416"/>
        <v>0</v>
      </c>
      <c r="CB69" s="681">
        <f t="shared" si="417"/>
        <v>0</v>
      </c>
      <c r="CC69" s="681">
        <f t="shared" si="418"/>
        <v>0</v>
      </c>
      <c r="CD69" s="681">
        <f t="shared" si="419"/>
        <v>0</v>
      </c>
      <c r="CE69" s="681">
        <f>BY69*CE3</f>
        <v>0</v>
      </c>
      <c r="CG69" s="680"/>
      <c r="CH69" s="560">
        <f t="shared" si="320"/>
        <v>0</v>
      </c>
      <c r="CI69" s="681">
        <f t="shared" si="420"/>
        <v>0</v>
      </c>
      <c r="CJ69" s="681">
        <f t="shared" si="421"/>
        <v>0</v>
      </c>
      <c r="CK69" s="681">
        <f t="shared" si="422"/>
        <v>0</v>
      </c>
      <c r="CL69" s="681">
        <f t="shared" si="423"/>
        <v>0</v>
      </c>
      <c r="CM69" s="681">
        <f>CG69*CM3</f>
        <v>0</v>
      </c>
      <c r="CN69" s="708"/>
      <c r="CO69" s="680"/>
      <c r="CP69" s="560">
        <f t="shared" si="321"/>
        <v>0</v>
      </c>
      <c r="CQ69" s="681">
        <f t="shared" si="424"/>
        <v>0</v>
      </c>
      <c r="CR69" s="681">
        <f t="shared" si="425"/>
        <v>0</v>
      </c>
      <c r="CS69" s="681">
        <f t="shared" si="426"/>
        <v>0</v>
      </c>
      <c r="CT69" s="681">
        <f t="shared" si="427"/>
        <v>0</v>
      </c>
      <c r="CU69" s="681">
        <f>CO69*CU3</f>
        <v>0</v>
      </c>
      <c r="CV69" s="708"/>
      <c r="CW69" s="680"/>
      <c r="CX69" s="560">
        <f t="shared" si="322"/>
        <v>0</v>
      </c>
      <c r="CY69" s="681">
        <f t="shared" si="428"/>
        <v>0</v>
      </c>
      <c r="CZ69" s="681">
        <f t="shared" si="429"/>
        <v>0</v>
      </c>
      <c r="DA69" s="681">
        <f t="shared" si="430"/>
        <v>0</v>
      </c>
      <c r="DB69" s="681">
        <f t="shared" si="431"/>
        <v>0</v>
      </c>
      <c r="DC69" s="681">
        <f>CW69*DC3</f>
        <v>0</v>
      </c>
      <c r="DF69" s="688"/>
      <c r="DG69" s="688"/>
      <c r="DH69" s="688"/>
      <c r="DI69" s="688"/>
      <c r="DJ69" s="688"/>
    </row>
    <row r="70" spans="1:118" s="673" customFormat="1" outlineLevel="1">
      <c r="A70" s="690"/>
      <c r="B70" s="678" t="s">
        <v>154</v>
      </c>
      <c r="C70" s="671"/>
      <c r="D70" s="563">
        <v>1284</v>
      </c>
      <c r="E70" s="560">
        <f t="shared" si="432"/>
        <v>0</v>
      </c>
      <c r="F70" s="564"/>
      <c r="G70" s="564"/>
      <c r="H70" s="563">
        <f>D70-F70-G70-I70</f>
        <v>1284</v>
      </c>
      <c r="I70" s="564"/>
      <c r="J70" s="564"/>
      <c r="K70" s="683" t="s">
        <v>429</v>
      </c>
      <c r="M70" s="680">
        <f>110400/1000</f>
        <v>110.4</v>
      </c>
      <c r="N70" s="560">
        <f t="shared" si="433"/>
        <v>0</v>
      </c>
      <c r="O70" s="684"/>
      <c r="P70" s="684"/>
      <c r="Q70" s="684">
        <f>$M$70</f>
        <v>110.4</v>
      </c>
      <c r="R70" s="684"/>
      <c r="S70" s="684"/>
      <c r="U70" s="680">
        <f>110400/1000</f>
        <v>110.4</v>
      </c>
      <c r="V70" s="560">
        <f t="shared" si="434"/>
        <v>0</v>
      </c>
      <c r="W70" s="684"/>
      <c r="X70" s="684"/>
      <c r="Y70" s="684">
        <f>U70</f>
        <v>110.4</v>
      </c>
      <c r="Z70" s="684"/>
      <c r="AA70" s="684"/>
      <c r="AC70" s="680">
        <f>110400/1000</f>
        <v>110.4</v>
      </c>
      <c r="AD70" s="560">
        <f t="shared" si="435"/>
        <v>0</v>
      </c>
      <c r="AE70" s="684"/>
      <c r="AF70" s="684"/>
      <c r="AG70" s="684">
        <f>AC70</f>
        <v>110.4</v>
      </c>
      <c r="AH70" s="684"/>
      <c r="AI70" s="684"/>
      <c r="AK70" s="680">
        <f>110400/1000</f>
        <v>110.4</v>
      </c>
      <c r="AL70" s="560">
        <f t="shared" si="436"/>
        <v>0</v>
      </c>
      <c r="AM70" s="684"/>
      <c r="AN70" s="684"/>
      <c r="AO70" s="684">
        <f>AK70</f>
        <v>110.4</v>
      </c>
      <c r="AP70" s="684"/>
      <c r="AQ70" s="684"/>
      <c r="AS70" s="680">
        <f>110400/1000</f>
        <v>110.4</v>
      </c>
      <c r="AT70" s="560">
        <f t="shared" si="437"/>
        <v>0</v>
      </c>
      <c r="AU70" s="684"/>
      <c r="AV70" s="684"/>
      <c r="AW70" s="684">
        <f>AS70</f>
        <v>110.4</v>
      </c>
      <c r="AX70" s="684"/>
      <c r="AY70" s="684"/>
      <c r="BA70" s="680"/>
      <c r="BB70" s="560">
        <f t="shared" si="438"/>
        <v>0</v>
      </c>
      <c r="BC70" s="684"/>
      <c r="BD70" s="684"/>
      <c r="BE70" s="684">
        <f>BA70</f>
        <v>0</v>
      </c>
      <c r="BF70" s="684"/>
      <c r="BG70" s="684"/>
      <c r="BI70" s="680"/>
      <c r="BJ70" s="560">
        <f t="shared" si="439"/>
        <v>0</v>
      </c>
      <c r="BK70" s="684"/>
      <c r="BL70" s="684"/>
      <c r="BM70" s="684">
        <f>BI70</f>
        <v>0</v>
      </c>
      <c r="BN70" s="684"/>
      <c r="BO70" s="684"/>
      <c r="BQ70" s="680"/>
      <c r="BR70" s="560">
        <f t="shared" si="440"/>
        <v>0</v>
      </c>
      <c r="BS70" s="684"/>
      <c r="BT70" s="684"/>
      <c r="BU70" s="684">
        <f>BQ70</f>
        <v>0</v>
      </c>
      <c r="BV70" s="684"/>
      <c r="BW70" s="684"/>
      <c r="BY70" s="680"/>
      <c r="BZ70" s="560">
        <f t="shared" si="441"/>
        <v>0</v>
      </c>
      <c r="CA70" s="684"/>
      <c r="CB70" s="684"/>
      <c r="CC70" s="684">
        <f>BY70</f>
        <v>0</v>
      </c>
      <c r="CD70" s="684"/>
      <c r="CE70" s="684"/>
      <c r="CG70" s="680"/>
      <c r="CH70" s="560">
        <f t="shared" si="320"/>
        <v>0</v>
      </c>
      <c r="CI70" s="684"/>
      <c r="CJ70" s="684"/>
      <c r="CK70" s="684">
        <f>CG70</f>
        <v>0</v>
      </c>
      <c r="CL70" s="684"/>
      <c r="CM70" s="684"/>
      <c r="CO70" s="680"/>
      <c r="CP70" s="560">
        <f t="shared" si="321"/>
        <v>0</v>
      </c>
      <c r="CQ70" s="684"/>
      <c r="CR70" s="684"/>
      <c r="CS70" s="684">
        <f>CO70</f>
        <v>0</v>
      </c>
      <c r="CT70" s="684"/>
      <c r="CU70" s="684"/>
      <c r="CW70" s="680"/>
      <c r="CX70" s="560">
        <f t="shared" si="322"/>
        <v>0</v>
      </c>
      <c r="CY70" s="684"/>
      <c r="CZ70" s="684"/>
      <c r="DA70" s="684">
        <f>CW70</f>
        <v>0</v>
      </c>
      <c r="DB70" s="684"/>
      <c r="DC70" s="684"/>
      <c r="DF70" s="685">
        <f>F70/$D$70</f>
        <v>0</v>
      </c>
      <c r="DG70" s="685">
        <f>G70/$D$70</f>
        <v>0</v>
      </c>
      <c r="DH70" s="685">
        <f>H70/$D$70</f>
        <v>1</v>
      </c>
      <c r="DI70" s="685">
        <f>I70/$D$70</f>
        <v>0</v>
      </c>
      <c r="DJ70" s="685">
        <f>J70/$D$70</f>
        <v>0</v>
      </c>
      <c r="DN70" s="717"/>
    </row>
    <row r="71" spans="1:118" s="673" customFormat="1" outlineLevel="1">
      <c r="A71" s="690"/>
      <c r="B71" s="678" t="s">
        <v>127</v>
      </c>
      <c r="C71" s="671"/>
      <c r="D71" s="563">
        <v>219574.22142857141</v>
      </c>
      <c r="E71" s="560">
        <f t="shared" si="432"/>
        <v>0</v>
      </c>
      <c r="F71" s="564"/>
      <c r="G71" s="564"/>
      <c r="H71" s="563">
        <f>D71-F71-G71-I71</f>
        <v>219574.22142857141</v>
      </c>
      <c r="I71" s="564"/>
      <c r="J71" s="564"/>
      <c r="K71" s="683" t="s">
        <v>429</v>
      </c>
      <c r="M71" s="680">
        <f>18818483.95/1000+206718/1000</f>
        <v>19025.201949999999</v>
      </c>
      <c r="N71" s="560">
        <f t="shared" si="433"/>
        <v>0</v>
      </c>
      <c r="O71" s="684"/>
      <c r="P71" s="684"/>
      <c r="Q71" s="684">
        <f>$M$71</f>
        <v>19025.201949999999</v>
      </c>
      <c r="R71" s="684"/>
      <c r="S71" s="684"/>
      <c r="U71" s="680">
        <f>18489376.78/1000</f>
        <v>18489.376780000002</v>
      </c>
      <c r="V71" s="560">
        <f t="shared" si="434"/>
        <v>0</v>
      </c>
      <c r="W71" s="684"/>
      <c r="X71" s="684"/>
      <c r="Y71" s="684">
        <f>U71</f>
        <v>18489.376780000002</v>
      </c>
      <c r="Z71" s="684"/>
      <c r="AA71" s="684"/>
      <c r="AC71" s="680">
        <f>18106326.78/1000</f>
        <v>18106.326779999999</v>
      </c>
      <c r="AD71" s="560">
        <f t="shared" si="435"/>
        <v>0</v>
      </c>
      <c r="AE71" s="684"/>
      <c r="AF71" s="684"/>
      <c r="AG71" s="684">
        <f>AC71</f>
        <v>18106.326779999999</v>
      </c>
      <c r="AH71" s="684"/>
      <c r="AI71" s="684"/>
      <c r="AK71" s="680">
        <f>21679441/1000+191525/1000</f>
        <v>21870.966</v>
      </c>
      <c r="AL71" s="560">
        <f t="shared" si="436"/>
        <v>0</v>
      </c>
      <c r="AM71" s="684"/>
      <c r="AN71" s="684"/>
      <c r="AO71" s="684">
        <f>AK71</f>
        <v>21870.966</v>
      </c>
      <c r="AP71" s="684"/>
      <c r="AQ71" s="684"/>
      <c r="AS71" s="680">
        <f>21679441.07/1000</f>
        <v>21679.441070000001</v>
      </c>
      <c r="AT71" s="560">
        <f t="shared" si="437"/>
        <v>0</v>
      </c>
      <c r="AU71" s="684"/>
      <c r="AV71" s="684"/>
      <c r="AW71" s="684">
        <f>AS71</f>
        <v>21679.441070000001</v>
      </c>
      <c r="AX71" s="684"/>
      <c r="AY71" s="684"/>
      <c r="BA71" s="680"/>
      <c r="BB71" s="560">
        <f t="shared" si="438"/>
        <v>0</v>
      </c>
      <c r="BC71" s="684"/>
      <c r="BD71" s="684"/>
      <c r="BE71" s="684">
        <f>BA71</f>
        <v>0</v>
      </c>
      <c r="BF71" s="684"/>
      <c r="BG71" s="684"/>
      <c r="BI71" s="680"/>
      <c r="BJ71" s="560">
        <f t="shared" si="439"/>
        <v>0</v>
      </c>
      <c r="BK71" s="684"/>
      <c r="BL71" s="684"/>
      <c r="BM71" s="684">
        <f>BI71</f>
        <v>0</v>
      </c>
      <c r="BN71" s="684"/>
      <c r="BO71" s="684"/>
      <c r="BQ71" s="680"/>
      <c r="BR71" s="560">
        <f t="shared" si="440"/>
        <v>0</v>
      </c>
      <c r="BS71" s="684"/>
      <c r="BT71" s="684"/>
      <c r="BU71" s="684">
        <f>BQ71</f>
        <v>0</v>
      </c>
      <c r="BV71" s="684"/>
      <c r="BW71" s="684"/>
      <c r="BY71" s="680"/>
      <c r="BZ71" s="560">
        <f t="shared" si="441"/>
        <v>0</v>
      </c>
      <c r="CA71" s="684"/>
      <c r="CB71" s="684"/>
      <c r="CC71" s="684">
        <f>BY71</f>
        <v>0</v>
      </c>
      <c r="CD71" s="684"/>
      <c r="CE71" s="684"/>
      <c r="CG71" s="680"/>
      <c r="CH71" s="560">
        <f t="shared" si="320"/>
        <v>0</v>
      </c>
      <c r="CI71" s="684"/>
      <c r="CJ71" s="684"/>
      <c r="CK71" s="684">
        <f>CG71</f>
        <v>0</v>
      </c>
      <c r="CL71" s="684"/>
      <c r="CM71" s="684"/>
      <c r="CO71" s="680"/>
      <c r="CP71" s="560">
        <f t="shared" si="321"/>
        <v>0</v>
      </c>
      <c r="CQ71" s="684"/>
      <c r="CR71" s="684"/>
      <c r="CS71" s="684">
        <f>CO71</f>
        <v>0</v>
      </c>
      <c r="CT71" s="684"/>
      <c r="CU71" s="684"/>
      <c r="CW71" s="680"/>
      <c r="CX71" s="560">
        <f t="shared" si="322"/>
        <v>0</v>
      </c>
      <c r="CY71" s="684"/>
      <c r="CZ71" s="684"/>
      <c r="DA71" s="684">
        <f>CW71</f>
        <v>0</v>
      </c>
      <c r="DB71" s="684"/>
      <c r="DC71" s="684"/>
      <c r="DF71" s="685">
        <f>F71/$D$71</f>
        <v>0</v>
      </c>
      <c r="DG71" s="685">
        <f>G71/$D$71</f>
        <v>0</v>
      </c>
      <c r="DH71" s="685">
        <f>H71/$D$71</f>
        <v>1</v>
      </c>
      <c r="DI71" s="685">
        <f>I71/$D$71</f>
        <v>0</v>
      </c>
      <c r="DJ71" s="685">
        <f>J71/$D$71</f>
        <v>0</v>
      </c>
      <c r="DN71" s="717"/>
    </row>
    <row r="72" spans="1:118" s="673" customFormat="1" ht="44.25" customHeight="1">
      <c r="A72" s="718" t="s">
        <v>41</v>
      </c>
      <c r="B72" s="675" t="s">
        <v>108</v>
      </c>
      <c r="C72" s="671" t="s">
        <v>9</v>
      </c>
      <c r="D72" s="566">
        <f>F72+G72+H72+I72</f>
        <v>24630.262846479996</v>
      </c>
      <c r="E72" s="557">
        <f t="shared" si="432"/>
        <v>5491.4789731110704</v>
      </c>
      <c r="F72" s="697">
        <f t="shared" ref="F72:J72" si="442">F73</f>
        <v>2308.4</v>
      </c>
      <c r="G72" s="697">
        <f t="shared" si="442"/>
        <v>3183.0789731110704</v>
      </c>
      <c r="H72" s="697">
        <f t="shared" si="442"/>
        <v>18189.716194819979</v>
      </c>
      <c r="I72" s="697">
        <f t="shared" si="442"/>
        <v>949.06767854894395</v>
      </c>
      <c r="J72" s="697">
        <f t="shared" si="442"/>
        <v>0</v>
      </c>
      <c r="K72" s="698"/>
      <c r="M72" s="566">
        <f>O72+P72+Q72+R72+S72</f>
        <v>34.606780000000001</v>
      </c>
      <c r="N72" s="557">
        <f t="shared" si="433"/>
        <v>7.7156663771769214</v>
      </c>
      <c r="O72" s="697">
        <f t="shared" ref="O72:S72" si="443">O73</f>
        <v>3.2432774939692242</v>
      </c>
      <c r="P72" s="697">
        <f t="shared" si="443"/>
        <v>4.4723888832076977</v>
      </c>
      <c r="Q72" s="697">
        <f t="shared" si="443"/>
        <v>24.584403300918535</v>
      </c>
      <c r="R72" s="697">
        <f t="shared" si="443"/>
        <v>2.3067103219045428</v>
      </c>
      <c r="S72" s="697">
        <f t="shared" si="443"/>
        <v>0</v>
      </c>
      <c r="U72" s="566">
        <f>W72+X72+Y72+Z72+AA72</f>
        <v>99.076309999999992</v>
      </c>
      <c r="V72" s="557">
        <f t="shared" si="434"/>
        <v>22.089306021587607</v>
      </c>
      <c r="W72" s="697">
        <f t="shared" ref="W72:AA72" si="444">W73</f>
        <v>9.2852315762552298</v>
      </c>
      <c r="X72" s="697">
        <f t="shared" si="444"/>
        <v>12.804074445332377</v>
      </c>
      <c r="Y72" s="697">
        <f t="shared" si="444"/>
        <v>70.383085701900839</v>
      </c>
      <c r="Z72" s="697">
        <f t="shared" si="444"/>
        <v>6.6039182765115472</v>
      </c>
      <c r="AA72" s="697">
        <f t="shared" si="444"/>
        <v>0</v>
      </c>
      <c r="AC72" s="566">
        <f>AE72+AF72+AG72+AH72+AI72</f>
        <v>464.95933000000002</v>
      </c>
      <c r="AD72" s="557">
        <f t="shared" si="435"/>
        <v>103.66382163367146</v>
      </c>
      <c r="AE72" s="697">
        <f t="shared" ref="AE72:AI72" si="445">AE73</f>
        <v>43.575048895043388</v>
      </c>
      <c r="AF72" s="697">
        <f t="shared" si="445"/>
        <v>60.08877273862808</v>
      </c>
      <c r="AG72" s="697">
        <f t="shared" si="445"/>
        <v>330.30370601497367</v>
      </c>
      <c r="AH72" s="697">
        <f t="shared" si="445"/>
        <v>30.99180235135487</v>
      </c>
      <c r="AI72" s="697">
        <f t="shared" si="445"/>
        <v>0</v>
      </c>
      <c r="AK72" s="566">
        <f>AM72+AN72+AO72+AP72+AQ72</f>
        <v>606.42579000000001</v>
      </c>
      <c r="AL72" s="557">
        <f t="shared" si="436"/>
        <v>135.20411544084578</v>
      </c>
      <c r="AM72" s="697">
        <f t="shared" ref="AM72:AQ72" si="446">AM73</f>
        <v>56.832999674327027</v>
      </c>
      <c r="AN72" s="697">
        <f t="shared" si="446"/>
        <v>78.371115766518741</v>
      </c>
      <c r="AO72" s="697">
        <f t="shared" si="446"/>
        <v>430.80044411638789</v>
      </c>
      <c r="AP72" s="697">
        <f t="shared" si="446"/>
        <v>40.421230442766323</v>
      </c>
      <c r="AQ72" s="697">
        <f t="shared" si="446"/>
        <v>0</v>
      </c>
      <c r="AS72" s="566">
        <f>AU72+AV72+AW72+AX72+AY72</f>
        <v>433.92343</v>
      </c>
      <c r="AT72" s="557">
        <f t="shared" si="437"/>
        <v>96.744291700073902</v>
      </c>
      <c r="AU72" s="697">
        <f t="shared" ref="AU72:AY72" si="447">AU73</f>
        <v>40.666427059233193</v>
      </c>
      <c r="AV72" s="697">
        <f t="shared" si="447"/>
        <v>56.077864640840708</v>
      </c>
      <c r="AW72" s="697">
        <f t="shared" si="447"/>
        <v>308.25602973862038</v>
      </c>
      <c r="AX72" s="697">
        <f t="shared" si="447"/>
        <v>28.923108561305714</v>
      </c>
      <c r="AY72" s="697">
        <f t="shared" si="447"/>
        <v>0</v>
      </c>
      <c r="BA72" s="566">
        <f>BC72+BD72+BE72+BF72+BG72</f>
        <v>0</v>
      </c>
      <c r="BB72" s="557">
        <f t="shared" si="438"/>
        <v>0</v>
      </c>
      <c r="BC72" s="697">
        <f t="shared" ref="BC72:BG72" si="448">BC73</f>
        <v>0</v>
      </c>
      <c r="BD72" s="697">
        <f t="shared" si="448"/>
        <v>0</v>
      </c>
      <c r="BE72" s="697">
        <f t="shared" si="448"/>
        <v>0</v>
      </c>
      <c r="BF72" s="697">
        <f t="shared" si="448"/>
        <v>0</v>
      </c>
      <c r="BG72" s="697">
        <f t="shared" si="448"/>
        <v>0</v>
      </c>
      <c r="BI72" s="566">
        <f>BK72+BL72+BM72+BN72+BO72</f>
        <v>0</v>
      </c>
      <c r="BJ72" s="557">
        <f t="shared" si="439"/>
        <v>0</v>
      </c>
      <c r="BK72" s="697">
        <f t="shared" ref="BK72:BO72" si="449">BK73</f>
        <v>0</v>
      </c>
      <c r="BL72" s="697">
        <f t="shared" si="449"/>
        <v>0</v>
      </c>
      <c r="BM72" s="697">
        <f t="shared" si="449"/>
        <v>0</v>
      </c>
      <c r="BN72" s="697">
        <f t="shared" si="449"/>
        <v>0</v>
      </c>
      <c r="BO72" s="697">
        <f t="shared" si="449"/>
        <v>0</v>
      </c>
      <c r="BQ72" s="566">
        <f>BS72+BT72+BU72+BV72+BW72</f>
        <v>0</v>
      </c>
      <c r="BR72" s="557">
        <f t="shared" si="440"/>
        <v>0</v>
      </c>
      <c r="BS72" s="697">
        <f t="shared" ref="BS72:BW72" si="450">BS73</f>
        <v>0</v>
      </c>
      <c r="BT72" s="697">
        <f t="shared" si="450"/>
        <v>0</v>
      </c>
      <c r="BU72" s="697">
        <f t="shared" si="450"/>
        <v>0</v>
      </c>
      <c r="BV72" s="697">
        <f t="shared" si="450"/>
        <v>0</v>
      </c>
      <c r="BW72" s="697">
        <f t="shared" si="450"/>
        <v>0</v>
      </c>
      <c r="BY72" s="566">
        <f>CA72+CB72+CC72+CD72+CE72</f>
        <v>0</v>
      </c>
      <c r="BZ72" s="557">
        <f t="shared" si="441"/>
        <v>0</v>
      </c>
      <c r="CA72" s="697">
        <f t="shared" ref="CA72:CE72" si="451">CA73</f>
        <v>0</v>
      </c>
      <c r="CB72" s="697">
        <f t="shared" si="451"/>
        <v>0</v>
      </c>
      <c r="CC72" s="697">
        <f t="shared" si="451"/>
        <v>0</v>
      </c>
      <c r="CD72" s="697">
        <f t="shared" si="451"/>
        <v>0</v>
      </c>
      <c r="CE72" s="697">
        <f t="shared" si="451"/>
        <v>0</v>
      </c>
      <c r="CG72" s="566">
        <f>CI72+CJ72+CK72+CL72+CM72</f>
        <v>0</v>
      </c>
      <c r="CH72" s="557">
        <f t="shared" si="320"/>
        <v>0</v>
      </c>
      <c r="CI72" s="697">
        <f t="shared" ref="CI72:CM72" si="452">CI73</f>
        <v>0</v>
      </c>
      <c r="CJ72" s="697">
        <f t="shared" si="452"/>
        <v>0</v>
      </c>
      <c r="CK72" s="697">
        <f t="shared" si="452"/>
        <v>0</v>
      </c>
      <c r="CL72" s="697">
        <f t="shared" si="452"/>
        <v>0</v>
      </c>
      <c r="CM72" s="697">
        <f t="shared" si="452"/>
        <v>0</v>
      </c>
      <c r="CO72" s="566">
        <f>CQ72+CR72+CS72+CT72+CU72</f>
        <v>0</v>
      </c>
      <c r="CP72" s="557">
        <f t="shared" si="321"/>
        <v>0</v>
      </c>
      <c r="CQ72" s="697">
        <f t="shared" ref="CQ72:CU72" si="453">CQ73</f>
        <v>0</v>
      </c>
      <c r="CR72" s="697">
        <f t="shared" si="453"/>
        <v>0</v>
      </c>
      <c r="CS72" s="697">
        <f t="shared" si="453"/>
        <v>0</v>
      </c>
      <c r="CT72" s="697">
        <f t="shared" si="453"/>
        <v>0</v>
      </c>
      <c r="CU72" s="697">
        <f t="shared" si="453"/>
        <v>0</v>
      </c>
      <c r="CW72" s="566">
        <f>CY72+CZ72+DA72+DB72+DC72</f>
        <v>0</v>
      </c>
      <c r="CX72" s="557">
        <f t="shared" si="322"/>
        <v>0</v>
      </c>
      <c r="CY72" s="697">
        <f t="shared" ref="CY72:DC72" si="454">CY73</f>
        <v>0</v>
      </c>
      <c r="CZ72" s="697">
        <f t="shared" si="454"/>
        <v>0</v>
      </c>
      <c r="DA72" s="697">
        <f t="shared" si="454"/>
        <v>0</v>
      </c>
      <c r="DB72" s="697">
        <f t="shared" si="454"/>
        <v>0</v>
      </c>
      <c r="DC72" s="697">
        <f t="shared" si="454"/>
        <v>0</v>
      </c>
      <c r="DF72" s="688"/>
      <c r="DG72" s="688"/>
      <c r="DH72" s="688"/>
      <c r="DI72" s="688"/>
      <c r="DJ72" s="688"/>
    </row>
    <row r="73" spans="1:118" s="673" customFormat="1" ht="25.5" customHeight="1" outlineLevel="1">
      <c r="A73" s="674"/>
      <c r="B73" s="678" t="s">
        <v>452</v>
      </c>
      <c r="C73" s="671" t="s">
        <v>9</v>
      </c>
      <c r="D73" s="563">
        <v>24630.262846479996</v>
      </c>
      <c r="E73" s="560">
        <f t="shared" si="432"/>
        <v>5491.4789731110704</v>
      </c>
      <c r="F73" s="564">
        <v>2308.4</v>
      </c>
      <c r="G73" s="564">
        <v>3183.0789731110704</v>
      </c>
      <c r="H73" s="563">
        <f>D73-F73-G73-I73</f>
        <v>18189.716194819979</v>
      </c>
      <c r="I73" s="564">
        <v>949.06767854894395</v>
      </c>
      <c r="J73" s="564"/>
      <c r="K73" s="679" t="s">
        <v>184</v>
      </c>
      <c r="M73" s="680">
        <f>34606.78/1000</f>
        <v>34.606780000000001</v>
      </c>
      <c r="N73" s="560">
        <f t="shared" si="433"/>
        <v>7.7156663771769214</v>
      </c>
      <c r="O73" s="681">
        <f>$M$73*$O$3</f>
        <v>3.2432774939692242</v>
      </c>
      <c r="P73" s="681">
        <f>$M$73*$P$3</f>
        <v>4.4723888832076977</v>
      </c>
      <c r="Q73" s="681">
        <f>$M$73*$Q$3</f>
        <v>24.584403300918535</v>
      </c>
      <c r="R73" s="681">
        <f>$M$73*$R$3</f>
        <v>2.3067103219045428</v>
      </c>
      <c r="S73" s="681">
        <f>$M$16*$S$3</f>
        <v>0</v>
      </c>
      <c r="U73" s="680">
        <f>99076.31/1000</f>
        <v>99.076309999999992</v>
      </c>
      <c r="V73" s="560">
        <f t="shared" si="434"/>
        <v>22.089306021587607</v>
      </c>
      <c r="W73" s="681">
        <f>U73*$W$3</f>
        <v>9.2852315762552298</v>
      </c>
      <c r="X73" s="681">
        <f>U73*$X$3</f>
        <v>12.804074445332377</v>
      </c>
      <c r="Y73" s="681">
        <f>U73*$Y$3</f>
        <v>70.383085701900839</v>
      </c>
      <c r="Z73" s="681">
        <f>U73*$Z$3</f>
        <v>6.6039182765115472</v>
      </c>
      <c r="AA73" s="681">
        <f>U73*AA3</f>
        <v>0</v>
      </c>
      <c r="AC73" s="680">
        <f>464959.33/1000</f>
        <v>464.95933000000002</v>
      </c>
      <c r="AD73" s="560">
        <f t="shared" si="435"/>
        <v>103.66382163367146</v>
      </c>
      <c r="AE73" s="681">
        <f t="shared" ref="AE73" si="455">AC73*$AE$3</f>
        <v>43.575048895043388</v>
      </c>
      <c r="AF73" s="681">
        <f t="shared" ref="AF73" si="456">AC73*$AF$3</f>
        <v>60.08877273862808</v>
      </c>
      <c r="AG73" s="681">
        <f t="shared" ref="AG73" si="457">AC73*$AG$3</f>
        <v>330.30370601497367</v>
      </c>
      <c r="AH73" s="681">
        <f t="shared" ref="AH73" si="458">AC73*$AH$3</f>
        <v>30.99180235135487</v>
      </c>
      <c r="AI73" s="681">
        <f>AC73*AI3</f>
        <v>0</v>
      </c>
      <c r="AK73" s="680">
        <f>606425.79/1000</f>
        <v>606.42579000000001</v>
      </c>
      <c r="AL73" s="560">
        <f t="shared" si="436"/>
        <v>135.20411544084578</v>
      </c>
      <c r="AM73" s="681">
        <f>AK73*$AM$3</f>
        <v>56.832999674327027</v>
      </c>
      <c r="AN73" s="681">
        <f>AK73*$AN$3</f>
        <v>78.371115766518741</v>
      </c>
      <c r="AO73" s="681">
        <f>AK73*$AO$3</f>
        <v>430.80044411638789</v>
      </c>
      <c r="AP73" s="681">
        <f>AK73*$AP$3</f>
        <v>40.421230442766323</v>
      </c>
      <c r="AQ73" s="681">
        <f>AK73*AQ3</f>
        <v>0</v>
      </c>
      <c r="AS73" s="680">
        <f>433923.43/1000</f>
        <v>433.92343</v>
      </c>
      <c r="AT73" s="560">
        <f t="shared" si="437"/>
        <v>96.744291700073902</v>
      </c>
      <c r="AU73" s="681">
        <f>AS73*$AU$3</f>
        <v>40.666427059233193</v>
      </c>
      <c r="AV73" s="681">
        <f>AS73*$AV$3</f>
        <v>56.077864640840708</v>
      </c>
      <c r="AW73" s="681">
        <f>AS73*$AW$3</f>
        <v>308.25602973862038</v>
      </c>
      <c r="AX73" s="681">
        <f>AS73*$AX$3</f>
        <v>28.923108561305714</v>
      </c>
      <c r="AY73" s="681">
        <f>AS73*AY3</f>
        <v>0</v>
      </c>
      <c r="BA73" s="680"/>
      <c r="BB73" s="560">
        <f t="shared" si="438"/>
        <v>0</v>
      </c>
      <c r="BC73" s="681">
        <f t="shared" ref="BC73" si="459">BA73*$BC$3</f>
        <v>0</v>
      </c>
      <c r="BD73" s="681">
        <f t="shared" ref="BD73" si="460">BA73*$BD$3</f>
        <v>0</v>
      </c>
      <c r="BE73" s="681">
        <f t="shared" ref="BE73" si="461">BA73*$BE$3</f>
        <v>0</v>
      </c>
      <c r="BF73" s="681">
        <f t="shared" ref="BF73" si="462">BA73*$BF$3</f>
        <v>0</v>
      </c>
      <c r="BG73" s="681">
        <f>BA73*BG3</f>
        <v>0</v>
      </c>
      <c r="BI73" s="680"/>
      <c r="BJ73" s="560">
        <f t="shared" si="439"/>
        <v>0</v>
      </c>
      <c r="BK73" s="681">
        <f t="shared" ref="BK73" si="463">BI73*$BK$3</f>
        <v>0</v>
      </c>
      <c r="BL73" s="681">
        <f t="shared" ref="BL73" si="464">BI73*$BL$3</f>
        <v>0</v>
      </c>
      <c r="BM73" s="681">
        <f t="shared" ref="BM73" si="465">BI73*$BM$3</f>
        <v>0</v>
      </c>
      <c r="BN73" s="681">
        <f t="shared" ref="BN73" si="466">BI73*$BN$3</f>
        <v>0</v>
      </c>
      <c r="BO73" s="681">
        <f>BI73*BO3</f>
        <v>0</v>
      </c>
      <c r="BQ73" s="680"/>
      <c r="BR73" s="560">
        <f t="shared" si="440"/>
        <v>0</v>
      </c>
      <c r="BS73" s="681">
        <f t="shared" ref="BS73" si="467">BQ73*$BS$3</f>
        <v>0</v>
      </c>
      <c r="BT73" s="681">
        <f t="shared" ref="BT73" si="468">BQ73*$BT$3</f>
        <v>0</v>
      </c>
      <c r="BU73" s="681">
        <f t="shared" ref="BU73" si="469">BQ73*$BU$3</f>
        <v>0</v>
      </c>
      <c r="BV73" s="681">
        <f t="shared" ref="BV73" si="470">BQ73*$BV$3</f>
        <v>0</v>
      </c>
      <c r="BW73" s="681">
        <f>BQ73*BW3</f>
        <v>0</v>
      </c>
      <c r="BY73" s="680"/>
      <c r="BZ73" s="560">
        <f t="shared" si="441"/>
        <v>0</v>
      </c>
      <c r="CA73" s="681">
        <f t="shared" ref="CA73" si="471">BY73*$CA$3</f>
        <v>0</v>
      </c>
      <c r="CB73" s="681">
        <f t="shared" ref="CB73" si="472">BY73*$CB$3</f>
        <v>0</v>
      </c>
      <c r="CC73" s="681">
        <f t="shared" ref="CC73" si="473">BY73*$CC$3</f>
        <v>0</v>
      </c>
      <c r="CD73" s="681">
        <f t="shared" ref="CD73" si="474">BY73*$CD$3</f>
        <v>0</v>
      </c>
      <c r="CE73" s="681">
        <f>BY73*CE3</f>
        <v>0</v>
      </c>
      <c r="CG73" s="680"/>
      <c r="CH73" s="560">
        <f t="shared" si="320"/>
        <v>0</v>
      </c>
      <c r="CI73" s="681">
        <f t="shared" ref="CI73" si="475">CG73*$CI$3</f>
        <v>0</v>
      </c>
      <c r="CJ73" s="681">
        <f t="shared" ref="CJ73" si="476">CG73*$CJ$3</f>
        <v>0</v>
      </c>
      <c r="CK73" s="681">
        <f t="shared" ref="CK73" si="477">CG73*$CK$3</f>
        <v>0</v>
      </c>
      <c r="CL73" s="681">
        <f t="shared" ref="CL73" si="478">CG73*$CL$3</f>
        <v>0</v>
      </c>
      <c r="CM73" s="681">
        <f>CG73*CM3</f>
        <v>0</v>
      </c>
      <c r="CN73" s="708"/>
      <c r="CO73" s="680"/>
      <c r="CP73" s="560">
        <f t="shared" si="321"/>
        <v>0</v>
      </c>
      <c r="CQ73" s="681">
        <f t="shared" ref="CQ73" si="479">CO73*$CQ$3</f>
        <v>0</v>
      </c>
      <c r="CR73" s="681">
        <f t="shared" ref="CR73" si="480">CO73*$CR$3</f>
        <v>0</v>
      </c>
      <c r="CS73" s="681">
        <f t="shared" ref="CS73" si="481">CO73*$CS$3</f>
        <v>0</v>
      </c>
      <c r="CT73" s="681">
        <f t="shared" ref="CT73" si="482">CO73*$CT$3</f>
        <v>0</v>
      </c>
      <c r="CU73" s="681">
        <f>CO73*CU3</f>
        <v>0</v>
      </c>
      <c r="CV73" s="708"/>
      <c r="CW73" s="680"/>
      <c r="CX73" s="560">
        <f t="shared" si="322"/>
        <v>0</v>
      </c>
      <c r="CY73" s="681">
        <f t="shared" ref="CY73" si="483">CW73*$CY$3</f>
        <v>0</v>
      </c>
      <c r="CZ73" s="681">
        <f t="shared" ref="CZ73" si="484">CW73*$CZ$3</f>
        <v>0</v>
      </c>
      <c r="DA73" s="681">
        <f t="shared" ref="DA73" si="485">CW73*$DA$3</f>
        <v>0</v>
      </c>
      <c r="DB73" s="681">
        <f t="shared" ref="DB73" si="486">CW73*$DB$3</f>
        <v>0</v>
      </c>
      <c r="DC73" s="681">
        <f>CW73*DC3</f>
        <v>0</v>
      </c>
      <c r="DF73" s="688"/>
      <c r="DG73" s="688"/>
      <c r="DH73" s="688"/>
      <c r="DI73" s="688"/>
      <c r="DJ73" s="688"/>
    </row>
    <row r="74" spans="1:118" s="673" customFormat="1" ht="25.5" customHeight="1" outlineLevel="1">
      <c r="A74" s="674" t="s">
        <v>43</v>
      </c>
      <c r="B74" s="719" t="s">
        <v>160</v>
      </c>
      <c r="C74" s="671"/>
      <c r="D74" s="566">
        <f>F74+G74+H74+I74</f>
        <v>5755.7888171199993</v>
      </c>
      <c r="E74" s="557">
        <f t="shared" si="432"/>
        <v>1356.7431421639915</v>
      </c>
      <c r="F74" s="697">
        <f>SUM(F75:F78)</f>
        <v>567.51610114249934</v>
      </c>
      <c r="G74" s="697">
        <f t="shared" ref="G74:J74" si="487">SUM(G75:G78)</f>
        <v>789.22704102149214</v>
      </c>
      <c r="H74" s="697">
        <f t="shared" si="487"/>
        <v>4112.5910499120364</v>
      </c>
      <c r="I74" s="697">
        <f t="shared" si="487"/>
        <v>286.45462504397187</v>
      </c>
      <c r="J74" s="697">
        <f t="shared" si="487"/>
        <v>0</v>
      </c>
      <c r="K74" s="698"/>
      <c r="M74" s="566">
        <f>O74+P74+Q74+R74+S74</f>
        <v>0</v>
      </c>
      <c r="N74" s="557">
        <f t="shared" si="433"/>
        <v>0</v>
      </c>
      <c r="O74" s="697">
        <f>SUM(O75:O78)</f>
        <v>0</v>
      </c>
      <c r="P74" s="697">
        <f t="shared" ref="P74:S74" si="488">SUM(P75:P78)</f>
        <v>0</v>
      </c>
      <c r="Q74" s="697">
        <f t="shared" si="488"/>
        <v>0</v>
      </c>
      <c r="R74" s="697">
        <f t="shared" si="488"/>
        <v>0</v>
      </c>
      <c r="S74" s="697">
        <f t="shared" si="488"/>
        <v>0</v>
      </c>
      <c r="U74" s="566">
        <f>W74+X74+Y74+Z74+AA74</f>
        <v>4.1889700000000003</v>
      </c>
      <c r="V74" s="557">
        <f t="shared" si="434"/>
        <v>0.93394112321350931</v>
      </c>
      <c r="W74" s="697">
        <f>SUM(W75:W78)</f>
        <v>0.39258180402546156</v>
      </c>
      <c r="X74" s="697">
        <f t="shared" ref="X74:AA74" si="489">SUM(X75:X78)</f>
        <v>0.54135931918804781</v>
      </c>
      <c r="Y74" s="697">
        <f t="shared" si="489"/>
        <v>2.9758136381208748</v>
      </c>
      <c r="Z74" s="697">
        <f t="shared" si="489"/>
        <v>0.27921523866561621</v>
      </c>
      <c r="AA74" s="697">
        <f t="shared" si="489"/>
        <v>0</v>
      </c>
      <c r="AC74" s="566">
        <f>AE74+AF74+AG74+AH74+AI74</f>
        <v>14.444000000000003</v>
      </c>
      <c r="AD74" s="557">
        <f t="shared" si="435"/>
        <v>3.2203251834450781</v>
      </c>
      <c r="AE74" s="697">
        <f>SUM(AE75:AE78)</f>
        <v>1.353662493964809</v>
      </c>
      <c r="AF74" s="697">
        <f t="shared" ref="AF74:AI74" si="490">SUM(AF75:AF78)</f>
        <v>1.8666626894802691</v>
      </c>
      <c r="AG74" s="697">
        <f t="shared" si="490"/>
        <v>10.260911916060014</v>
      </c>
      <c r="AH74" s="697">
        <f t="shared" si="490"/>
        <v>0.96276290049490942</v>
      </c>
      <c r="AI74" s="697">
        <f t="shared" si="490"/>
        <v>0</v>
      </c>
      <c r="AK74" s="566">
        <f>AM74+AN74+AO74+AP74+AQ74</f>
        <v>427.71004999999997</v>
      </c>
      <c r="AL74" s="557">
        <f t="shared" si="436"/>
        <v>95.359003408166259</v>
      </c>
      <c r="AM74" s="697">
        <f>SUM(AM75:AM78)</f>
        <v>40.084121640599086</v>
      </c>
      <c r="AN74" s="697">
        <f t="shared" ref="AN74:AQ74" si="491">SUM(AN75:AN78)</f>
        <v>55.274881767567173</v>
      </c>
      <c r="AO74" s="697">
        <f t="shared" si="491"/>
        <v>303.84209004871389</v>
      </c>
      <c r="AP74" s="697">
        <f t="shared" si="491"/>
        <v>28.508956543119822</v>
      </c>
      <c r="AQ74" s="697">
        <f t="shared" si="491"/>
        <v>0</v>
      </c>
      <c r="AS74" s="566">
        <f>AU74+AV74+AW74+AX74+AY74</f>
        <v>589.55037000000016</v>
      </c>
      <c r="AT74" s="557">
        <f t="shared" si="437"/>
        <v>180.95716509232466</v>
      </c>
      <c r="AU74" s="697">
        <f>SUM(AU75:AU78)</f>
        <v>86.29792689944756</v>
      </c>
      <c r="AV74" s="697">
        <f t="shared" ref="AV74:AY74" si="492">SUM(AV75:AV78)</f>
        <v>94.659238192877098</v>
      </c>
      <c r="AW74" s="697">
        <f t="shared" si="492"/>
        <v>373.4010518754032</v>
      </c>
      <c r="AX74" s="697">
        <f t="shared" si="492"/>
        <v>35.192153032272202</v>
      </c>
      <c r="AY74" s="697">
        <f t="shared" si="492"/>
        <v>0</v>
      </c>
      <c r="BA74" s="566">
        <f>BC74+BD74+BE74+BF74+BG74</f>
        <v>0</v>
      </c>
      <c r="BB74" s="557">
        <f t="shared" si="438"/>
        <v>0</v>
      </c>
      <c r="BC74" s="697">
        <f>SUM(BC75:BC78)</f>
        <v>0</v>
      </c>
      <c r="BD74" s="697">
        <f t="shared" ref="BD74:BG74" si="493">SUM(BD75:BD78)</f>
        <v>0</v>
      </c>
      <c r="BE74" s="697">
        <f t="shared" si="493"/>
        <v>0</v>
      </c>
      <c r="BF74" s="697">
        <f t="shared" si="493"/>
        <v>0</v>
      </c>
      <c r="BG74" s="697">
        <f t="shared" si="493"/>
        <v>0</v>
      </c>
      <c r="BI74" s="566">
        <f>BK74+BL74+BM74+BN74+BO74</f>
        <v>0</v>
      </c>
      <c r="BJ74" s="557">
        <f t="shared" si="439"/>
        <v>0</v>
      </c>
      <c r="BK74" s="697">
        <f>SUM(BK75:BK78)</f>
        <v>0</v>
      </c>
      <c r="BL74" s="697">
        <f t="shared" ref="BL74:BO74" si="494">SUM(BL75:BL78)</f>
        <v>0</v>
      </c>
      <c r="BM74" s="697">
        <f t="shared" si="494"/>
        <v>0</v>
      </c>
      <c r="BN74" s="697">
        <f t="shared" si="494"/>
        <v>0</v>
      </c>
      <c r="BO74" s="697">
        <f t="shared" si="494"/>
        <v>0</v>
      </c>
      <c r="BQ74" s="566">
        <f>BS74+BT74+BU74+BV74+BW74</f>
        <v>0</v>
      </c>
      <c r="BR74" s="557">
        <f t="shared" si="440"/>
        <v>0</v>
      </c>
      <c r="BS74" s="697">
        <f>SUM(BS75:BS78)</f>
        <v>0</v>
      </c>
      <c r="BT74" s="697">
        <f t="shared" ref="BT74:BW74" si="495">SUM(BT75:BT78)</f>
        <v>0</v>
      </c>
      <c r="BU74" s="697">
        <f t="shared" si="495"/>
        <v>0</v>
      </c>
      <c r="BV74" s="697">
        <f t="shared" si="495"/>
        <v>0</v>
      </c>
      <c r="BW74" s="697">
        <f t="shared" si="495"/>
        <v>0</v>
      </c>
      <c r="BY74" s="566">
        <f>CA74+CB74+CC74+CD74+CE74</f>
        <v>0</v>
      </c>
      <c r="BZ74" s="557">
        <f t="shared" si="441"/>
        <v>0</v>
      </c>
      <c r="CA74" s="697">
        <f>SUM(CA75:CA78)</f>
        <v>0</v>
      </c>
      <c r="CB74" s="697">
        <f t="shared" ref="CB74:CE74" si="496">SUM(CB75:CB78)</f>
        <v>0</v>
      </c>
      <c r="CC74" s="697">
        <f t="shared" si="496"/>
        <v>0</v>
      </c>
      <c r="CD74" s="697">
        <f t="shared" si="496"/>
        <v>0</v>
      </c>
      <c r="CE74" s="697">
        <f t="shared" si="496"/>
        <v>0</v>
      </c>
      <c r="CG74" s="566">
        <f>CI74+CJ74+CK74+CL74+CM74</f>
        <v>0</v>
      </c>
      <c r="CH74" s="557">
        <f t="shared" si="320"/>
        <v>0</v>
      </c>
      <c r="CI74" s="697">
        <f>SUM(CI75:CI78)</f>
        <v>0</v>
      </c>
      <c r="CJ74" s="697">
        <f t="shared" ref="CJ74:CM74" si="497">SUM(CJ75:CJ78)</f>
        <v>0</v>
      </c>
      <c r="CK74" s="697">
        <f t="shared" si="497"/>
        <v>0</v>
      </c>
      <c r="CL74" s="697">
        <f t="shared" si="497"/>
        <v>0</v>
      </c>
      <c r="CM74" s="697">
        <f t="shared" si="497"/>
        <v>0</v>
      </c>
      <c r="CO74" s="566">
        <f>CQ74+CR74+CS74+CT74+CU74</f>
        <v>0</v>
      </c>
      <c r="CP74" s="557">
        <f t="shared" si="321"/>
        <v>0</v>
      </c>
      <c r="CQ74" s="697">
        <f>SUM(CQ75:CQ78)</f>
        <v>0</v>
      </c>
      <c r="CR74" s="697">
        <f t="shared" ref="CR74:CU74" si="498">SUM(CR75:CR78)</f>
        <v>0</v>
      </c>
      <c r="CS74" s="697">
        <f t="shared" si="498"/>
        <v>0</v>
      </c>
      <c r="CT74" s="697">
        <f t="shared" si="498"/>
        <v>0</v>
      </c>
      <c r="CU74" s="697">
        <f t="shared" si="498"/>
        <v>0</v>
      </c>
      <c r="CW74" s="566">
        <f>CY74+CZ74+DA74+DB74+DC74</f>
        <v>0</v>
      </c>
      <c r="CX74" s="557">
        <f t="shared" si="322"/>
        <v>0</v>
      </c>
      <c r="CY74" s="697">
        <f>SUM(CY75:CY78)</f>
        <v>0</v>
      </c>
      <c r="CZ74" s="697">
        <f t="shared" ref="CZ74:DC74" si="499">SUM(CZ75:CZ78)</f>
        <v>0</v>
      </c>
      <c r="DA74" s="697">
        <f t="shared" si="499"/>
        <v>0</v>
      </c>
      <c r="DB74" s="697">
        <f t="shared" si="499"/>
        <v>0</v>
      </c>
      <c r="DC74" s="697">
        <f t="shared" si="499"/>
        <v>0</v>
      </c>
      <c r="DF74" s="688"/>
      <c r="DG74" s="688"/>
      <c r="DH74" s="688"/>
      <c r="DI74" s="688"/>
      <c r="DJ74" s="688"/>
    </row>
    <row r="75" spans="1:118" s="673" customFormat="1" ht="35.25" customHeight="1" outlineLevel="1">
      <c r="A75" s="674"/>
      <c r="B75" s="678" t="s">
        <v>90</v>
      </c>
      <c r="C75" s="671"/>
      <c r="D75" s="563">
        <v>228.50450973599993</v>
      </c>
      <c r="E75" s="560">
        <f t="shared" si="432"/>
        <v>88.62683963672572</v>
      </c>
      <c r="F75" s="564">
        <v>36.081415530352459</v>
      </c>
      <c r="G75" s="564">
        <v>52.545424106373261</v>
      </c>
      <c r="H75" s="563">
        <f t="shared" ref="H75:H94" si="500">D75-F75-G75-I75</f>
        <v>133.2069896003955</v>
      </c>
      <c r="I75" s="564">
        <v>6.6706804988787098</v>
      </c>
      <c r="J75" s="564"/>
      <c r="K75" s="683" t="s">
        <v>429</v>
      </c>
      <c r="M75" s="680"/>
      <c r="N75" s="560">
        <f t="shared" si="433"/>
        <v>0</v>
      </c>
      <c r="O75" s="681">
        <f>M75*O3</f>
        <v>0</v>
      </c>
      <c r="P75" s="681">
        <f>M75*P3</f>
        <v>0</v>
      </c>
      <c r="Q75" s="681">
        <f>M75*Q3</f>
        <v>0</v>
      </c>
      <c r="R75" s="681">
        <f>M75*R3</f>
        <v>0</v>
      </c>
      <c r="S75" s="681">
        <f>M75*S3</f>
        <v>0</v>
      </c>
      <c r="U75" s="680">
        <f>4188.97/1000</f>
        <v>4.1889700000000003</v>
      </c>
      <c r="V75" s="560">
        <f t="shared" si="434"/>
        <v>0.93394112321350931</v>
      </c>
      <c r="W75" s="681">
        <f>U75*W3</f>
        <v>0.39258180402546156</v>
      </c>
      <c r="X75" s="681">
        <f>U75*X3</f>
        <v>0.54135931918804781</v>
      </c>
      <c r="Y75" s="681">
        <f>U75*Y3</f>
        <v>2.9758136381208748</v>
      </c>
      <c r="Z75" s="681">
        <f>U75*Z3</f>
        <v>0.27921523866561621</v>
      </c>
      <c r="AA75" s="681">
        <f>U75*AA3</f>
        <v>0</v>
      </c>
      <c r="AC75" s="680">
        <f>14444/1000</f>
        <v>14.444000000000001</v>
      </c>
      <c r="AD75" s="560">
        <f t="shared" si="435"/>
        <v>3.2203251834450781</v>
      </c>
      <c r="AE75" s="681">
        <f>AC75*AE3</f>
        <v>1.353662493964809</v>
      </c>
      <c r="AF75" s="681">
        <f>AC75*AF3</f>
        <v>1.8666626894802691</v>
      </c>
      <c r="AG75" s="681">
        <f>AC75*AG3</f>
        <v>10.260911916060014</v>
      </c>
      <c r="AH75" s="681">
        <f>AC75*AH3</f>
        <v>0.96276290049490942</v>
      </c>
      <c r="AI75" s="681">
        <f>AC75*AI3</f>
        <v>0</v>
      </c>
      <c r="AK75" s="680">
        <f>14444.47/1000</f>
        <v>14.444469999999999</v>
      </c>
      <c r="AL75" s="560">
        <f t="shared" si="436"/>
        <v>3.2204299710964364</v>
      </c>
      <c r="AM75" s="681">
        <f>AK75*AM3</f>
        <v>1.353706541415111</v>
      </c>
      <c r="AN75" s="681">
        <f>AK75*AN3</f>
        <v>1.8667234296813251</v>
      </c>
      <c r="AO75" s="681">
        <f>AK75*AO3</f>
        <v>10.261245800621113</v>
      </c>
      <c r="AP75" s="681">
        <f>AK75*AP3</f>
        <v>0.96279422828244965</v>
      </c>
      <c r="AQ75" s="681">
        <f>AK75*AQ3</f>
        <v>0</v>
      </c>
      <c r="AS75" s="680">
        <f>14444.47/1000</f>
        <v>14.444469999999999</v>
      </c>
      <c r="AT75" s="560">
        <f t="shared" si="437"/>
        <v>3.2204299710964364</v>
      </c>
      <c r="AU75" s="681">
        <f>AS75*AU3</f>
        <v>1.353706541415111</v>
      </c>
      <c r="AV75" s="681">
        <f>AS75*AV3</f>
        <v>1.8667234296813251</v>
      </c>
      <c r="AW75" s="681">
        <f>AS75*AW3</f>
        <v>10.261245800621113</v>
      </c>
      <c r="AX75" s="681">
        <f>AS75*AX3</f>
        <v>0.96279422828244965</v>
      </c>
      <c r="AY75" s="681">
        <f>AS75*AY3</f>
        <v>0</v>
      </c>
      <c r="BA75" s="680"/>
      <c r="BB75" s="560">
        <f t="shared" si="438"/>
        <v>0</v>
      </c>
      <c r="BC75" s="684">
        <f>BA75*$DF$75</f>
        <v>0</v>
      </c>
      <c r="BD75" s="684">
        <f>BA75*$DG$75</f>
        <v>0</v>
      </c>
      <c r="BE75" s="684">
        <f>BA75*$DH$75</f>
        <v>0</v>
      </c>
      <c r="BF75" s="684">
        <f>BA75*$DI$75</f>
        <v>0</v>
      </c>
      <c r="BG75" s="684">
        <f>BA75*$DJ$75</f>
        <v>0</v>
      </c>
      <c r="BI75" s="680"/>
      <c r="BJ75" s="560">
        <f t="shared" si="439"/>
        <v>0</v>
      </c>
      <c r="BK75" s="684">
        <f>BI75*$DF$75</f>
        <v>0</v>
      </c>
      <c r="BL75" s="684">
        <f>BI75*$DG$75</f>
        <v>0</v>
      </c>
      <c r="BM75" s="684">
        <f>BI75*$DH$75</f>
        <v>0</v>
      </c>
      <c r="BN75" s="684">
        <f>BI75*$DI$75</f>
        <v>0</v>
      </c>
      <c r="BO75" s="684">
        <f>BI75*$DJ$75</f>
        <v>0</v>
      </c>
      <c r="BQ75" s="680"/>
      <c r="BR75" s="560">
        <f t="shared" si="440"/>
        <v>0</v>
      </c>
      <c r="BS75" s="684">
        <f>BQ75*$DF$75</f>
        <v>0</v>
      </c>
      <c r="BT75" s="684">
        <f>BQ75*$DG$75</f>
        <v>0</v>
      </c>
      <c r="BU75" s="684">
        <f>BQ75*$DH$75</f>
        <v>0</v>
      </c>
      <c r="BV75" s="684">
        <f>BQ75*$DI$75</f>
        <v>0</v>
      </c>
      <c r="BW75" s="684">
        <f>BQ75*$DJ$75</f>
        <v>0</v>
      </c>
      <c r="BY75" s="680"/>
      <c r="BZ75" s="560">
        <f t="shared" si="441"/>
        <v>0</v>
      </c>
      <c r="CA75" s="684">
        <f>BY75*$DF$75</f>
        <v>0</v>
      </c>
      <c r="CB75" s="684">
        <f>BY75*$DG$75</f>
        <v>0</v>
      </c>
      <c r="CC75" s="684">
        <f>BY75*$DH$75</f>
        <v>0</v>
      </c>
      <c r="CD75" s="684">
        <f>BY75*$DI$75</f>
        <v>0</v>
      </c>
      <c r="CE75" s="684">
        <f>BY75*$DJ$75</f>
        <v>0</v>
      </c>
      <c r="CG75" s="680"/>
      <c r="CH75" s="560">
        <f t="shared" si="320"/>
        <v>0</v>
      </c>
      <c r="CI75" s="684">
        <f>CG75*$DF$75</f>
        <v>0</v>
      </c>
      <c r="CJ75" s="684">
        <f>CG75*$DG$75</f>
        <v>0</v>
      </c>
      <c r="CK75" s="684">
        <f>CG75*$DH$75</f>
        <v>0</v>
      </c>
      <c r="CL75" s="684">
        <f>CG75*$DI$75</f>
        <v>0</v>
      </c>
      <c r="CM75" s="684">
        <f>CG75*$DJ$75</f>
        <v>0</v>
      </c>
      <c r="CO75" s="680"/>
      <c r="CP75" s="560">
        <f t="shared" si="321"/>
        <v>0</v>
      </c>
      <c r="CQ75" s="684">
        <f>CO75*$DF$75</f>
        <v>0</v>
      </c>
      <c r="CR75" s="684">
        <f>CO75*$DG$75</f>
        <v>0</v>
      </c>
      <c r="CS75" s="684">
        <f>CO75*$DH$75</f>
        <v>0</v>
      </c>
      <c r="CT75" s="684">
        <f>CO75*$DI$75</f>
        <v>0</v>
      </c>
      <c r="CU75" s="684">
        <f>CO75*$DJ$75</f>
        <v>0</v>
      </c>
      <c r="CW75" s="680"/>
      <c r="CX75" s="560">
        <f t="shared" si="322"/>
        <v>0</v>
      </c>
      <c r="CY75" s="684">
        <f>CW75*$DF$75</f>
        <v>0</v>
      </c>
      <c r="CZ75" s="684">
        <f>CW75*$DG$75</f>
        <v>0</v>
      </c>
      <c r="DA75" s="684">
        <f>CW75*$DH$75</f>
        <v>0</v>
      </c>
      <c r="DB75" s="684">
        <f>CW75*$DI$75</f>
        <v>0</v>
      </c>
      <c r="DC75" s="684">
        <f>CW75*$DJ$75</f>
        <v>0</v>
      </c>
      <c r="DF75" s="685">
        <f>F75/$D$75</f>
        <v>0.15790242202238683</v>
      </c>
      <c r="DG75" s="685">
        <f>G75/$D$75</f>
        <v>0.22995355394552613</v>
      </c>
      <c r="DH75" s="685">
        <f>H75/$D$75</f>
        <v>0.58295125008383719</v>
      </c>
      <c r="DI75" s="685">
        <f>I75/$D$75</f>
        <v>2.919277394824988E-2</v>
      </c>
      <c r="DJ75" s="685">
        <f>J75/$D$75</f>
        <v>0</v>
      </c>
    </row>
    <row r="76" spans="1:118" s="673" customFormat="1" ht="36.75" customHeight="1" outlineLevel="1">
      <c r="A76" s="674"/>
      <c r="B76" s="678" t="s">
        <v>453</v>
      </c>
      <c r="C76" s="671"/>
      <c r="D76" s="563">
        <v>148.92859858399999</v>
      </c>
      <c r="E76" s="560">
        <f t="shared" si="432"/>
        <v>68.998721900414452</v>
      </c>
      <c r="F76" s="564">
        <v>27.386056270961983</v>
      </c>
      <c r="G76" s="564">
        <v>41.612665629452472</v>
      </c>
      <c r="H76" s="563">
        <f t="shared" si="500"/>
        <v>7.3878766835855174</v>
      </c>
      <c r="I76" s="564">
        <v>72.542000000000002</v>
      </c>
      <c r="J76" s="564"/>
      <c r="K76" s="683" t="s">
        <v>429</v>
      </c>
      <c r="M76" s="680"/>
      <c r="N76" s="560">
        <f t="shared" si="433"/>
        <v>0</v>
      </c>
      <c r="O76" s="681">
        <f>M76*O3</f>
        <v>0</v>
      </c>
      <c r="P76" s="681">
        <f>M76*P3</f>
        <v>0</v>
      </c>
      <c r="Q76" s="681">
        <f>M76*Q3</f>
        <v>0</v>
      </c>
      <c r="R76" s="681">
        <f>M76*R3</f>
        <v>0</v>
      </c>
      <c r="S76" s="681">
        <f>M76*S3</f>
        <v>0</v>
      </c>
      <c r="U76" s="680"/>
      <c r="V76" s="560">
        <f t="shared" si="434"/>
        <v>0</v>
      </c>
      <c r="W76" s="681">
        <f>U76*W3</f>
        <v>0</v>
      </c>
      <c r="X76" s="681">
        <f>U76*X3</f>
        <v>0</v>
      </c>
      <c r="Y76" s="681">
        <f>U76*Y3</f>
        <v>0</v>
      </c>
      <c r="Z76" s="681">
        <f>U76*Z3</f>
        <v>0</v>
      </c>
      <c r="AA76" s="681">
        <f>U76*AA3</f>
        <v>0</v>
      </c>
      <c r="AC76" s="680"/>
      <c r="AD76" s="560">
        <f t="shared" si="435"/>
        <v>0</v>
      </c>
      <c r="AE76" s="681">
        <f>AC76*AE3</f>
        <v>0</v>
      </c>
      <c r="AF76" s="681">
        <f>AC76*AF3</f>
        <v>0</v>
      </c>
      <c r="AG76" s="681">
        <f>AC76*AG3</f>
        <v>0</v>
      </c>
      <c r="AH76" s="681">
        <f>AC76*AH3</f>
        <v>0</v>
      </c>
      <c r="AI76" s="681">
        <f>AC76*AI3</f>
        <v>0</v>
      </c>
      <c r="AK76" s="680"/>
      <c r="AL76" s="560">
        <f t="shared" si="436"/>
        <v>0</v>
      </c>
      <c r="AM76" s="681">
        <f>AK76*AM3</f>
        <v>0</v>
      </c>
      <c r="AN76" s="681">
        <f>AK76*AN3</f>
        <v>0</v>
      </c>
      <c r="AO76" s="681">
        <f>AK76*AO3</f>
        <v>0</v>
      </c>
      <c r="AP76" s="681">
        <f>AK76*AP3</f>
        <v>0</v>
      </c>
      <c r="AQ76" s="681">
        <f>AK76*AQ3</f>
        <v>0</v>
      </c>
      <c r="AS76" s="707">
        <f>89179.41/1000</f>
        <v>89.179410000000004</v>
      </c>
      <c r="AT76" s="720">
        <f t="shared" si="437"/>
        <v>69.398233802336421</v>
      </c>
      <c r="AU76" s="707">
        <f>$AS$76*AU5</f>
        <v>39.404171594742088</v>
      </c>
      <c r="AV76" s="707">
        <f t="shared" ref="AV76:AX76" si="501">$AS$76*AV5</f>
        <v>29.994062207594339</v>
      </c>
      <c r="AW76" s="707">
        <f t="shared" si="501"/>
        <v>17.941183008441939</v>
      </c>
      <c r="AX76" s="707">
        <f t="shared" si="501"/>
        <v>1.8399931892216386</v>
      </c>
      <c r="AY76" s="707">
        <f>AS76*AY3</f>
        <v>0</v>
      </c>
      <c r="BA76" s="680"/>
      <c r="BB76" s="560">
        <f t="shared" si="438"/>
        <v>0</v>
      </c>
      <c r="BC76" s="684">
        <f>BA76*$DF$76</f>
        <v>0</v>
      </c>
      <c r="BD76" s="684">
        <f>BA76*$DG$76</f>
        <v>0</v>
      </c>
      <c r="BE76" s="684">
        <f>BA76*$DH$76</f>
        <v>0</v>
      </c>
      <c r="BF76" s="684">
        <f>BA76*$DI$76</f>
        <v>0</v>
      </c>
      <c r="BG76" s="684">
        <f>BA76*$DJ$76</f>
        <v>0</v>
      </c>
      <c r="BI76" s="680"/>
      <c r="BJ76" s="560">
        <f t="shared" si="439"/>
        <v>0</v>
      </c>
      <c r="BK76" s="684">
        <f>BI76*$DF$76</f>
        <v>0</v>
      </c>
      <c r="BL76" s="684">
        <f>BI76*$DG$76</f>
        <v>0</v>
      </c>
      <c r="BM76" s="684">
        <f>BI76*$DH$76</f>
        <v>0</v>
      </c>
      <c r="BN76" s="684">
        <f>BI76*$DI$76</f>
        <v>0</v>
      </c>
      <c r="BO76" s="684">
        <f>BI76*$DJ$76</f>
        <v>0</v>
      </c>
      <c r="BQ76" s="680"/>
      <c r="BR76" s="560">
        <f t="shared" si="440"/>
        <v>0</v>
      </c>
      <c r="BS76" s="684">
        <f>BQ76*$DF$76</f>
        <v>0</v>
      </c>
      <c r="BT76" s="684">
        <f>BQ76*$DG$76</f>
        <v>0</v>
      </c>
      <c r="BU76" s="684">
        <f>BQ76*$DH$76</f>
        <v>0</v>
      </c>
      <c r="BV76" s="684">
        <f>BQ76*$DI$76</f>
        <v>0</v>
      </c>
      <c r="BW76" s="684">
        <f>BQ76*$DJ$76</f>
        <v>0</v>
      </c>
      <c r="BY76" s="680"/>
      <c r="BZ76" s="560">
        <f t="shared" si="441"/>
        <v>0</v>
      </c>
      <c r="CA76" s="684">
        <f>BY76*$DF$76</f>
        <v>0</v>
      </c>
      <c r="CB76" s="684">
        <f>BY76*$DG$76</f>
        <v>0</v>
      </c>
      <c r="CC76" s="684">
        <f>BY76*$DH$76</f>
        <v>0</v>
      </c>
      <c r="CD76" s="684">
        <f>BY76*$DI$76</f>
        <v>0</v>
      </c>
      <c r="CE76" s="684">
        <f>BY76*$DJ$76</f>
        <v>0</v>
      </c>
      <c r="CG76" s="680"/>
      <c r="CH76" s="560">
        <f t="shared" si="320"/>
        <v>0</v>
      </c>
      <c r="CI76" s="684">
        <f>CG76*$DF$76</f>
        <v>0</v>
      </c>
      <c r="CJ76" s="684">
        <f>CG76*$DG$76</f>
        <v>0</v>
      </c>
      <c r="CK76" s="684">
        <f>CG76*$DH$76</f>
        <v>0</v>
      </c>
      <c r="CL76" s="684">
        <f>CG76*$DI$76</f>
        <v>0</v>
      </c>
      <c r="CM76" s="684">
        <f>CG76*$DJ$76</f>
        <v>0</v>
      </c>
      <c r="CO76" s="680"/>
      <c r="CP76" s="560">
        <f t="shared" si="321"/>
        <v>0</v>
      </c>
      <c r="CQ76" s="684">
        <f>CO76*$DF$76</f>
        <v>0</v>
      </c>
      <c r="CR76" s="684">
        <f>CO76*$DG$76</f>
        <v>0</v>
      </c>
      <c r="CS76" s="684">
        <f>CO76*$DH$76</f>
        <v>0</v>
      </c>
      <c r="CT76" s="684">
        <f>CO76*$DI$76</f>
        <v>0</v>
      </c>
      <c r="CU76" s="684">
        <f>CO76*$DJ$76</f>
        <v>0</v>
      </c>
      <c r="CW76" s="680"/>
      <c r="CX76" s="560">
        <f t="shared" si="322"/>
        <v>0</v>
      </c>
      <c r="CY76" s="684">
        <f>CW76*$DF$76</f>
        <v>0</v>
      </c>
      <c r="CZ76" s="684">
        <f>CW76*$DG$76</f>
        <v>0</v>
      </c>
      <c r="DA76" s="684">
        <f>CW76*$DH$76</f>
        <v>0</v>
      </c>
      <c r="DB76" s="684">
        <f>CW76*$DI$76</f>
        <v>0</v>
      </c>
      <c r="DC76" s="684">
        <f>CW76*$DJ$76</f>
        <v>0</v>
      </c>
      <c r="DF76" s="685">
        <f>F76/$D$76</f>
        <v>0.18388715486042437</v>
      </c>
      <c r="DG76" s="685">
        <f>G76/$D$76</f>
        <v>0.27941353121631463</v>
      </c>
      <c r="DH76" s="685">
        <f>H76/$D$76</f>
        <v>4.9606836791783439E-2</v>
      </c>
      <c r="DI76" s="685">
        <f>I76/$D$76</f>
        <v>0.48709247713147746</v>
      </c>
      <c r="DJ76" s="685">
        <f>J76/$D$76</f>
        <v>0</v>
      </c>
    </row>
    <row r="77" spans="1:118" s="673" customFormat="1" outlineLevel="1">
      <c r="A77" s="674"/>
      <c r="B77" s="678" t="s">
        <v>91</v>
      </c>
      <c r="C77" s="671"/>
      <c r="D77" s="563">
        <v>4257.4697088000003</v>
      </c>
      <c r="E77" s="560">
        <f t="shared" si="432"/>
        <v>949.21330109410292</v>
      </c>
      <c r="F77" s="564">
        <v>399.00145832136781</v>
      </c>
      <c r="G77" s="564">
        <v>550.21184277273505</v>
      </c>
      <c r="H77" s="563">
        <f t="shared" si="500"/>
        <v>3144.2050974048898</v>
      </c>
      <c r="I77" s="564">
        <v>164.05131030100745</v>
      </c>
      <c r="J77" s="564"/>
      <c r="K77" s="679" t="s">
        <v>184</v>
      </c>
      <c r="M77" s="680"/>
      <c r="N77" s="560">
        <f t="shared" si="433"/>
        <v>0</v>
      </c>
      <c r="O77" s="681">
        <f>$M$77*$O$3</f>
        <v>0</v>
      </c>
      <c r="P77" s="681">
        <f>$M$77*$P$3</f>
        <v>0</v>
      </c>
      <c r="Q77" s="681">
        <f>$M$77*$Q$3</f>
        <v>0</v>
      </c>
      <c r="R77" s="681">
        <f>$M$77*$R$3</f>
        <v>0</v>
      </c>
      <c r="S77" s="681">
        <f t="shared" ref="S77:S78" si="502">$M$16*$S$3</f>
        <v>0</v>
      </c>
      <c r="U77" s="680"/>
      <c r="V77" s="560">
        <f t="shared" si="434"/>
        <v>0</v>
      </c>
      <c r="W77" s="681">
        <f>U77*$W$3</f>
        <v>0</v>
      </c>
      <c r="X77" s="681">
        <f>U77*$X$3</f>
        <v>0</v>
      </c>
      <c r="Y77" s="681">
        <f>U77*$Y$3</f>
        <v>0</v>
      </c>
      <c r="Z77" s="681">
        <f>U77*$Z$3</f>
        <v>0</v>
      </c>
      <c r="AA77" s="681">
        <f>U77*AA3</f>
        <v>0</v>
      </c>
      <c r="AC77" s="680"/>
      <c r="AD77" s="560">
        <f t="shared" si="435"/>
        <v>0</v>
      </c>
      <c r="AE77" s="681">
        <f t="shared" ref="AE77:AE78" si="503">AC77*$AE$3</f>
        <v>0</v>
      </c>
      <c r="AF77" s="681">
        <f t="shared" ref="AF77:AF78" si="504">AC77*$AF$3</f>
        <v>0</v>
      </c>
      <c r="AG77" s="681">
        <f t="shared" ref="AG77:AG78" si="505">AC77*$AG$3</f>
        <v>0</v>
      </c>
      <c r="AH77" s="681">
        <f t="shared" ref="AH77:AH78" si="506">AC77*$AH$3</f>
        <v>0</v>
      </c>
      <c r="AI77" s="681">
        <f>AC77*AI3</f>
        <v>0</v>
      </c>
      <c r="AK77" s="680">
        <f>370272.69/1000</f>
        <v>370.27269000000001</v>
      </c>
      <c r="AL77" s="560">
        <f t="shared" si="436"/>
        <v>82.553203291951846</v>
      </c>
      <c r="AM77" s="681">
        <f t="shared" ref="AM77:AM78" si="507">AK77*$AM$3</f>
        <v>34.701208321272404</v>
      </c>
      <c r="AN77" s="681">
        <f t="shared" ref="AN77:AN78" si="508">AK77*$AN$3</f>
        <v>47.851994970679442</v>
      </c>
      <c r="AO77" s="681">
        <f t="shared" ref="AO77:AO78" si="509">AK77*$AO$3</f>
        <v>263.0390097627108</v>
      </c>
      <c r="AP77" s="681">
        <f t="shared" ref="AP77:AP78" si="510">AK77*$AP$3</f>
        <v>24.680476945337332</v>
      </c>
      <c r="AQ77" s="681">
        <f>AK77*AQ3</f>
        <v>0</v>
      </c>
      <c r="AS77" s="680">
        <f>392403/1000</f>
        <v>392.40300000000002</v>
      </c>
      <c r="AT77" s="560">
        <f t="shared" si="437"/>
        <v>87.487210119038977</v>
      </c>
      <c r="AU77" s="681">
        <f t="shared" ref="AU77:AU78" si="511">AS77*$AU$3</f>
        <v>36.775216257219121</v>
      </c>
      <c r="AV77" s="681">
        <f t="shared" ref="AV77:AV78" si="512">AS77*$AV$3</f>
        <v>50.711993861819856</v>
      </c>
      <c r="AW77" s="681">
        <f t="shared" ref="AW77:AW78" si="513">AS77*$AW$3</f>
        <v>278.76022006353486</v>
      </c>
      <c r="AX77" s="681">
        <f t="shared" ref="AX77:AX78" si="514">AS77*$AX$3</f>
        <v>26.155569817426194</v>
      </c>
      <c r="AY77" s="681">
        <f>AS77*AY3</f>
        <v>0</v>
      </c>
      <c r="BA77" s="680"/>
      <c r="BB77" s="560">
        <f t="shared" si="438"/>
        <v>0</v>
      </c>
      <c r="BC77" s="681">
        <f t="shared" ref="BC77:BC78" si="515">BA77*$BC$3</f>
        <v>0</v>
      </c>
      <c r="BD77" s="681">
        <f t="shared" ref="BD77:BD78" si="516">BA77*$BD$3</f>
        <v>0</v>
      </c>
      <c r="BE77" s="681">
        <f t="shared" ref="BE77:BE78" si="517">BA77*$BE$3</f>
        <v>0</v>
      </c>
      <c r="BF77" s="681">
        <f t="shared" ref="BF77:BF78" si="518">BA77*$BF$3</f>
        <v>0</v>
      </c>
      <c r="BG77" s="681">
        <f>BA77*BG3</f>
        <v>0</v>
      </c>
      <c r="BI77" s="680"/>
      <c r="BJ77" s="560">
        <f t="shared" si="439"/>
        <v>0</v>
      </c>
      <c r="BK77" s="681">
        <f t="shared" ref="BK77:BK78" si="519">BI77*$BK$3</f>
        <v>0</v>
      </c>
      <c r="BL77" s="681">
        <f t="shared" ref="BL77:BL78" si="520">BI77*$BL$3</f>
        <v>0</v>
      </c>
      <c r="BM77" s="681">
        <f t="shared" ref="BM77:BM78" si="521">BI77*$BM$3</f>
        <v>0</v>
      </c>
      <c r="BN77" s="681">
        <f t="shared" ref="BN77:BN78" si="522">BI77*$BN$3</f>
        <v>0</v>
      </c>
      <c r="BO77" s="681">
        <f>BI77*BO3</f>
        <v>0</v>
      </c>
      <c r="BQ77" s="680"/>
      <c r="BR77" s="560">
        <f t="shared" si="440"/>
        <v>0</v>
      </c>
      <c r="BS77" s="681">
        <f t="shared" ref="BS77:BS78" si="523">BQ77*$BS$3</f>
        <v>0</v>
      </c>
      <c r="BT77" s="681">
        <f t="shared" ref="BT77:BT78" si="524">BQ77*$BT$3</f>
        <v>0</v>
      </c>
      <c r="BU77" s="681">
        <f t="shared" ref="BU77:BU78" si="525">BQ77*$BU$3</f>
        <v>0</v>
      </c>
      <c r="BV77" s="681">
        <f t="shared" ref="BV77:BV78" si="526">BQ77*$BV$3</f>
        <v>0</v>
      </c>
      <c r="BW77" s="681">
        <f>BQ77*BW3</f>
        <v>0</v>
      </c>
      <c r="BY77" s="680"/>
      <c r="BZ77" s="560">
        <f t="shared" si="441"/>
        <v>0</v>
      </c>
      <c r="CA77" s="681">
        <f t="shared" ref="CA77:CA78" si="527">BY77*$CA$3</f>
        <v>0</v>
      </c>
      <c r="CB77" s="681">
        <f t="shared" ref="CB77:CB78" si="528">BY77*$CB$3</f>
        <v>0</v>
      </c>
      <c r="CC77" s="681">
        <f t="shared" ref="CC77:CC78" si="529">BY77*$CC$3</f>
        <v>0</v>
      </c>
      <c r="CD77" s="681">
        <f t="shared" ref="CD77:CD78" si="530">BY77*$CD$3</f>
        <v>0</v>
      </c>
      <c r="CE77" s="681">
        <f>BY77*CE3</f>
        <v>0</v>
      </c>
      <c r="CG77" s="680"/>
      <c r="CH77" s="560">
        <f t="shared" si="320"/>
        <v>0</v>
      </c>
      <c r="CI77" s="681">
        <f t="shared" ref="CI77:CI78" si="531">CG77*$CI$3</f>
        <v>0</v>
      </c>
      <c r="CJ77" s="681">
        <f t="shared" ref="CJ77:CJ78" si="532">CG77*$CJ$3</f>
        <v>0</v>
      </c>
      <c r="CK77" s="681">
        <f t="shared" ref="CK77:CK78" si="533">CG77*$CK$3</f>
        <v>0</v>
      </c>
      <c r="CL77" s="681">
        <f t="shared" ref="CL77:CL78" si="534">CG77*$CL$3</f>
        <v>0</v>
      </c>
      <c r="CM77" s="681">
        <f>CG77*CM3</f>
        <v>0</v>
      </c>
      <c r="CN77" s="708"/>
      <c r="CO77" s="680"/>
      <c r="CP77" s="560">
        <f t="shared" si="321"/>
        <v>0</v>
      </c>
      <c r="CQ77" s="681">
        <f t="shared" ref="CQ77:CQ78" si="535">CO77*$CQ$3</f>
        <v>0</v>
      </c>
      <c r="CR77" s="681">
        <f t="shared" ref="CR77:CR78" si="536">CO77*$CR$3</f>
        <v>0</v>
      </c>
      <c r="CS77" s="681">
        <f t="shared" ref="CS77:CS78" si="537">CO77*$CS$3</f>
        <v>0</v>
      </c>
      <c r="CT77" s="681">
        <f t="shared" ref="CT77:CT78" si="538">CO77*$CT$3</f>
        <v>0</v>
      </c>
      <c r="CU77" s="681">
        <f>CO77*CU3</f>
        <v>0</v>
      </c>
      <c r="CV77" s="708"/>
      <c r="CW77" s="680"/>
      <c r="CX77" s="560">
        <f t="shared" si="322"/>
        <v>0</v>
      </c>
      <c r="CY77" s="681">
        <f t="shared" ref="CY77:CY78" si="539">CW77*$CY$3</f>
        <v>0</v>
      </c>
      <c r="CZ77" s="681">
        <f t="shared" ref="CZ77:CZ78" si="540">CW77*$CZ$3</f>
        <v>0</v>
      </c>
      <c r="DA77" s="681">
        <f t="shared" ref="DA77:DA78" si="541">CW77*$DA$3</f>
        <v>0</v>
      </c>
      <c r="DB77" s="681">
        <f t="shared" ref="DB77:DB78" si="542">CW77*$DB$3</f>
        <v>0</v>
      </c>
      <c r="DC77" s="681">
        <f>CW77*DC3</f>
        <v>0</v>
      </c>
      <c r="DF77" s="688"/>
      <c r="DG77" s="688"/>
      <c r="DH77" s="688"/>
      <c r="DI77" s="688"/>
      <c r="DJ77" s="688"/>
    </row>
    <row r="78" spans="1:118" s="673" customFormat="1" ht="23.25" customHeight="1" outlineLevel="1">
      <c r="A78" s="674"/>
      <c r="B78" s="678" t="s">
        <v>129</v>
      </c>
      <c r="C78" s="671"/>
      <c r="D78" s="563">
        <v>1120.886</v>
      </c>
      <c r="E78" s="560">
        <f t="shared" si="432"/>
        <v>249.90427953274849</v>
      </c>
      <c r="F78" s="564">
        <v>105.04717101981713</v>
      </c>
      <c r="G78" s="564">
        <v>144.85710851293135</v>
      </c>
      <c r="H78" s="563">
        <f t="shared" si="500"/>
        <v>827.79108622316585</v>
      </c>
      <c r="I78" s="564">
        <v>43.190634244085736</v>
      </c>
      <c r="J78" s="564"/>
      <c r="K78" s="679" t="s">
        <v>184</v>
      </c>
      <c r="M78" s="680"/>
      <c r="N78" s="560">
        <f t="shared" si="433"/>
        <v>0</v>
      </c>
      <c r="O78" s="681">
        <f>$M$78*$O$3</f>
        <v>0</v>
      </c>
      <c r="P78" s="681">
        <f>$M$78*$P$3</f>
        <v>0</v>
      </c>
      <c r="Q78" s="681">
        <f>$M$78*$Q$3</f>
        <v>0</v>
      </c>
      <c r="R78" s="681">
        <f>$M$78*$R$3</f>
        <v>0</v>
      </c>
      <c r="S78" s="681">
        <f t="shared" si="502"/>
        <v>0</v>
      </c>
      <c r="U78" s="680"/>
      <c r="V78" s="560">
        <f t="shared" si="434"/>
        <v>0</v>
      </c>
      <c r="W78" s="681">
        <f>U78*$W$3</f>
        <v>0</v>
      </c>
      <c r="X78" s="681">
        <f>U78*$X$3</f>
        <v>0</v>
      </c>
      <c r="Y78" s="681">
        <f>U78*$Y$3</f>
        <v>0</v>
      </c>
      <c r="Z78" s="681">
        <f>U78*$Z$3</f>
        <v>0</v>
      </c>
      <c r="AA78" s="681">
        <f>U78*AA3</f>
        <v>0</v>
      </c>
      <c r="AC78" s="680"/>
      <c r="AD78" s="560">
        <f t="shared" si="435"/>
        <v>0</v>
      </c>
      <c r="AE78" s="681">
        <f t="shared" si="503"/>
        <v>0</v>
      </c>
      <c r="AF78" s="681">
        <f t="shared" si="504"/>
        <v>0</v>
      </c>
      <c r="AG78" s="681">
        <f t="shared" si="505"/>
        <v>0</v>
      </c>
      <c r="AH78" s="681">
        <f t="shared" si="506"/>
        <v>0</v>
      </c>
      <c r="AI78" s="681">
        <f>AC78*AI3</f>
        <v>0</v>
      </c>
      <c r="AK78" s="680">
        <f>42992.89/1000</f>
        <v>42.992890000000003</v>
      </c>
      <c r="AL78" s="560">
        <f t="shared" si="436"/>
        <v>9.5853701451179774</v>
      </c>
      <c r="AM78" s="681">
        <f t="shared" si="507"/>
        <v>4.0292067779115692</v>
      </c>
      <c r="AN78" s="681">
        <f t="shared" si="508"/>
        <v>5.5561633672064081</v>
      </c>
      <c r="AO78" s="681">
        <f t="shared" si="509"/>
        <v>30.541834485381983</v>
      </c>
      <c r="AP78" s="681">
        <f t="shared" si="510"/>
        <v>2.8656853695000404</v>
      </c>
      <c r="AQ78" s="681">
        <f>AK78*AQ3</f>
        <v>0</v>
      </c>
      <c r="AS78" s="680">
        <f>93523.49/1000</f>
        <v>93.52349000000001</v>
      </c>
      <c r="AT78" s="560">
        <f t="shared" si="437"/>
        <v>20.85129119985281</v>
      </c>
      <c r="AU78" s="681">
        <f t="shared" si="511"/>
        <v>8.7648325060712331</v>
      </c>
      <c r="AV78" s="681">
        <f t="shared" si="512"/>
        <v>12.086458693781575</v>
      </c>
      <c r="AW78" s="681">
        <f t="shared" si="513"/>
        <v>66.438403002805288</v>
      </c>
      <c r="AX78" s="681">
        <f t="shared" si="514"/>
        <v>6.2337957973419176</v>
      </c>
      <c r="AY78" s="681">
        <f>AS78*AY3</f>
        <v>0</v>
      </c>
      <c r="BA78" s="680"/>
      <c r="BB78" s="560">
        <f t="shared" si="438"/>
        <v>0</v>
      </c>
      <c r="BC78" s="681">
        <f t="shared" si="515"/>
        <v>0</v>
      </c>
      <c r="BD78" s="681">
        <f t="shared" si="516"/>
        <v>0</v>
      </c>
      <c r="BE78" s="681">
        <f t="shared" si="517"/>
        <v>0</v>
      </c>
      <c r="BF78" s="681">
        <f t="shared" si="518"/>
        <v>0</v>
      </c>
      <c r="BG78" s="681">
        <f>BA78*BG3</f>
        <v>0</v>
      </c>
      <c r="BI78" s="680"/>
      <c r="BJ78" s="560">
        <f t="shared" si="439"/>
        <v>0</v>
      </c>
      <c r="BK78" s="681">
        <f t="shared" si="519"/>
        <v>0</v>
      </c>
      <c r="BL78" s="681">
        <f t="shared" si="520"/>
        <v>0</v>
      </c>
      <c r="BM78" s="681">
        <f t="shared" si="521"/>
        <v>0</v>
      </c>
      <c r="BN78" s="681">
        <f t="shared" si="522"/>
        <v>0</v>
      </c>
      <c r="BO78" s="681">
        <f>BI78*BO3</f>
        <v>0</v>
      </c>
      <c r="BQ78" s="680"/>
      <c r="BR78" s="560">
        <f t="shared" si="440"/>
        <v>0</v>
      </c>
      <c r="BS78" s="681">
        <f t="shared" si="523"/>
        <v>0</v>
      </c>
      <c r="BT78" s="681">
        <f t="shared" si="524"/>
        <v>0</v>
      </c>
      <c r="BU78" s="681">
        <f t="shared" si="525"/>
        <v>0</v>
      </c>
      <c r="BV78" s="681">
        <f t="shared" si="526"/>
        <v>0</v>
      </c>
      <c r="BW78" s="681">
        <f>BQ78*BW3</f>
        <v>0</v>
      </c>
      <c r="BY78" s="680"/>
      <c r="BZ78" s="560">
        <f t="shared" si="441"/>
        <v>0</v>
      </c>
      <c r="CA78" s="681">
        <f t="shared" si="527"/>
        <v>0</v>
      </c>
      <c r="CB78" s="681">
        <f t="shared" si="528"/>
        <v>0</v>
      </c>
      <c r="CC78" s="681">
        <f t="shared" si="529"/>
        <v>0</v>
      </c>
      <c r="CD78" s="681">
        <f t="shared" si="530"/>
        <v>0</v>
      </c>
      <c r="CE78" s="681">
        <f>BY78*CE3</f>
        <v>0</v>
      </c>
      <c r="CG78" s="680"/>
      <c r="CH78" s="560">
        <f t="shared" si="320"/>
        <v>0</v>
      </c>
      <c r="CI78" s="681">
        <f t="shared" si="531"/>
        <v>0</v>
      </c>
      <c r="CJ78" s="681">
        <f t="shared" si="532"/>
        <v>0</v>
      </c>
      <c r="CK78" s="681">
        <f t="shared" si="533"/>
        <v>0</v>
      </c>
      <c r="CL78" s="681">
        <f t="shared" si="534"/>
        <v>0</v>
      </c>
      <c r="CM78" s="681">
        <f>CG78*CM3</f>
        <v>0</v>
      </c>
      <c r="CN78" s="708"/>
      <c r="CO78" s="680"/>
      <c r="CP78" s="560">
        <f t="shared" si="321"/>
        <v>0</v>
      </c>
      <c r="CQ78" s="681">
        <f t="shared" si="535"/>
        <v>0</v>
      </c>
      <c r="CR78" s="681">
        <f t="shared" si="536"/>
        <v>0</v>
      </c>
      <c r="CS78" s="681">
        <f t="shared" si="537"/>
        <v>0</v>
      </c>
      <c r="CT78" s="681">
        <f t="shared" si="538"/>
        <v>0</v>
      </c>
      <c r="CU78" s="681">
        <f>CO78*CU3</f>
        <v>0</v>
      </c>
      <c r="CV78" s="708"/>
      <c r="CW78" s="680"/>
      <c r="CX78" s="560">
        <f t="shared" si="322"/>
        <v>0</v>
      </c>
      <c r="CY78" s="681">
        <f t="shared" si="539"/>
        <v>0</v>
      </c>
      <c r="CZ78" s="681">
        <f t="shared" si="540"/>
        <v>0</v>
      </c>
      <c r="DA78" s="681">
        <f t="shared" si="541"/>
        <v>0</v>
      </c>
      <c r="DB78" s="681">
        <f t="shared" si="542"/>
        <v>0</v>
      </c>
      <c r="DC78" s="681">
        <f>CW78*DC3</f>
        <v>0</v>
      </c>
      <c r="DF78" s="688"/>
      <c r="DG78" s="688"/>
      <c r="DH78" s="688"/>
      <c r="DI78" s="688"/>
      <c r="DJ78" s="688"/>
    </row>
    <row r="79" spans="1:118" s="673" customFormat="1" ht="30" customHeight="1">
      <c r="A79" s="674" t="s">
        <v>159</v>
      </c>
      <c r="B79" s="675" t="s">
        <v>454</v>
      </c>
      <c r="C79" s="671" t="s">
        <v>9</v>
      </c>
      <c r="D79" s="566">
        <v>45499.551817243897</v>
      </c>
      <c r="E79" s="557">
        <f t="shared" si="432"/>
        <v>9758.63460428291</v>
      </c>
      <c r="F79" s="566">
        <f t="shared" ref="F79:G79" si="543">SUM(F80:F94)</f>
        <v>4005.1036997078422</v>
      </c>
      <c r="G79" s="566">
        <f t="shared" si="543"/>
        <v>5753.5309045750673</v>
      </c>
      <c r="H79" s="566">
        <f t="shared" si="500"/>
        <v>33988.603065692441</v>
      </c>
      <c r="I79" s="566">
        <f t="shared" ref="I79:J79" si="544">SUM(I80:I94)</f>
        <v>1752.3141472685454</v>
      </c>
      <c r="J79" s="566">
        <f t="shared" si="544"/>
        <v>0</v>
      </c>
      <c r="K79" s="689"/>
      <c r="M79" s="566">
        <f>O79+P79+Q79+R79+S79</f>
        <v>60</v>
      </c>
      <c r="N79" s="557">
        <f t="shared" si="433"/>
        <v>13.377146981909767</v>
      </c>
      <c r="O79" s="566">
        <f t="shared" ref="O79:S79" si="545">SUM(O80:O94)</f>
        <v>5.623078761969575</v>
      </c>
      <c r="P79" s="566">
        <f t="shared" si="545"/>
        <v>7.7540682199401925</v>
      </c>
      <c r="Q79" s="566">
        <f t="shared" si="545"/>
        <v>42.623560991664412</v>
      </c>
      <c r="R79" s="566">
        <f t="shared" si="545"/>
        <v>3.9992920264258212</v>
      </c>
      <c r="S79" s="566">
        <f t="shared" si="545"/>
        <v>0</v>
      </c>
      <c r="U79" s="566">
        <f>W79+X79+Y79+Z79+AA79</f>
        <v>106.94957000000001</v>
      </c>
      <c r="V79" s="557">
        <f t="shared" si="434"/>
        <v>22.195712307730716</v>
      </c>
      <c r="W79" s="566">
        <f t="shared" ref="W79:AA79" si="546">SUM(W80:W94)</f>
        <v>9.3299594190875244</v>
      </c>
      <c r="X79" s="566">
        <f t="shared" si="546"/>
        <v>12.86575288864319</v>
      </c>
      <c r="Y79" s="566">
        <f t="shared" si="546"/>
        <v>78.118127713882217</v>
      </c>
      <c r="Z79" s="566">
        <f t="shared" si="546"/>
        <v>6.6357299783870811</v>
      </c>
      <c r="AA79" s="566">
        <f t="shared" si="546"/>
        <v>0</v>
      </c>
      <c r="AC79" s="566">
        <f>AE79+AF79+AG79+AH79+AI79</f>
        <v>1133.4327799999999</v>
      </c>
      <c r="AD79" s="557">
        <f t="shared" si="435"/>
        <v>250.26742002376844</v>
      </c>
      <c r="AE79" s="566">
        <f t="shared" ref="AE79:AI79" si="547">SUM(AE80:AE94)</f>
        <v>105.19981699024916</v>
      </c>
      <c r="AF79" s="566">
        <f t="shared" si="547"/>
        <v>145.06760303351928</v>
      </c>
      <c r="AG79" s="566">
        <f t="shared" si="547"/>
        <v>808.34428648957919</v>
      </c>
      <c r="AH79" s="566">
        <f t="shared" si="547"/>
        <v>74.821073486652239</v>
      </c>
      <c r="AI79" s="566">
        <f t="shared" si="547"/>
        <v>0</v>
      </c>
      <c r="AK79" s="566">
        <f>AM79+AN79+AO79+AP79+AQ79</f>
        <v>1356.0809999999999</v>
      </c>
      <c r="AL79" s="557">
        <f t="shared" si="436"/>
        <v>302.34158093958627</v>
      </c>
      <c r="AM79" s="566">
        <f t="shared" ref="AM79:AQ79" si="548">SUM(AM80:AM94)</f>
        <v>127.08917117684103</v>
      </c>
      <c r="AN79" s="566">
        <f t="shared" si="548"/>
        <v>175.25240976274523</v>
      </c>
      <c r="AO79" s="566">
        <f t="shared" si="548"/>
        <v>963.35002021895434</v>
      </c>
      <c r="AP79" s="566">
        <f t="shared" si="548"/>
        <v>90.389398841459226</v>
      </c>
      <c r="AQ79" s="566">
        <f t="shared" si="548"/>
        <v>0</v>
      </c>
      <c r="AS79" s="566">
        <f>AU79+AV79+AW79+AX79+AY79</f>
        <v>2975.6838957142895</v>
      </c>
      <c r="AT79" s="557">
        <f t="shared" si="437"/>
        <v>658.64632883051695</v>
      </c>
      <c r="AU79" s="566">
        <f t="shared" ref="AU79:AY79" si="549">SUM(AU80:AU94)</f>
        <v>276.86173952522176</v>
      </c>
      <c r="AV79" s="566">
        <f t="shared" si="549"/>
        <v>381.78458930529519</v>
      </c>
      <c r="AW79" s="566">
        <f t="shared" si="549"/>
        <v>2120.1256981057213</v>
      </c>
      <c r="AX79" s="566">
        <f t="shared" si="549"/>
        <v>196.91186877805166</v>
      </c>
      <c r="AY79" s="566">
        <f t="shared" si="549"/>
        <v>0</v>
      </c>
      <c r="BA79" s="566">
        <f>BC79+BD79+BE79+BF79+BG79</f>
        <v>0</v>
      </c>
      <c r="BB79" s="557">
        <f t="shared" si="438"/>
        <v>0</v>
      </c>
      <c r="BC79" s="566">
        <f t="shared" ref="BC79:BG79" si="550">SUM(BC80:BC94)</f>
        <v>0</v>
      </c>
      <c r="BD79" s="566">
        <f t="shared" si="550"/>
        <v>0</v>
      </c>
      <c r="BE79" s="566">
        <f t="shared" si="550"/>
        <v>0</v>
      </c>
      <c r="BF79" s="566">
        <f t="shared" si="550"/>
        <v>0</v>
      </c>
      <c r="BG79" s="566">
        <f t="shared" si="550"/>
        <v>0</v>
      </c>
      <c r="BI79" s="566">
        <f>BK79+BL79+BM79+BN79+BO79</f>
        <v>0</v>
      </c>
      <c r="BJ79" s="557">
        <f t="shared" si="439"/>
        <v>0</v>
      </c>
      <c r="BK79" s="566">
        <f t="shared" ref="BK79:BO79" si="551">SUM(BK80:BK94)</f>
        <v>0</v>
      </c>
      <c r="BL79" s="566">
        <f t="shared" si="551"/>
        <v>0</v>
      </c>
      <c r="BM79" s="566">
        <f t="shared" si="551"/>
        <v>0</v>
      </c>
      <c r="BN79" s="566">
        <f t="shared" si="551"/>
        <v>0</v>
      </c>
      <c r="BO79" s="566">
        <f t="shared" si="551"/>
        <v>0</v>
      </c>
      <c r="BQ79" s="566">
        <f>BS79+BT79+BU79+BV79+BW79</f>
        <v>0</v>
      </c>
      <c r="BR79" s="557">
        <f t="shared" si="440"/>
        <v>0</v>
      </c>
      <c r="BS79" s="566">
        <f t="shared" ref="BS79:BW79" si="552">SUM(BS80:BS94)</f>
        <v>0</v>
      </c>
      <c r="BT79" s="566">
        <f t="shared" si="552"/>
        <v>0</v>
      </c>
      <c r="BU79" s="566">
        <f t="shared" si="552"/>
        <v>0</v>
      </c>
      <c r="BV79" s="566">
        <f t="shared" si="552"/>
        <v>0</v>
      </c>
      <c r="BW79" s="566">
        <f t="shared" si="552"/>
        <v>0</v>
      </c>
      <c r="BY79" s="566">
        <f>CA79+CB79+CC79+CD79+CE79</f>
        <v>0</v>
      </c>
      <c r="BZ79" s="557">
        <f t="shared" si="441"/>
        <v>0</v>
      </c>
      <c r="CA79" s="566">
        <f t="shared" ref="CA79:CE79" si="553">SUM(CA80:CA94)</f>
        <v>0</v>
      </c>
      <c r="CB79" s="566">
        <f t="shared" si="553"/>
        <v>0</v>
      </c>
      <c r="CC79" s="566">
        <f t="shared" si="553"/>
        <v>0</v>
      </c>
      <c r="CD79" s="566">
        <f t="shared" si="553"/>
        <v>0</v>
      </c>
      <c r="CE79" s="566">
        <f t="shared" si="553"/>
        <v>0</v>
      </c>
      <c r="CG79" s="566">
        <f>CI79+CJ79+CK79+CL79+CM79</f>
        <v>0</v>
      </c>
      <c r="CH79" s="557">
        <f t="shared" si="320"/>
        <v>0</v>
      </c>
      <c r="CI79" s="566">
        <f t="shared" ref="CI79:CM79" si="554">SUM(CI80:CI94)</f>
        <v>0</v>
      </c>
      <c r="CJ79" s="566">
        <f t="shared" si="554"/>
        <v>0</v>
      </c>
      <c r="CK79" s="566">
        <f t="shared" si="554"/>
        <v>0</v>
      </c>
      <c r="CL79" s="566">
        <f t="shared" si="554"/>
        <v>0</v>
      </c>
      <c r="CM79" s="566">
        <f t="shared" si="554"/>
        <v>0</v>
      </c>
      <c r="CO79" s="566">
        <f>CQ79+CR79+CS79+CT79+CU79</f>
        <v>0</v>
      </c>
      <c r="CP79" s="557">
        <f t="shared" si="321"/>
        <v>0</v>
      </c>
      <c r="CQ79" s="566">
        <f t="shared" ref="CQ79:CU79" si="555">SUM(CQ80:CQ94)</f>
        <v>0</v>
      </c>
      <c r="CR79" s="566">
        <f t="shared" si="555"/>
        <v>0</v>
      </c>
      <c r="CS79" s="566">
        <f t="shared" si="555"/>
        <v>0</v>
      </c>
      <c r="CT79" s="566">
        <f t="shared" si="555"/>
        <v>0</v>
      </c>
      <c r="CU79" s="566">
        <f t="shared" si="555"/>
        <v>0</v>
      </c>
      <c r="CW79" s="566">
        <f>CY79+CZ79+DA79+DB79+DC79</f>
        <v>0</v>
      </c>
      <c r="CX79" s="557">
        <f t="shared" si="322"/>
        <v>0</v>
      </c>
      <c r="CY79" s="566">
        <f t="shared" ref="CY79:DC79" si="556">SUM(CY80:CY94)</f>
        <v>0</v>
      </c>
      <c r="CZ79" s="566">
        <f t="shared" si="556"/>
        <v>0</v>
      </c>
      <c r="DA79" s="566">
        <f t="shared" si="556"/>
        <v>0</v>
      </c>
      <c r="DB79" s="566">
        <f t="shared" si="556"/>
        <v>0</v>
      </c>
      <c r="DC79" s="566">
        <f t="shared" si="556"/>
        <v>0</v>
      </c>
      <c r="DF79" s="688"/>
      <c r="DG79" s="688"/>
      <c r="DH79" s="688"/>
      <c r="DI79" s="688"/>
      <c r="DJ79" s="688"/>
    </row>
    <row r="80" spans="1:118" s="673" customFormat="1" ht="22.5" customHeight="1">
      <c r="A80" s="674"/>
      <c r="B80" s="678" t="s">
        <v>455</v>
      </c>
      <c r="C80" s="671" t="s">
        <v>9</v>
      </c>
      <c r="D80" s="563">
        <v>1947.0000000000002</v>
      </c>
      <c r="E80" s="560">
        <f t="shared" si="432"/>
        <v>434.08841956297192</v>
      </c>
      <c r="F80" s="563">
        <v>182.46890582591269</v>
      </c>
      <c r="G80" s="563">
        <v>251.61951373705924</v>
      </c>
      <c r="H80" s="563">
        <f t="shared" si="500"/>
        <v>1437.8886388771953</v>
      </c>
      <c r="I80" s="563">
        <v>75.022941559832972</v>
      </c>
      <c r="J80" s="563"/>
      <c r="K80" s="679" t="s">
        <v>184</v>
      </c>
      <c r="M80" s="680"/>
      <c r="N80" s="560">
        <f t="shared" si="433"/>
        <v>0</v>
      </c>
      <c r="O80" s="681">
        <f>$M$80*$O$3</f>
        <v>0</v>
      </c>
      <c r="P80" s="681">
        <f>$M$80*$P$3</f>
        <v>0</v>
      </c>
      <c r="Q80" s="681">
        <f>$M$80*$Q$3</f>
        <v>0</v>
      </c>
      <c r="R80" s="681">
        <f>$M$80*$R$3</f>
        <v>0</v>
      </c>
      <c r="S80" s="681">
        <f t="shared" ref="S80:S84" si="557">$M$16*$S$3</f>
        <v>0</v>
      </c>
      <c r="U80" s="680"/>
      <c r="V80" s="560">
        <f t="shared" si="434"/>
        <v>0</v>
      </c>
      <c r="W80" s="681">
        <f t="shared" ref="W80:W84" si="558">U80*$W$3</f>
        <v>0</v>
      </c>
      <c r="X80" s="681">
        <f t="shared" ref="X80:X84" si="559">U80*$X$3</f>
        <v>0</v>
      </c>
      <c r="Y80" s="681">
        <f t="shared" ref="Y80:Y84" si="560">U80*$Y$3</f>
        <v>0</v>
      </c>
      <c r="Z80" s="681">
        <f t="shared" ref="Z80:Z84" si="561">U80*$Z$3</f>
        <v>0</v>
      </c>
      <c r="AA80" s="681">
        <f>U80*AA3</f>
        <v>0</v>
      </c>
      <c r="AC80" s="680"/>
      <c r="AD80" s="560">
        <f t="shared" si="435"/>
        <v>0</v>
      </c>
      <c r="AE80" s="681">
        <f t="shared" ref="AE80:AE84" si="562">AC80*$AE$3</f>
        <v>0</v>
      </c>
      <c r="AF80" s="681">
        <f t="shared" ref="AF80:AF84" si="563">AC80*$AF$3</f>
        <v>0</v>
      </c>
      <c r="AG80" s="681">
        <f t="shared" ref="AG80:AG84" si="564">AC80*$AG$3</f>
        <v>0</v>
      </c>
      <c r="AH80" s="681">
        <f t="shared" ref="AH80:AH84" si="565">AC80*$AH$3</f>
        <v>0</v>
      </c>
      <c r="AI80" s="681">
        <f>AC80*AI3</f>
        <v>0</v>
      </c>
      <c r="AK80" s="680"/>
      <c r="AL80" s="560">
        <f t="shared" si="436"/>
        <v>0</v>
      </c>
      <c r="AM80" s="681">
        <f t="shared" ref="AM80:AM84" si="566">AK80*$AM$3</f>
        <v>0</v>
      </c>
      <c r="AN80" s="681">
        <f t="shared" ref="AN80:AN84" si="567">AK80*$AN$3</f>
        <v>0</v>
      </c>
      <c r="AO80" s="681">
        <f t="shared" ref="AO80:AO84" si="568">AK80*$AO$3</f>
        <v>0</v>
      </c>
      <c r="AP80" s="681">
        <f t="shared" ref="AP80:AP84" si="569">AK80*$AP$3</f>
        <v>0</v>
      </c>
      <c r="AQ80" s="681">
        <f>AK80*AQ3</f>
        <v>0</v>
      </c>
      <c r="AS80" s="680">
        <f>1395714.28571429/1000</f>
        <v>1395.7142857142901</v>
      </c>
      <c r="AT80" s="560">
        <f t="shared" si="437"/>
        <v>311.17791907918775</v>
      </c>
      <c r="AU80" s="681">
        <f t="shared" ref="AU80:AU84" si="570">AS80*$AU$3</f>
        <v>130.803522629626</v>
      </c>
      <c r="AV80" s="681">
        <f t="shared" ref="AV80:AV84" si="571">AS80*$AV$3</f>
        <v>180.37439644956171</v>
      </c>
      <c r="AW80" s="681">
        <f t="shared" ref="AW80:AW84" si="572">AS80*$AW$3</f>
        <v>991.50521640133957</v>
      </c>
      <c r="AX80" s="681">
        <f t="shared" ref="AX80:AX84" si="573">AS80*$AX$3</f>
        <v>93.031150233762844</v>
      </c>
      <c r="AY80" s="681">
        <f>AS80*AY3</f>
        <v>0</v>
      </c>
      <c r="BA80" s="680"/>
      <c r="BB80" s="560">
        <f t="shared" si="438"/>
        <v>0</v>
      </c>
      <c r="BC80" s="681">
        <f t="shared" ref="BC80:BC84" si="574">BA80*$BC$3</f>
        <v>0</v>
      </c>
      <c r="BD80" s="681">
        <f t="shared" ref="BD80:BD84" si="575">BA80*$BD$3</f>
        <v>0</v>
      </c>
      <c r="BE80" s="681">
        <f t="shared" ref="BE80:BE84" si="576">BA80*$BE$3</f>
        <v>0</v>
      </c>
      <c r="BF80" s="681">
        <f t="shared" ref="BF80:BF84" si="577">BA80*$BF$3</f>
        <v>0</v>
      </c>
      <c r="BG80" s="681">
        <f>BA80*BG3</f>
        <v>0</v>
      </c>
      <c r="BI80" s="680"/>
      <c r="BJ80" s="560">
        <f t="shared" si="439"/>
        <v>0</v>
      </c>
      <c r="BK80" s="681">
        <f t="shared" ref="BK80:BK84" si="578">BI80*$BK$3</f>
        <v>0</v>
      </c>
      <c r="BL80" s="681">
        <f t="shared" ref="BL80:BL84" si="579">BI80*$BL$3</f>
        <v>0</v>
      </c>
      <c r="BM80" s="681">
        <f t="shared" ref="BM80:BM84" si="580">BI80*$BM$3</f>
        <v>0</v>
      </c>
      <c r="BN80" s="681">
        <f t="shared" ref="BN80:BN84" si="581">BI80*$BN$3</f>
        <v>0</v>
      </c>
      <c r="BO80" s="681">
        <f>BI80*BO3</f>
        <v>0</v>
      </c>
      <c r="BQ80" s="680"/>
      <c r="BR80" s="560">
        <f t="shared" si="440"/>
        <v>0</v>
      </c>
      <c r="BS80" s="681">
        <f t="shared" ref="BS80:BS84" si="582">BQ80*$BS$3</f>
        <v>0</v>
      </c>
      <c r="BT80" s="681">
        <f t="shared" ref="BT80:BT84" si="583">BQ80*$BT$3</f>
        <v>0</v>
      </c>
      <c r="BU80" s="681">
        <f t="shared" ref="BU80:BU84" si="584">BQ80*$BU$3</f>
        <v>0</v>
      </c>
      <c r="BV80" s="681">
        <f t="shared" ref="BV80:BV84" si="585">BQ80*$BV$3</f>
        <v>0</v>
      </c>
      <c r="BW80" s="681">
        <f>BQ80*BW3</f>
        <v>0</v>
      </c>
      <c r="BY80" s="680"/>
      <c r="BZ80" s="560">
        <f t="shared" si="441"/>
        <v>0</v>
      </c>
      <c r="CA80" s="681">
        <f t="shared" ref="CA80:CA84" si="586">BY80*$CA$3</f>
        <v>0</v>
      </c>
      <c r="CB80" s="681">
        <f t="shared" ref="CB80:CB84" si="587">BY80*$CB$3</f>
        <v>0</v>
      </c>
      <c r="CC80" s="681">
        <f t="shared" ref="CC80:CC84" si="588">BY80*$CC$3</f>
        <v>0</v>
      </c>
      <c r="CD80" s="681">
        <f t="shared" ref="CD80:CD84" si="589">BY80*$CD$3</f>
        <v>0</v>
      </c>
      <c r="CE80" s="681">
        <f>BY80*CE3</f>
        <v>0</v>
      </c>
      <c r="CG80" s="680"/>
      <c r="CH80" s="560">
        <f t="shared" si="320"/>
        <v>0</v>
      </c>
      <c r="CI80" s="681">
        <f t="shared" ref="CI80:CI84" si="590">CG80*$CI$3</f>
        <v>0</v>
      </c>
      <c r="CJ80" s="681">
        <f t="shared" ref="CJ80:CJ84" si="591">CG80*$CJ$3</f>
        <v>0</v>
      </c>
      <c r="CK80" s="681">
        <f t="shared" ref="CK80:CK84" si="592">CG80*$CK$3</f>
        <v>0</v>
      </c>
      <c r="CL80" s="681">
        <f t="shared" ref="CL80:CL84" si="593">CG80*$CL$3</f>
        <v>0</v>
      </c>
      <c r="CM80" s="681">
        <f>CG80*CM3</f>
        <v>0</v>
      </c>
      <c r="CN80" s="708"/>
      <c r="CO80" s="680"/>
      <c r="CP80" s="560">
        <f t="shared" si="321"/>
        <v>0</v>
      </c>
      <c r="CQ80" s="681">
        <f t="shared" ref="CQ80:CQ84" si="594">CO80*$CQ$3</f>
        <v>0</v>
      </c>
      <c r="CR80" s="681">
        <f t="shared" ref="CR80:CR84" si="595">CO80*$CR$3</f>
        <v>0</v>
      </c>
      <c r="CS80" s="681">
        <f t="shared" ref="CS80:CS84" si="596">CO80*$CS$3</f>
        <v>0</v>
      </c>
      <c r="CT80" s="681">
        <f t="shared" ref="CT80:CT84" si="597">CO80*$CT$3</f>
        <v>0</v>
      </c>
      <c r="CU80" s="681">
        <f>CO80*CU3</f>
        <v>0</v>
      </c>
      <c r="CV80" s="708"/>
      <c r="CW80" s="680"/>
      <c r="CX80" s="560">
        <f t="shared" si="322"/>
        <v>0</v>
      </c>
      <c r="CY80" s="681">
        <f t="shared" ref="CY80:CY84" si="598">CW80*$CY$3</f>
        <v>0</v>
      </c>
      <c r="CZ80" s="681">
        <f t="shared" ref="CZ80:CZ84" si="599">CW80*$CZ$3</f>
        <v>0</v>
      </c>
      <c r="DA80" s="681">
        <f t="shared" ref="DA80:DA84" si="600">CW80*$DA$3</f>
        <v>0</v>
      </c>
      <c r="DB80" s="681">
        <f t="shared" ref="DB80:DB84" si="601">CW80*$DB$3</f>
        <v>0</v>
      </c>
      <c r="DC80" s="681">
        <f>CW80*DC3</f>
        <v>0</v>
      </c>
      <c r="DF80" s="688"/>
      <c r="DG80" s="688"/>
      <c r="DH80" s="688"/>
      <c r="DI80" s="688"/>
      <c r="DJ80" s="688"/>
    </row>
    <row r="81" spans="1:114" s="673" customFormat="1" ht="37.5" customHeight="1">
      <c r="A81" s="674"/>
      <c r="B81" s="678" t="s">
        <v>104</v>
      </c>
      <c r="C81" s="671" t="s">
        <v>9</v>
      </c>
      <c r="D81" s="563">
        <v>1455</v>
      </c>
      <c r="E81" s="560">
        <f t="shared" si="432"/>
        <v>324.39581431131182</v>
      </c>
      <c r="F81" s="563">
        <v>136.35965997776216</v>
      </c>
      <c r="G81" s="563">
        <v>188.03615433354966</v>
      </c>
      <c r="H81" s="563">
        <f t="shared" si="500"/>
        <v>1074.5392755861935</v>
      </c>
      <c r="I81" s="563">
        <v>56.064910102494586</v>
      </c>
      <c r="J81" s="563"/>
      <c r="K81" s="679" t="s">
        <v>184</v>
      </c>
      <c r="M81" s="680"/>
      <c r="N81" s="560">
        <f t="shared" si="433"/>
        <v>0</v>
      </c>
      <c r="O81" s="681">
        <f>$M$81*$O$3</f>
        <v>0</v>
      </c>
      <c r="P81" s="681">
        <f>$M$81*$P$3</f>
        <v>0</v>
      </c>
      <c r="Q81" s="681">
        <f>$M$81*$Q$3</f>
        <v>0</v>
      </c>
      <c r="R81" s="681">
        <f>$M$81*$R$3</f>
        <v>0</v>
      </c>
      <c r="S81" s="681">
        <f t="shared" si="557"/>
        <v>0</v>
      </c>
      <c r="U81" s="680"/>
      <c r="V81" s="560">
        <f t="shared" si="434"/>
        <v>0</v>
      </c>
      <c r="W81" s="681">
        <f t="shared" si="558"/>
        <v>0</v>
      </c>
      <c r="X81" s="681">
        <f t="shared" si="559"/>
        <v>0</v>
      </c>
      <c r="Y81" s="681">
        <f t="shared" si="560"/>
        <v>0</v>
      </c>
      <c r="Z81" s="681">
        <f t="shared" si="561"/>
        <v>0</v>
      </c>
      <c r="AA81" s="681">
        <f>U81*AA3</f>
        <v>0</v>
      </c>
      <c r="AC81" s="680"/>
      <c r="AD81" s="560">
        <f t="shared" si="435"/>
        <v>0</v>
      </c>
      <c r="AE81" s="681">
        <f t="shared" si="562"/>
        <v>0</v>
      </c>
      <c r="AF81" s="681">
        <f t="shared" si="563"/>
        <v>0</v>
      </c>
      <c r="AG81" s="681">
        <f t="shared" si="564"/>
        <v>0</v>
      </c>
      <c r="AH81" s="681">
        <f t="shared" si="565"/>
        <v>0</v>
      </c>
      <c r="AI81" s="681">
        <f>AC81*AI3</f>
        <v>0</v>
      </c>
      <c r="AK81" s="680">
        <f>1012098/1000-127652/1000</f>
        <v>884.44599999999991</v>
      </c>
      <c r="AL81" s="560">
        <f t="shared" si="436"/>
        <v>197.18940232603609</v>
      </c>
      <c r="AM81" s="681">
        <f t="shared" si="566"/>
        <v>82.888491978482364</v>
      </c>
      <c r="AN81" s="681">
        <f t="shared" si="567"/>
        <v>114.30091034755371</v>
      </c>
      <c r="AO81" s="681">
        <f t="shared" si="568"/>
        <v>628.30396708056026</v>
      </c>
      <c r="AP81" s="681">
        <f t="shared" si="569"/>
        <v>58.952630593403526</v>
      </c>
      <c r="AQ81" s="681">
        <f>AK81*AQ3</f>
        <v>0</v>
      </c>
      <c r="AS81" s="680"/>
      <c r="AT81" s="560">
        <f t="shared" si="437"/>
        <v>0</v>
      </c>
      <c r="AU81" s="681">
        <f t="shared" si="570"/>
        <v>0</v>
      </c>
      <c r="AV81" s="681">
        <f t="shared" si="571"/>
        <v>0</v>
      </c>
      <c r="AW81" s="681">
        <f t="shared" si="572"/>
        <v>0</v>
      </c>
      <c r="AX81" s="681">
        <f t="shared" si="573"/>
        <v>0</v>
      </c>
      <c r="AY81" s="681">
        <f>AS81*AY3</f>
        <v>0</v>
      </c>
      <c r="BA81" s="680"/>
      <c r="BB81" s="560">
        <f t="shared" si="438"/>
        <v>0</v>
      </c>
      <c r="BC81" s="681">
        <f t="shared" si="574"/>
        <v>0</v>
      </c>
      <c r="BD81" s="681">
        <f t="shared" si="575"/>
        <v>0</v>
      </c>
      <c r="BE81" s="681">
        <f t="shared" si="576"/>
        <v>0</v>
      </c>
      <c r="BF81" s="681">
        <f t="shared" si="577"/>
        <v>0</v>
      </c>
      <c r="BG81" s="681">
        <f>BA81*BG3</f>
        <v>0</v>
      </c>
      <c r="BI81" s="680"/>
      <c r="BJ81" s="560">
        <f t="shared" si="439"/>
        <v>0</v>
      </c>
      <c r="BK81" s="681">
        <f t="shared" si="578"/>
        <v>0</v>
      </c>
      <c r="BL81" s="681">
        <f t="shared" si="579"/>
        <v>0</v>
      </c>
      <c r="BM81" s="681">
        <f t="shared" si="580"/>
        <v>0</v>
      </c>
      <c r="BN81" s="681">
        <f t="shared" si="581"/>
        <v>0</v>
      </c>
      <c r="BO81" s="681">
        <f>BI81*BO3</f>
        <v>0</v>
      </c>
      <c r="BQ81" s="680"/>
      <c r="BR81" s="560">
        <f t="shared" si="440"/>
        <v>0</v>
      </c>
      <c r="BS81" s="681">
        <f t="shared" si="582"/>
        <v>0</v>
      </c>
      <c r="BT81" s="681">
        <f t="shared" si="583"/>
        <v>0</v>
      </c>
      <c r="BU81" s="681">
        <f t="shared" si="584"/>
        <v>0</v>
      </c>
      <c r="BV81" s="681">
        <f t="shared" si="585"/>
        <v>0</v>
      </c>
      <c r="BW81" s="681">
        <f>BQ81*BW3</f>
        <v>0</v>
      </c>
      <c r="BY81" s="680"/>
      <c r="BZ81" s="560">
        <f t="shared" si="441"/>
        <v>0</v>
      </c>
      <c r="CA81" s="681">
        <f t="shared" si="586"/>
        <v>0</v>
      </c>
      <c r="CB81" s="681">
        <f t="shared" si="587"/>
        <v>0</v>
      </c>
      <c r="CC81" s="681">
        <f t="shared" si="588"/>
        <v>0</v>
      </c>
      <c r="CD81" s="681">
        <f t="shared" si="589"/>
        <v>0</v>
      </c>
      <c r="CE81" s="681">
        <f>BY81*CE3</f>
        <v>0</v>
      </c>
      <c r="CG81" s="680"/>
      <c r="CH81" s="560">
        <f t="shared" si="320"/>
        <v>0</v>
      </c>
      <c r="CI81" s="681">
        <f t="shared" si="590"/>
        <v>0</v>
      </c>
      <c r="CJ81" s="681">
        <f t="shared" si="591"/>
        <v>0</v>
      </c>
      <c r="CK81" s="681">
        <f t="shared" si="592"/>
        <v>0</v>
      </c>
      <c r="CL81" s="681">
        <f t="shared" si="593"/>
        <v>0</v>
      </c>
      <c r="CM81" s="681">
        <f>CG81*CM3</f>
        <v>0</v>
      </c>
      <c r="CN81" s="708"/>
      <c r="CO81" s="680"/>
      <c r="CP81" s="560">
        <f t="shared" si="321"/>
        <v>0</v>
      </c>
      <c r="CQ81" s="681">
        <f t="shared" si="594"/>
        <v>0</v>
      </c>
      <c r="CR81" s="681">
        <f t="shared" si="595"/>
        <v>0</v>
      </c>
      <c r="CS81" s="681">
        <f t="shared" si="596"/>
        <v>0</v>
      </c>
      <c r="CT81" s="681">
        <f t="shared" si="597"/>
        <v>0</v>
      </c>
      <c r="CU81" s="681">
        <f>CO81*CU3</f>
        <v>0</v>
      </c>
      <c r="CV81" s="708"/>
      <c r="CW81" s="680"/>
      <c r="CX81" s="560">
        <f t="shared" si="322"/>
        <v>0</v>
      </c>
      <c r="CY81" s="681">
        <f t="shared" si="598"/>
        <v>0</v>
      </c>
      <c r="CZ81" s="681">
        <f t="shared" si="599"/>
        <v>0</v>
      </c>
      <c r="DA81" s="681">
        <f t="shared" si="600"/>
        <v>0</v>
      </c>
      <c r="DB81" s="681">
        <f t="shared" si="601"/>
        <v>0</v>
      </c>
      <c r="DC81" s="681">
        <f>CW81*DC3</f>
        <v>0</v>
      </c>
      <c r="DF81" s="688"/>
      <c r="DG81" s="688"/>
      <c r="DH81" s="688"/>
      <c r="DI81" s="688"/>
      <c r="DJ81" s="688"/>
    </row>
    <row r="82" spans="1:114" s="673" customFormat="1" ht="40.5" customHeight="1" outlineLevel="1">
      <c r="A82" s="690"/>
      <c r="B82" s="678" t="s">
        <v>153</v>
      </c>
      <c r="C82" s="671"/>
      <c r="D82" s="563">
        <v>4157.7245149999999</v>
      </c>
      <c r="E82" s="560">
        <f t="shared" si="432"/>
        <v>797.7530132606397</v>
      </c>
      <c r="F82" s="564">
        <v>303.7530132606397</v>
      </c>
      <c r="G82" s="564">
        <v>494</v>
      </c>
      <c r="H82" s="563">
        <f t="shared" si="500"/>
        <v>3199.7636315232685</v>
      </c>
      <c r="I82" s="564">
        <v>160.20787021609135</v>
      </c>
      <c r="J82" s="564"/>
      <c r="K82" s="679" t="s">
        <v>184</v>
      </c>
      <c r="M82" s="680"/>
      <c r="N82" s="560">
        <f t="shared" si="433"/>
        <v>0</v>
      </c>
      <c r="O82" s="681">
        <f>$M$82*$O$3</f>
        <v>0</v>
      </c>
      <c r="P82" s="681">
        <f>$M$82*$P$3</f>
        <v>0</v>
      </c>
      <c r="Q82" s="681">
        <f>$M$82*$Q$3</f>
        <v>0</v>
      </c>
      <c r="R82" s="681">
        <f>$M$82*$R$3</f>
        <v>0</v>
      </c>
      <c r="S82" s="681">
        <f t="shared" si="557"/>
        <v>0</v>
      </c>
      <c r="U82" s="680"/>
      <c r="V82" s="560">
        <f t="shared" si="434"/>
        <v>0</v>
      </c>
      <c r="W82" s="681">
        <f t="shared" si="558"/>
        <v>0</v>
      </c>
      <c r="X82" s="681">
        <f t="shared" si="559"/>
        <v>0</v>
      </c>
      <c r="Y82" s="681">
        <f t="shared" si="560"/>
        <v>0</v>
      </c>
      <c r="Z82" s="681">
        <f t="shared" si="561"/>
        <v>0</v>
      </c>
      <c r="AA82" s="681">
        <f>U82*AA3</f>
        <v>0</v>
      </c>
      <c r="AC82" s="680"/>
      <c r="AD82" s="560">
        <f t="shared" si="435"/>
        <v>0</v>
      </c>
      <c r="AE82" s="681">
        <f t="shared" si="562"/>
        <v>0</v>
      </c>
      <c r="AF82" s="681">
        <f t="shared" si="563"/>
        <v>0</v>
      </c>
      <c r="AG82" s="681">
        <f t="shared" si="564"/>
        <v>0</v>
      </c>
      <c r="AH82" s="681">
        <f t="shared" si="565"/>
        <v>0</v>
      </c>
      <c r="AI82" s="681">
        <f>AC82*AI3</f>
        <v>0</v>
      </c>
      <c r="AK82" s="680"/>
      <c r="AL82" s="560">
        <f t="shared" si="436"/>
        <v>0</v>
      </c>
      <c r="AM82" s="681">
        <f t="shared" si="566"/>
        <v>0</v>
      </c>
      <c r="AN82" s="681">
        <f t="shared" si="567"/>
        <v>0</v>
      </c>
      <c r="AO82" s="681">
        <f t="shared" si="568"/>
        <v>0</v>
      </c>
      <c r="AP82" s="681">
        <f t="shared" si="569"/>
        <v>0</v>
      </c>
      <c r="AQ82" s="681">
        <f>AK82*AQ3</f>
        <v>0</v>
      </c>
      <c r="AS82" s="680"/>
      <c r="AT82" s="560">
        <f t="shared" si="437"/>
        <v>0</v>
      </c>
      <c r="AU82" s="681">
        <f t="shared" si="570"/>
        <v>0</v>
      </c>
      <c r="AV82" s="681">
        <f t="shared" si="571"/>
        <v>0</v>
      </c>
      <c r="AW82" s="681">
        <f t="shared" si="572"/>
        <v>0</v>
      </c>
      <c r="AX82" s="681">
        <f t="shared" si="573"/>
        <v>0</v>
      </c>
      <c r="AY82" s="681">
        <f>AS82*AY3</f>
        <v>0</v>
      </c>
      <c r="BA82" s="680"/>
      <c r="BB82" s="560">
        <f t="shared" si="438"/>
        <v>0</v>
      </c>
      <c r="BC82" s="681">
        <f t="shared" si="574"/>
        <v>0</v>
      </c>
      <c r="BD82" s="681">
        <f t="shared" si="575"/>
        <v>0</v>
      </c>
      <c r="BE82" s="681">
        <f t="shared" si="576"/>
        <v>0</v>
      </c>
      <c r="BF82" s="681">
        <f t="shared" si="577"/>
        <v>0</v>
      </c>
      <c r="BG82" s="681">
        <f>BA82*BG3</f>
        <v>0</v>
      </c>
      <c r="BI82" s="680"/>
      <c r="BJ82" s="560">
        <f t="shared" si="439"/>
        <v>0</v>
      </c>
      <c r="BK82" s="681">
        <f t="shared" si="578"/>
        <v>0</v>
      </c>
      <c r="BL82" s="681">
        <f t="shared" si="579"/>
        <v>0</v>
      </c>
      <c r="BM82" s="681">
        <f t="shared" si="580"/>
        <v>0</v>
      </c>
      <c r="BN82" s="681">
        <f t="shared" si="581"/>
        <v>0</v>
      </c>
      <c r="BO82" s="681">
        <f>BI82*BO3</f>
        <v>0</v>
      </c>
      <c r="BQ82" s="680"/>
      <c r="BR82" s="560">
        <f t="shared" si="440"/>
        <v>0</v>
      </c>
      <c r="BS82" s="681">
        <f t="shared" si="582"/>
        <v>0</v>
      </c>
      <c r="BT82" s="681">
        <f t="shared" si="583"/>
        <v>0</v>
      </c>
      <c r="BU82" s="681">
        <f t="shared" si="584"/>
        <v>0</v>
      </c>
      <c r="BV82" s="681">
        <f t="shared" si="585"/>
        <v>0</v>
      </c>
      <c r="BW82" s="681">
        <f>BQ82*BW3</f>
        <v>0</v>
      </c>
      <c r="BY82" s="680"/>
      <c r="BZ82" s="560">
        <f t="shared" si="441"/>
        <v>0</v>
      </c>
      <c r="CA82" s="681">
        <f t="shared" si="586"/>
        <v>0</v>
      </c>
      <c r="CB82" s="681">
        <f t="shared" si="587"/>
        <v>0</v>
      </c>
      <c r="CC82" s="681">
        <f t="shared" si="588"/>
        <v>0</v>
      </c>
      <c r="CD82" s="681">
        <f t="shared" si="589"/>
        <v>0</v>
      </c>
      <c r="CE82" s="681">
        <f>BY82*CE3</f>
        <v>0</v>
      </c>
      <c r="CG82" s="680"/>
      <c r="CH82" s="560">
        <f t="shared" si="320"/>
        <v>0</v>
      </c>
      <c r="CI82" s="681">
        <f t="shared" si="590"/>
        <v>0</v>
      </c>
      <c r="CJ82" s="681">
        <f t="shared" si="591"/>
        <v>0</v>
      </c>
      <c r="CK82" s="681">
        <f t="shared" si="592"/>
        <v>0</v>
      </c>
      <c r="CL82" s="681">
        <f t="shared" si="593"/>
        <v>0</v>
      </c>
      <c r="CM82" s="681">
        <f>CG82*CM3</f>
        <v>0</v>
      </c>
      <c r="CN82" s="708"/>
      <c r="CO82" s="680"/>
      <c r="CP82" s="560">
        <f t="shared" si="321"/>
        <v>0</v>
      </c>
      <c r="CQ82" s="681">
        <f t="shared" si="594"/>
        <v>0</v>
      </c>
      <c r="CR82" s="681">
        <f t="shared" si="595"/>
        <v>0</v>
      </c>
      <c r="CS82" s="681">
        <f t="shared" si="596"/>
        <v>0</v>
      </c>
      <c r="CT82" s="681">
        <f t="shared" si="597"/>
        <v>0</v>
      </c>
      <c r="CU82" s="681">
        <f>CO82*CU3</f>
        <v>0</v>
      </c>
      <c r="CV82" s="708"/>
      <c r="CW82" s="680"/>
      <c r="CX82" s="560">
        <f t="shared" si="322"/>
        <v>0</v>
      </c>
      <c r="CY82" s="681">
        <f t="shared" si="598"/>
        <v>0</v>
      </c>
      <c r="CZ82" s="681">
        <f t="shared" si="599"/>
        <v>0</v>
      </c>
      <c r="DA82" s="681">
        <f t="shared" si="600"/>
        <v>0</v>
      </c>
      <c r="DB82" s="681">
        <f t="shared" si="601"/>
        <v>0</v>
      </c>
      <c r="DC82" s="681">
        <f>CW82*DC3</f>
        <v>0</v>
      </c>
      <c r="DF82" s="688"/>
      <c r="DG82" s="688"/>
      <c r="DH82" s="688"/>
      <c r="DI82" s="688"/>
      <c r="DJ82" s="688"/>
    </row>
    <row r="83" spans="1:114" s="673" customFormat="1" ht="20.25" customHeight="1">
      <c r="A83" s="674"/>
      <c r="B83" s="678" t="s">
        <v>117</v>
      </c>
      <c r="C83" s="671" t="s">
        <v>9</v>
      </c>
      <c r="D83" s="563">
        <v>1079.6035714285713</v>
      </c>
      <c r="E83" s="563"/>
      <c r="F83" s="563">
        <v>101.17826523077503</v>
      </c>
      <c r="G83" s="563">
        <v>139.52199572247028</v>
      </c>
      <c r="H83" s="563">
        <f t="shared" si="500"/>
        <v>797.3033948887454</v>
      </c>
      <c r="I83" s="563">
        <v>41.599915586580714</v>
      </c>
      <c r="J83" s="563"/>
      <c r="K83" s="679" t="s">
        <v>184</v>
      </c>
      <c r="M83" s="680"/>
      <c r="N83" s="563"/>
      <c r="O83" s="681">
        <f>$M$83*$O$3</f>
        <v>0</v>
      </c>
      <c r="P83" s="681">
        <f>$M$83*$P$3</f>
        <v>0</v>
      </c>
      <c r="Q83" s="681">
        <f>$M$83*$Q$3</f>
        <v>0</v>
      </c>
      <c r="R83" s="681">
        <f>$M$83*$R$3</f>
        <v>0</v>
      </c>
      <c r="S83" s="681">
        <f t="shared" si="557"/>
        <v>0</v>
      </c>
      <c r="U83" s="680"/>
      <c r="V83" s="563"/>
      <c r="W83" s="681">
        <f t="shared" si="558"/>
        <v>0</v>
      </c>
      <c r="X83" s="681">
        <f t="shared" si="559"/>
        <v>0</v>
      </c>
      <c r="Y83" s="681">
        <f t="shared" si="560"/>
        <v>0</v>
      </c>
      <c r="Z83" s="681">
        <f t="shared" si="561"/>
        <v>0</v>
      </c>
      <c r="AA83" s="681">
        <f>U83*AA3</f>
        <v>0</v>
      </c>
      <c r="AC83" s="680"/>
      <c r="AD83" s="563"/>
      <c r="AE83" s="681">
        <f t="shared" si="562"/>
        <v>0</v>
      </c>
      <c r="AF83" s="681">
        <f t="shared" si="563"/>
        <v>0</v>
      </c>
      <c r="AG83" s="681">
        <f t="shared" si="564"/>
        <v>0</v>
      </c>
      <c r="AH83" s="681">
        <f t="shared" si="565"/>
        <v>0</v>
      </c>
      <c r="AI83" s="681">
        <f>AC83*AI3</f>
        <v>0</v>
      </c>
      <c r="AK83" s="680"/>
      <c r="AL83" s="563"/>
      <c r="AM83" s="681">
        <f t="shared" si="566"/>
        <v>0</v>
      </c>
      <c r="AN83" s="681">
        <f t="shared" si="567"/>
        <v>0</v>
      </c>
      <c r="AO83" s="681">
        <f t="shared" si="568"/>
        <v>0</v>
      </c>
      <c r="AP83" s="681">
        <f t="shared" si="569"/>
        <v>0</v>
      </c>
      <c r="AQ83" s="681">
        <f>AK83*AQ3</f>
        <v>0</v>
      </c>
      <c r="AS83" s="680"/>
      <c r="AT83" s="563"/>
      <c r="AU83" s="681">
        <f t="shared" si="570"/>
        <v>0</v>
      </c>
      <c r="AV83" s="681">
        <f t="shared" si="571"/>
        <v>0</v>
      </c>
      <c r="AW83" s="681">
        <f t="shared" si="572"/>
        <v>0</v>
      </c>
      <c r="AX83" s="681">
        <f t="shared" si="573"/>
        <v>0</v>
      </c>
      <c r="AY83" s="681">
        <f>AS83*AY3</f>
        <v>0</v>
      </c>
      <c r="BA83" s="680"/>
      <c r="BB83" s="563"/>
      <c r="BC83" s="681">
        <f t="shared" si="574"/>
        <v>0</v>
      </c>
      <c r="BD83" s="681">
        <f t="shared" si="575"/>
        <v>0</v>
      </c>
      <c r="BE83" s="681">
        <f t="shared" si="576"/>
        <v>0</v>
      </c>
      <c r="BF83" s="681">
        <f t="shared" si="577"/>
        <v>0</v>
      </c>
      <c r="BG83" s="681">
        <f>BA83*BG3</f>
        <v>0</v>
      </c>
      <c r="BI83" s="680"/>
      <c r="BJ83" s="563"/>
      <c r="BK83" s="681">
        <f t="shared" si="578"/>
        <v>0</v>
      </c>
      <c r="BL83" s="681">
        <f t="shared" si="579"/>
        <v>0</v>
      </c>
      <c r="BM83" s="681">
        <f t="shared" si="580"/>
        <v>0</v>
      </c>
      <c r="BN83" s="681">
        <f t="shared" si="581"/>
        <v>0</v>
      </c>
      <c r="BO83" s="681">
        <f>BI83*BO3</f>
        <v>0</v>
      </c>
      <c r="BQ83" s="680"/>
      <c r="BR83" s="563"/>
      <c r="BS83" s="681">
        <f t="shared" si="582"/>
        <v>0</v>
      </c>
      <c r="BT83" s="681">
        <f t="shared" si="583"/>
        <v>0</v>
      </c>
      <c r="BU83" s="681">
        <f t="shared" si="584"/>
        <v>0</v>
      </c>
      <c r="BV83" s="681">
        <f t="shared" si="585"/>
        <v>0</v>
      </c>
      <c r="BW83" s="681">
        <f>BQ83*BW3</f>
        <v>0</v>
      </c>
      <c r="BY83" s="680"/>
      <c r="BZ83" s="563"/>
      <c r="CA83" s="681">
        <f t="shared" si="586"/>
        <v>0</v>
      </c>
      <c r="CB83" s="681">
        <f t="shared" si="587"/>
        <v>0</v>
      </c>
      <c r="CC83" s="681">
        <f t="shared" si="588"/>
        <v>0</v>
      </c>
      <c r="CD83" s="681">
        <f t="shared" si="589"/>
        <v>0</v>
      </c>
      <c r="CE83" s="681">
        <f>BY83*CE3</f>
        <v>0</v>
      </c>
      <c r="CG83" s="680"/>
      <c r="CH83" s="560">
        <f t="shared" si="320"/>
        <v>0</v>
      </c>
      <c r="CI83" s="681">
        <f t="shared" si="590"/>
        <v>0</v>
      </c>
      <c r="CJ83" s="681">
        <f t="shared" si="591"/>
        <v>0</v>
      </c>
      <c r="CK83" s="681">
        <f t="shared" si="592"/>
        <v>0</v>
      </c>
      <c r="CL83" s="681">
        <f t="shared" si="593"/>
        <v>0</v>
      </c>
      <c r="CM83" s="681">
        <f>CG83*CM3</f>
        <v>0</v>
      </c>
      <c r="CN83" s="708"/>
      <c r="CO83" s="680"/>
      <c r="CP83" s="560">
        <f t="shared" si="321"/>
        <v>0</v>
      </c>
      <c r="CQ83" s="681">
        <f t="shared" si="594"/>
        <v>0</v>
      </c>
      <c r="CR83" s="681">
        <f t="shared" si="595"/>
        <v>0</v>
      </c>
      <c r="CS83" s="681">
        <f t="shared" si="596"/>
        <v>0</v>
      </c>
      <c r="CT83" s="681">
        <f t="shared" si="597"/>
        <v>0</v>
      </c>
      <c r="CU83" s="681">
        <f>CO83*CU3</f>
        <v>0</v>
      </c>
      <c r="CV83" s="708"/>
      <c r="CW83" s="680"/>
      <c r="CX83" s="560">
        <f t="shared" si="322"/>
        <v>0</v>
      </c>
      <c r="CY83" s="681">
        <f t="shared" si="598"/>
        <v>0</v>
      </c>
      <c r="CZ83" s="681">
        <f t="shared" si="599"/>
        <v>0</v>
      </c>
      <c r="DA83" s="681">
        <f t="shared" si="600"/>
        <v>0</v>
      </c>
      <c r="DB83" s="681">
        <f t="shared" si="601"/>
        <v>0</v>
      </c>
      <c r="DC83" s="681">
        <f>CW83*DC3</f>
        <v>0</v>
      </c>
      <c r="DF83" s="688"/>
      <c r="DG83" s="688"/>
      <c r="DH83" s="688"/>
      <c r="DI83" s="688"/>
      <c r="DJ83" s="688"/>
    </row>
    <row r="84" spans="1:114" s="673" customFormat="1" ht="20.25" customHeight="1">
      <c r="A84" s="674"/>
      <c r="B84" s="678" t="s">
        <v>155</v>
      </c>
      <c r="C84" s="671" t="s">
        <v>9</v>
      </c>
      <c r="D84" s="563">
        <v>319.07734806629838</v>
      </c>
      <c r="E84" s="560">
        <f t="shared" ref="E84:E98" si="602">F84+G84</f>
        <v>71.139076394680913</v>
      </c>
      <c r="F84" s="563">
        <v>29.903284322286265</v>
      </c>
      <c r="G84" s="563">
        <v>41.235792072394652</v>
      </c>
      <c r="H84" s="563">
        <f t="shared" si="500"/>
        <v>235.64339687087562</v>
      </c>
      <c r="I84" s="563">
        <v>12.294874800741852</v>
      </c>
      <c r="J84" s="563"/>
      <c r="K84" s="679" t="s">
        <v>184</v>
      </c>
      <c r="M84" s="680"/>
      <c r="N84" s="560">
        <f t="shared" ref="N84:N91" si="603">O84+P84</f>
        <v>0</v>
      </c>
      <c r="O84" s="681">
        <f>$M$84*$O$3</f>
        <v>0</v>
      </c>
      <c r="P84" s="681">
        <f>$M$84*$P$3</f>
        <v>0</v>
      </c>
      <c r="Q84" s="681">
        <f>$M$84*$Q$3</f>
        <v>0</v>
      </c>
      <c r="R84" s="681">
        <f>$M$84*$R$3</f>
        <v>0</v>
      </c>
      <c r="S84" s="681">
        <f t="shared" si="557"/>
        <v>0</v>
      </c>
      <c r="U84" s="680">
        <f>27500/1000</f>
        <v>27.5</v>
      </c>
      <c r="V84" s="560">
        <f t="shared" ref="V84:V91" si="604">W84+X84</f>
        <v>6.1311923667086434</v>
      </c>
      <c r="W84" s="681">
        <f t="shared" si="558"/>
        <v>2.5772444325693886</v>
      </c>
      <c r="X84" s="681">
        <f t="shared" si="559"/>
        <v>3.5539479341392548</v>
      </c>
      <c r="Y84" s="681">
        <f t="shared" si="560"/>
        <v>19.53579878784619</v>
      </c>
      <c r="Z84" s="681">
        <f t="shared" si="561"/>
        <v>1.8330088454451681</v>
      </c>
      <c r="AA84" s="681">
        <f>U84*AA3</f>
        <v>0</v>
      </c>
      <c r="AC84" s="680"/>
      <c r="AD84" s="560">
        <f t="shared" ref="AD84:AD91" si="605">AE84+AF84</f>
        <v>0</v>
      </c>
      <c r="AE84" s="681">
        <f t="shared" si="562"/>
        <v>0</v>
      </c>
      <c r="AF84" s="681">
        <f t="shared" si="563"/>
        <v>0</v>
      </c>
      <c r="AG84" s="681">
        <f t="shared" si="564"/>
        <v>0</v>
      </c>
      <c r="AH84" s="681">
        <f t="shared" si="565"/>
        <v>0</v>
      </c>
      <c r="AI84" s="681">
        <f>AC84*AI3</f>
        <v>0</v>
      </c>
      <c r="AK84" s="680">
        <f>20000/1000</f>
        <v>20</v>
      </c>
      <c r="AL84" s="560">
        <f t="shared" ref="AL84:AL91" si="606">AM84+AN84</f>
        <v>4.4590489939699225</v>
      </c>
      <c r="AM84" s="681">
        <f t="shared" si="566"/>
        <v>1.8743595873231915</v>
      </c>
      <c r="AN84" s="681">
        <f t="shared" si="567"/>
        <v>2.5846894066467305</v>
      </c>
      <c r="AO84" s="681">
        <f t="shared" si="568"/>
        <v>14.207853663888137</v>
      </c>
      <c r="AP84" s="681">
        <f t="shared" si="569"/>
        <v>1.3330973421419403</v>
      </c>
      <c r="AQ84" s="681">
        <f>AK84*AQ3</f>
        <v>0</v>
      </c>
      <c r="AS84" s="680">
        <f>53500/1000</f>
        <v>53.5</v>
      </c>
      <c r="AT84" s="560">
        <f t="shared" ref="AT84:AT91" si="607">AU84+AV84</f>
        <v>11.927956058869544</v>
      </c>
      <c r="AU84" s="681">
        <f t="shared" si="570"/>
        <v>5.0139118960895379</v>
      </c>
      <c r="AV84" s="681">
        <f t="shared" si="571"/>
        <v>6.9140441627800051</v>
      </c>
      <c r="AW84" s="681">
        <f t="shared" si="572"/>
        <v>38.006008550900766</v>
      </c>
      <c r="AX84" s="681">
        <f t="shared" si="573"/>
        <v>3.5660353902296906</v>
      </c>
      <c r="AY84" s="681">
        <f>AS84*AY3</f>
        <v>0</v>
      </c>
      <c r="BA84" s="680"/>
      <c r="BB84" s="560">
        <f t="shared" ref="BB84:BB91" si="608">BC84+BD84</f>
        <v>0</v>
      </c>
      <c r="BC84" s="681">
        <f t="shared" si="574"/>
        <v>0</v>
      </c>
      <c r="BD84" s="681">
        <f t="shared" si="575"/>
        <v>0</v>
      </c>
      <c r="BE84" s="681">
        <f t="shared" si="576"/>
        <v>0</v>
      </c>
      <c r="BF84" s="681">
        <f t="shared" si="577"/>
        <v>0</v>
      </c>
      <c r="BG84" s="681">
        <f>BA84*BG3</f>
        <v>0</v>
      </c>
      <c r="BI84" s="680"/>
      <c r="BJ84" s="560">
        <f t="shared" ref="BJ84:BJ91" si="609">BK84+BL84</f>
        <v>0</v>
      </c>
      <c r="BK84" s="681">
        <f t="shared" si="578"/>
        <v>0</v>
      </c>
      <c r="BL84" s="681">
        <f t="shared" si="579"/>
        <v>0</v>
      </c>
      <c r="BM84" s="681">
        <f t="shared" si="580"/>
        <v>0</v>
      </c>
      <c r="BN84" s="681">
        <f t="shared" si="581"/>
        <v>0</v>
      </c>
      <c r="BO84" s="681">
        <f>BI84*BO3</f>
        <v>0</v>
      </c>
      <c r="BQ84" s="680"/>
      <c r="BR84" s="560">
        <f t="shared" ref="BR84:BR91" si="610">BS84+BT84</f>
        <v>0</v>
      </c>
      <c r="BS84" s="681">
        <f t="shared" si="582"/>
        <v>0</v>
      </c>
      <c r="BT84" s="681">
        <f t="shared" si="583"/>
        <v>0</v>
      </c>
      <c r="BU84" s="681">
        <f t="shared" si="584"/>
        <v>0</v>
      </c>
      <c r="BV84" s="681">
        <f t="shared" si="585"/>
        <v>0</v>
      </c>
      <c r="BW84" s="681">
        <f>BQ84*BW3</f>
        <v>0</v>
      </c>
      <c r="BY84" s="680"/>
      <c r="BZ84" s="560">
        <f t="shared" ref="BZ84:BZ91" si="611">CA84+CB84</f>
        <v>0</v>
      </c>
      <c r="CA84" s="681">
        <f t="shared" si="586"/>
        <v>0</v>
      </c>
      <c r="CB84" s="681">
        <f t="shared" si="587"/>
        <v>0</v>
      </c>
      <c r="CC84" s="681">
        <f t="shared" si="588"/>
        <v>0</v>
      </c>
      <c r="CD84" s="681">
        <f t="shared" si="589"/>
        <v>0</v>
      </c>
      <c r="CE84" s="681">
        <f>BY84*CE3</f>
        <v>0</v>
      </c>
      <c r="CG84" s="680"/>
      <c r="CH84" s="560">
        <f t="shared" si="320"/>
        <v>0</v>
      </c>
      <c r="CI84" s="681">
        <f t="shared" si="590"/>
        <v>0</v>
      </c>
      <c r="CJ84" s="681">
        <f t="shared" si="591"/>
        <v>0</v>
      </c>
      <c r="CK84" s="681">
        <f t="shared" si="592"/>
        <v>0</v>
      </c>
      <c r="CL84" s="681">
        <f t="shared" si="593"/>
        <v>0</v>
      </c>
      <c r="CM84" s="681">
        <f>CG84*CM3</f>
        <v>0</v>
      </c>
      <c r="CN84" s="708"/>
      <c r="CO84" s="680"/>
      <c r="CP84" s="560">
        <f t="shared" si="321"/>
        <v>0</v>
      </c>
      <c r="CQ84" s="681">
        <f t="shared" si="594"/>
        <v>0</v>
      </c>
      <c r="CR84" s="681">
        <f t="shared" si="595"/>
        <v>0</v>
      </c>
      <c r="CS84" s="681">
        <f t="shared" si="596"/>
        <v>0</v>
      </c>
      <c r="CT84" s="681">
        <f t="shared" si="597"/>
        <v>0</v>
      </c>
      <c r="CU84" s="681">
        <f>CO84*CU3</f>
        <v>0</v>
      </c>
      <c r="CV84" s="708"/>
      <c r="CW84" s="680"/>
      <c r="CX84" s="560">
        <f t="shared" si="322"/>
        <v>0</v>
      </c>
      <c r="CY84" s="681">
        <f t="shared" si="598"/>
        <v>0</v>
      </c>
      <c r="CZ84" s="681">
        <f t="shared" si="599"/>
        <v>0</v>
      </c>
      <c r="DA84" s="681">
        <f t="shared" si="600"/>
        <v>0</v>
      </c>
      <c r="DB84" s="681">
        <f t="shared" si="601"/>
        <v>0</v>
      </c>
      <c r="DC84" s="681">
        <f>CW84*DC3</f>
        <v>0</v>
      </c>
      <c r="DF84" s="688"/>
      <c r="DG84" s="688"/>
      <c r="DH84" s="688"/>
      <c r="DI84" s="688"/>
      <c r="DJ84" s="688"/>
    </row>
    <row r="85" spans="1:114" s="673" customFormat="1" ht="39" customHeight="1">
      <c r="A85" s="674"/>
      <c r="B85" s="678" t="s">
        <v>156</v>
      </c>
      <c r="C85" s="671" t="s">
        <v>9</v>
      </c>
      <c r="D85" s="563">
        <v>53.805714285714281</v>
      </c>
      <c r="E85" s="560">
        <f t="shared" si="602"/>
        <v>27.907105406090263</v>
      </c>
      <c r="F85" s="563">
        <v>11.235504977027016</v>
      </c>
      <c r="G85" s="563">
        <v>16.671600429063247</v>
      </c>
      <c r="H85" s="563">
        <f t="shared" si="500"/>
        <v>24.726502712896071</v>
      </c>
      <c r="I85" s="564">
        <v>1.17210616672795</v>
      </c>
      <c r="J85" s="564"/>
      <c r="K85" s="683" t="s">
        <v>429</v>
      </c>
      <c r="M85" s="680"/>
      <c r="N85" s="560">
        <f t="shared" si="603"/>
        <v>0</v>
      </c>
      <c r="O85" s="681">
        <f>M85*O3</f>
        <v>0</v>
      </c>
      <c r="P85" s="681">
        <f>M85*P3</f>
        <v>0</v>
      </c>
      <c r="Q85" s="681">
        <f>M85*Q3</f>
        <v>0</v>
      </c>
      <c r="R85" s="681">
        <f>M85*R3</f>
        <v>0</v>
      </c>
      <c r="S85" s="681">
        <f>M85*S3</f>
        <v>0</v>
      </c>
      <c r="U85" s="680">
        <f>12053.57/1000</f>
        <v>12.053570000000001</v>
      </c>
      <c r="V85" s="560">
        <f t="shared" si="604"/>
        <v>2.6873729591123023</v>
      </c>
      <c r="W85" s="681">
        <f>U85*W3</f>
        <v>1.1296362245485603</v>
      </c>
      <c r="X85" s="681">
        <f>U85*X3</f>
        <v>1.5577367345637418</v>
      </c>
      <c r="Y85" s="681">
        <f>U85*Y3</f>
        <v>8.5627679343716068</v>
      </c>
      <c r="Z85" s="681">
        <f>U85*Z3</f>
        <v>0.80342910651609145</v>
      </c>
      <c r="AA85" s="681">
        <f>U85*AA3</f>
        <v>0</v>
      </c>
      <c r="AC85" s="680"/>
      <c r="AD85" s="560">
        <f t="shared" si="605"/>
        <v>0</v>
      </c>
      <c r="AE85" s="681">
        <f>AC85*AE3</f>
        <v>0</v>
      </c>
      <c r="AF85" s="681">
        <f>AC85*AF3</f>
        <v>0</v>
      </c>
      <c r="AG85" s="681">
        <f>AC85*AG3</f>
        <v>0</v>
      </c>
      <c r="AH85" s="681">
        <f>AC85*AH3</f>
        <v>0</v>
      </c>
      <c r="AI85" s="681">
        <f>AC85*AI3</f>
        <v>0</v>
      </c>
      <c r="AK85" s="680"/>
      <c r="AL85" s="560">
        <f t="shared" si="606"/>
        <v>0</v>
      </c>
      <c r="AM85" s="681">
        <f>AK85*AM3</f>
        <v>0</v>
      </c>
      <c r="AN85" s="681">
        <f>AK85*AN3</f>
        <v>0</v>
      </c>
      <c r="AO85" s="681">
        <f>AK85*AO3</f>
        <v>0</v>
      </c>
      <c r="AP85" s="681">
        <f>AK85*AP3</f>
        <v>0</v>
      </c>
      <c r="AQ85" s="681">
        <f>AK85*AQ3</f>
        <v>0</v>
      </c>
      <c r="AS85" s="680"/>
      <c r="AT85" s="560">
        <f t="shared" si="607"/>
        <v>0</v>
      </c>
      <c r="AU85" s="681">
        <f>AS85*AU3</f>
        <v>0</v>
      </c>
      <c r="AV85" s="681">
        <f>AS85*AV3</f>
        <v>0</v>
      </c>
      <c r="AW85" s="681">
        <f>AS85*AW3</f>
        <v>0</v>
      </c>
      <c r="AX85" s="681">
        <f>AS85*AX3</f>
        <v>0</v>
      </c>
      <c r="AY85" s="681">
        <f>AS85*AY3</f>
        <v>0</v>
      </c>
      <c r="BA85" s="680"/>
      <c r="BB85" s="560">
        <f t="shared" si="608"/>
        <v>0</v>
      </c>
      <c r="BC85" s="684">
        <f>BA85*$DF$85</f>
        <v>0</v>
      </c>
      <c r="BD85" s="684">
        <f>BA85*$DG$85</f>
        <v>0</v>
      </c>
      <c r="BE85" s="684">
        <f>BA85*$DH$85</f>
        <v>0</v>
      </c>
      <c r="BF85" s="684">
        <f>BA85*$DI$85</f>
        <v>0</v>
      </c>
      <c r="BG85" s="684">
        <f>BA85*$DJ$85</f>
        <v>0</v>
      </c>
      <c r="BI85" s="680"/>
      <c r="BJ85" s="560">
        <f t="shared" si="609"/>
        <v>0</v>
      </c>
      <c r="BK85" s="684">
        <f>BI85*$DF$85</f>
        <v>0</v>
      </c>
      <c r="BL85" s="684">
        <f>BI85*$DG$85</f>
        <v>0</v>
      </c>
      <c r="BM85" s="684">
        <f>BI85*$DH$85</f>
        <v>0</v>
      </c>
      <c r="BN85" s="684">
        <f>BI85*$DI$85</f>
        <v>0</v>
      </c>
      <c r="BO85" s="684">
        <f>BI85*$DJ$85</f>
        <v>0</v>
      </c>
      <c r="BQ85" s="680"/>
      <c r="BR85" s="560">
        <f t="shared" si="610"/>
        <v>0</v>
      </c>
      <c r="BS85" s="684">
        <f>BQ85*$DF$85</f>
        <v>0</v>
      </c>
      <c r="BT85" s="684">
        <f>BQ85*$DG$85</f>
        <v>0</v>
      </c>
      <c r="BU85" s="684">
        <f>BQ85*$DH$85</f>
        <v>0</v>
      </c>
      <c r="BV85" s="684">
        <f>BQ85*$DI$85</f>
        <v>0</v>
      </c>
      <c r="BW85" s="684">
        <f>BQ85*$DJ$85</f>
        <v>0</v>
      </c>
      <c r="BY85" s="680"/>
      <c r="BZ85" s="560">
        <f t="shared" si="611"/>
        <v>0</v>
      </c>
      <c r="CA85" s="684">
        <f>BY85*$DF$85</f>
        <v>0</v>
      </c>
      <c r="CB85" s="684">
        <f>BY85*$DG$85</f>
        <v>0</v>
      </c>
      <c r="CC85" s="684">
        <f>BY85*$DH$85</f>
        <v>0</v>
      </c>
      <c r="CD85" s="684">
        <f>BY85*$DI$85</f>
        <v>0</v>
      </c>
      <c r="CE85" s="684">
        <f>BY85*$DJ$85</f>
        <v>0</v>
      </c>
      <c r="CG85" s="680"/>
      <c r="CH85" s="560">
        <f t="shared" si="320"/>
        <v>0</v>
      </c>
      <c r="CI85" s="684">
        <f>CG85*$DF$85</f>
        <v>0</v>
      </c>
      <c r="CJ85" s="684">
        <f>CG85*$DG$85</f>
        <v>0</v>
      </c>
      <c r="CK85" s="684">
        <f>CG85*$DH$85</f>
        <v>0</v>
      </c>
      <c r="CL85" s="684">
        <f>CG85*$DI$85</f>
        <v>0</v>
      </c>
      <c r="CM85" s="684">
        <f>CG85*$DJ$85</f>
        <v>0</v>
      </c>
      <c r="CO85" s="680"/>
      <c r="CP85" s="560">
        <f t="shared" si="321"/>
        <v>0</v>
      </c>
      <c r="CQ85" s="684">
        <f>CO85*$DF$85</f>
        <v>0</v>
      </c>
      <c r="CR85" s="684">
        <f>CO85*$DG$85</f>
        <v>0</v>
      </c>
      <c r="CS85" s="684">
        <f>CO85*$DH$85</f>
        <v>0</v>
      </c>
      <c r="CT85" s="684">
        <f>CO85*$DI$85</f>
        <v>0</v>
      </c>
      <c r="CU85" s="684">
        <f>CO85*$DJ$85</f>
        <v>0</v>
      </c>
      <c r="CW85" s="680"/>
      <c r="CX85" s="560">
        <f t="shared" si="322"/>
        <v>0</v>
      </c>
      <c r="CY85" s="684">
        <f>CW85*$DF$85</f>
        <v>0</v>
      </c>
      <c r="CZ85" s="684">
        <f>CW85*$DG$85</f>
        <v>0</v>
      </c>
      <c r="DA85" s="684">
        <f>CW85*$DH$85</f>
        <v>0</v>
      </c>
      <c r="DB85" s="684">
        <f>CW85*$DI$85</f>
        <v>0</v>
      </c>
      <c r="DC85" s="684">
        <f>CW85*$DJ$85</f>
        <v>0</v>
      </c>
      <c r="DF85" s="685">
        <f>F85/$D$85</f>
        <v>0.20881620337507731</v>
      </c>
      <c r="DG85" s="685">
        <f>G85/$D$85</f>
        <v>0.30984813881542783</v>
      </c>
      <c r="DH85" s="685">
        <f>H85/$D$85</f>
        <v>0.45955161159269464</v>
      </c>
      <c r="DI85" s="685">
        <f>I85/$D$85</f>
        <v>2.1784046216800263E-2</v>
      </c>
      <c r="DJ85" s="685">
        <f>J85/$D$85</f>
        <v>0</v>
      </c>
    </row>
    <row r="86" spans="1:114" s="673" customFormat="1" ht="19.5" customHeight="1">
      <c r="A86" s="674"/>
      <c r="B86" s="678" t="s">
        <v>128</v>
      </c>
      <c r="C86" s="671" t="s">
        <v>9</v>
      </c>
      <c r="D86" s="563">
        <v>3363.9782603333329</v>
      </c>
      <c r="E86" s="560">
        <f t="shared" si="602"/>
        <v>750.00719387380195</v>
      </c>
      <c r="F86" s="563">
        <v>315.26524519012867</v>
      </c>
      <c r="G86" s="563">
        <v>434.74194868367323</v>
      </c>
      <c r="H86" s="563">
        <f t="shared" si="500"/>
        <v>2484.3482906847307</v>
      </c>
      <c r="I86" s="563">
        <v>129.62277577480029</v>
      </c>
      <c r="J86" s="563"/>
      <c r="K86" s="679" t="s">
        <v>184</v>
      </c>
      <c r="M86" s="680"/>
      <c r="N86" s="560">
        <f t="shared" si="603"/>
        <v>0</v>
      </c>
      <c r="O86" s="681">
        <f>$M$86*$O$3</f>
        <v>0</v>
      </c>
      <c r="P86" s="681">
        <f>$M$86*$P$3</f>
        <v>0</v>
      </c>
      <c r="Q86" s="681">
        <f>$M$86*$Q$3</f>
        <v>0</v>
      </c>
      <c r="R86" s="681">
        <f>$M$86*$R$3</f>
        <v>0</v>
      </c>
      <c r="S86" s="681">
        <f t="shared" ref="S86:S93" si="612">$M$16*$S$3</f>
        <v>0</v>
      </c>
      <c r="U86" s="680"/>
      <c r="V86" s="560">
        <f t="shared" si="604"/>
        <v>0</v>
      </c>
      <c r="W86" s="681">
        <f t="shared" ref="W86:W94" si="613">U86*$W$3</f>
        <v>0</v>
      </c>
      <c r="X86" s="681">
        <f t="shared" ref="X86:X94" si="614">U86*$X$3</f>
        <v>0</v>
      </c>
      <c r="Y86" s="681">
        <f t="shared" ref="Y86:Y94" si="615">U86*$Y$3</f>
        <v>0</v>
      </c>
      <c r="Z86" s="681">
        <f t="shared" ref="Z86:Z94" si="616">U86*$Z$3</f>
        <v>0</v>
      </c>
      <c r="AA86" s="681">
        <f>U86*AA3</f>
        <v>0</v>
      </c>
      <c r="AC86" s="680"/>
      <c r="AD86" s="560">
        <f t="shared" si="605"/>
        <v>0</v>
      </c>
      <c r="AE86" s="681">
        <f t="shared" ref="AE86:AE94" si="617">AC86*$AE$3</f>
        <v>0</v>
      </c>
      <c r="AF86" s="681">
        <f t="shared" ref="AF86:AF94" si="618">AC86*$AF$3</f>
        <v>0</v>
      </c>
      <c r="AG86" s="681">
        <f t="shared" ref="AG86:AG94" si="619">AC86*$AG$3</f>
        <v>0</v>
      </c>
      <c r="AH86" s="681">
        <f t="shared" ref="AH86:AH94" si="620">AC86*$AH$3</f>
        <v>0</v>
      </c>
      <c r="AI86" s="681">
        <f>AC86*AI3</f>
        <v>0</v>
      </c>
      <c r="AK86" s="680"/>
      <c r="AL86" s="560">
        <f t="shared" si="606"/>
        <v>0</v>
      </c>
      <c r="AM86" s="681">
        <f t="shared" ref="AM86:AM94" si="621">AK86*$AM$3</f>
        <v>0</v>
      </c>
      <c r="AN86" s="681">
        <f t="shared" ref="AN86:AN94" si="622">AK86*$AN$3</f>
        <v>0</v>
      </c>
      <c r="AO86" s="681">
        <f t="shared" ref="AO86:AO94" si="623">AK86*$AO$3</f>
        <v>0</v>
      </c>
      <c r="AP86" s="681">
        <f t="shared" ref="AP86:AP94" si="624">AK86*$AP$3</f>
        <v>0</v>
      </c>
      <c r="AQ86" s="681">
        <f>AK86*AQ3</f>
        <v>0</v>
      </c>
      <c r="AS86" s="680"/>
      <c r="AT86" s="560">
        <f t="shared" si="607"/>
        <v>0</v>
      </c>
      <c r="AU86" s="681">
        <f t="shared" ref="AU86:AU94" si="625">AS86*$AU$3</f>
        <v>0</v>
      </c>
      <c r="AV86" s="681">
        <f t="shared" ref="AV86:AV94" si="626">AS86*$AV$3</f>
        <v>0</v>
      </c>
      <c r="AW86" s="681">
        <f t="shared" ref="AW86:AW94" si="627">AS86*$AW$3</f>
        <v>0</v>
      </c>
      <c r="AX86" s="681">
        <f t="shared" ref="AX86:AX94" si="628">AS86*$AX$3</f>
        <v>0</v>
      </c>
      <c r="AY86" s="681">
        <f>AS86*AY3</f>
        <v>0</v>
      </c>
      <c r="BA86" s="680"/>
      <c r="BB86" s="560">
        <f t="shared" si="608"/>
        <v>0</v>
      </c>
      <c r="BC86" s="681">
        <f t="shared" ref="BC86:BC94" si="629">BA86*$BC$3</f>
        <v>0</v>
      </c>
      <c r="BD86" s="681">
        <f t="shared" ref="BD86:BD94" si="630">BA86*$BD$3</f>
        <v>0</v>
      </c>
      <c r="BE86" s="681">
        <f t="shared" ref="BE86:BE94" si="631">BA86*$BE$3</f>
        <v>0</v>
      </c>
      <c r="BF86" s="681">
        <f t="shared" ref="BF86:BF94" si="632">BA86*$BF$3</f>
        <v>0</v>
      </c>
      <c r="BG86" s="681">
        <f>BA86*BG3</f>
        <v>0</v>
      </c>
      <c r="BI86" s="680"/>
      <c r="BJ86" s="560">
        <f t="shared" si="609"/>
        <v>0</v>
      </c>
      <c r="BK86" s="681">
        <f t="shared" ref="BK86:BK94" si="633">BI86*$BK$3</f>
        <v>0</v>
      </c>
      <c r="BL86" s="681">
        <f t="shared" ref="BL86:BL94" si="634">BI86*$BL$3</f>
        <v>0</v>
      </c>
      <c r="BM86" s="681">
        <f t="shared" ref="BM86:BM94" si="635">BI86*$BM$3</f>
        <v>0</v>
      </c>
      <c r="BN86" s="681">
        <f t="shared" ref="BN86:BN94" si="636">BI86*$BN$3</f>
        <v>0</v>
      </c>
      <c r="BO86" s="681">
        <f>BI86*BO3</f>
        <v>0</v>
      </c>
      <c r="BQ86" s="680"/>
      <c r="BR86" s="560">
        <f t="shared" si="610"/>
        <v>0</v>
      </c>
      <c r="BS86" s="681">
        <f t="shared" ref="BS86:BS94" si="637">BQ86*$BS$3</f>
        <v>0</v>
      </c>
      <c r="BT86" s="681">
        <f t="shared" ref="BT86:BT94" si="638">BQ86*$BT$3</f>
        <v>0</v>
      </c>
      <c r="BU86" s="681">
        <f t="shared" ref="BU86:BU94" si="639">BQ86*$BU$3</f>
        <v>0</v>
      </c>
      <c r="BV86" s="681">
        <f t="shared" ref="BV86:BV94" si="640">BQ86*$BV$3</f>
        <v>0</v>
      </c>
      <c r="BW86" s="681">
        <f>BQ86*BW3</f>
        <v>0</v>
      </c>
      <c r="BY86" s="680"/>
      <c r="BZ86" s="560">
        <f t="shared" si="611"/>
        <v>0</v>
      </c>
      <c r="CA86" s="681">
        <f t="shared" ref="CA86:CA94" si="641">BY86*$CA$3</f>
        <v>0</v>
      </c>
      <c r="CB86" s="681">
        <f t="shared" ref="CB86:CB94" si="642">BY86*$CB$3</f>
        <v>0</v>
      </c>
      <c r="CC86" s="681">
        <f t="shared" ref="CC86:CC94" si="643">BY86*$CC$3</f>
        <v>0</v>
      </c>
      <c r="CD86" s="681">
        <f t="shared" ref="CD86:CD94" si="644">BY86*$CD$3</f>
        <v>0</v>
      </c>
      <c r="CE86" s="681">
        <f>BY86*CE3</f>
        <v>0</v>
      </c>
      <c r="CG86" s="680"/>
      <c r="CH86" s="560">
        <f t="shared" si="320"/>
        <v>0</v>
      </c>
      <c r="CI86" s="681">
        <f t="shared" ref="CI86:CI94" si="645">CG86*$CI$3</f>
        <v>0</v>
      </c>
      <c r="CJ86" s="681">
        <f t="shared" ref="CJ86:CJ94" si="646">CG86*$CJ$3</f>
        <v>0</v>
      </c>
      <c r="CK86" s="681">
        <f t="shared" ref="CK86:CK94" si="647">CG86*$CK$3</f>
        <v>0</v>
      </c>
      <c r="CL86" s="681">
        <f t="shared" ref="CL86:CL94" si="648">CG86*$CL$3</f>
        <v>0</v>
      </c>
      <c r="CM86" s="681">
        <f>CG86*CM3</f>
        <v>0</v>
      </c>
      <c r="CN86" s="708"/>
      <c r="CO86" s="680"/>
      <c r="CP86" s="560">
        <f t="shared" si="321"/>
        <v>0</v>
      </c>
      <c r="CQ86" s="681">
        <f t="shared" ref="CQ86:CQ94" si="649">CO86*$CQ$3</f>
        <v>0</v>
      </c>
      <c r="CR86" s="681">
        <f t="shared" ref="CR86:CR94" si="650">CO86*$CR$3</f>
        <v>0</v>
      </c>
      <c r="CS86" s="681">
        <f t="shared" ref="CS86:CS94" si="651">CO86*$CS$3</f>
        <v>0</v>
      </c>
      <c r="CT86" s="681">
        <f t="shared" ref="CT86:CT94" si="652">CO86*$CT$3</f>
        <v>0</v>
      </c>
      <c r="CU86" s="681">
        <f>CO86*CU3</f>
        <v>0</v>
      </c>
      <c r="CV86" s="708"/>
      <c r="CW86" s="680"/>
      <c r="CX86" s="560">
        <f t="shared" si="322"/>
        <v>0</v>
      </c>
      <c r="CY86" s="681">
        <f t="shared" ref="CY86:CY94" si="653">CW86*$CY$3</f>
        <v>0</v>
      </c>
      <c r="CZ86" s="681">
        <f t="shared" ref="CZ86:CZ94" si="654">CW86*$CZ$3</f>
        <v>0</v>
      </c>
      <c r="DA86" s="681">
        <f t="shared" ref="DA86:DA94" si="655">CW86*$DA$3</f>
        <v>0</v>
      </c>
      <c r="DB86" s="681">
        <f t="shared" ref="DB86:DB94" si="656">CW86*$DB$3</f>
        <v>0</v>
      </c>
      <c r="DC86" s="681">
        <f>CW86*DC3</f>
        <v>0</v>
      </c>
    </row>
    <row r="87" spans="1:114" s="673" customFormat="1" ht="19.5" customHeight="1">
      <c r="A87" s="674"/>
      <c r="B87" s="678" t="s">
        <v>121</v>
      </c>
      <c r="C87" s="671" t="s">
        <v>9</v>
      </c>
      <c r="D87" s="563">
        <v>5638.1570000000002</v>
      </c>
      <c r="E87" s="560">
        <f t="shared" si="602"/>
        <v>1257.0409149347238</v>
      </c>
      <c r="F87" s="563">
        <v>528.39668138916818</v>
      </c>
      <c r="G87" s="563">
        <v>728.64423354555561</v>
      </c>
      <c r="H87" s="563">
        <f t="shared" si="500"/>
        <v>4163.8633253754133</v>
      </c>
      <c r="I87" s="563">
        <v>217.25275968986293</v>
      </c>
      <c r="J87" s="563"/>
      <c r="K87" s="679" t="s">
        <v>184</v>
      </c>
      <c r="M87" s="680"/>
      <c r="N87" s="560">
        <f t="shared" si="603"/>
        <v>0</v>
      </c>
      <c r="O87" s="681">
        <f>$M$87*$O$3</f>
        <v>0</v>
      </c>
      <c r="P87" s="681">
        <f>$M$87*$P$3</f>
        <v>0</v>
      </c>
      <c r="Q87" s="681">
        <f>$M$87*$Q$3</f>
        <v>0</v>
      </c>
      <c r="R87" s="681">
        <f>$M$87*$R$3</f>
        <v>0</v>
      </c>
      <c r="S87" s="681">
        <f t="shared" si="612"/>
        <v>0</v>
      </c>
      <c r="U87" s="680"/>
      <c r="V87" s="560">
        <f t="shared" si="604"/>
        <v>0</v>
      </c>
      <c r="W87" s="681">
        <f t="shared" si="613"/>
        <v>0</v>
      </c>
      <c r="X87" s="681">
        <f t="shared" si="614"/>
        <v>0</v>
      </c>
      <c r="Y87" s="681">
        <f t="shared" si="615"/>
        <v>0</v>
      </c>
      <c r="Z87" s="681">
        <f t="shared" si="616"/>
        <v>0</v>
      </c>
      <c r="AA87" s="681">
        <f>U87*AA3</f>
        <v>0</v>
      </c>
      <c r="AC87" s="680">
        <f>1062514.78/1000</f>
        <v>1062.51478</v>
      </c>
      <c r="AD87" s="560">
        <f t="shared" si="605"/>
        <v>236.89027304185868</v>
      </c>
      <c r="AE87" s="681">
        <f t="shared" si="617"/>
        <v>99.576738228279581</v>
      </c>
      <c r="AF87" s="681">
        <f t="shared" si="618"/>
        <v>137.31353481357908</v>
      </c>
      <c r="AG87" s="681">
        <f t="shared" si="619"/>
        <v>754.80272549791482</v>
      </c>
      <c r="AH87" s="681">
        <f t="shared" si="620"/>
        <v>70.821781460226418</v>
      </c>
      <c r="AI87" s="681">
        <f>AC87*AI3</f>
        <v>0</v>
      </c>
      <c r="AK87" s="680"/>
      <c r="AL87" s="560">
        <f t="shared" si="606"/>
        <v>0</v>
      </c>
      <c r="AM87" s="681">
        <f t="shared" si="621"/>
        <v>0</v>
      </c>
      <c r="AN87" s="681">
        <f t="shared" si="622"/>
        <v>0</v>
      </c>
      <c r="AO87" s="681">
        <f t="shared" si="623"/>
        <v>0</v>
      </c>
      <c r="AP87" s="681">
        <f t="shared" si="624"/>
        <v>0</v>
      </c>
      <c r="AQ87" s="681">
        <f>AK87*AQ3</f>
        <v>0</v>
      </c>
      <c r="AS87" s="680">
        <f>48201/1000</f>
        <v>48.201000000000001</v>
      </c>
      <c r="AT87" s="560">
        <f t="shared" si="607"/>
        <v>10.746531027917211</v>
      </c>
      <c r="AU87" s="681">
        <f t="shared" si="625"/>
        <v>4.517300323428258</v>
      </c>
      <c r="AV87" s="681">
        <f t="shared" si="626"/>
        <v>6.2292307044889537</v>
      </c>
      <c r="AW87" s="681">
        <f t="shared" si="627"/>
        <v>34.241637722653607</v>
      </c>
      <c r="AX87" s="681">
        <f t="shared" si="628"/>
        <v>3.2128312494291835</v>
      </c>
      <c r="AY87" s="681">
        <f>AS87*AY3</f>
        <v>0</v>
      </c>
      <c r="BA87" s="680"/>
      <c r="BB87" s="560">
        <f t="shared" si="608"/>
        <v>0</v>
      </c>
      <c r="BC87" s="681">
        <f t="shared" si="629"/>
        <v>0</v>
      </c>
      <c r="BD87" s="681">
        <f t="shared" si="630"/>
        <v>0</v>
      </c>
      <c r="BE87" s="681">
        <f t="shared" si="631"/>
        <v>0</v>
      </c>
      <c r="BF87" s="681">
        <f t="shared" si="632"/>
        <v>0</v>
      </c>
      <c r="BG87" s="681">
        <f>BA87*BG3</f>
        <v>0</v>
      </c>
      <c r="BI87" s="680"/>
      <c r="BJ87" s="560">
        <f t="shared" si="609"/>
        <v>0</v>
      </c>
      <c r="BK87" s="681">
        <f t="shared" si="633"/>
        <v>0</v>
      </c>
      <c r="BL87" s="681">
        <f t="shared" si="634"/>
        <v>0</v>
      </c>
      <c r="BM87" s="681">
        <f t="shared" si="635"/>
        <v>0</v>
      </c>
      <c r="BN87" s="681">
        <f t="shared" si="636"/>
        <v>0</v>
      </c>
      <c r="BO87" s="681">
        <f>BI87*BO3</f>
        <v>0</v>
      </c>
      <c r="BQ87" s="680"/>
      <c r="BR87" s="560">
        <f t="shared" si="610"/>
        <v>0</v>
      </c>
      <c r="BS87" s="681">
        <f t="shared" si="637"/>
        <v>0</v>
      </c>
      <c r="BT87" s="681">
        <f t="shared" si="638"/>
        <v>0</v>
      </c>
      <c r="BU87" s="681">
        <f t="shared" si="639"/>
        <v>0</v>
      </c>
      <c r="BV87" s="681">
        <f t="shared" si="640"/>
        <v>0</v>
      </c>
      <c r="BW87" s="681">
        <f>BQ87*BW3</f>
        <v>0</v>
      </c>
      <c r="BY87" s="680"/>
      <c r="BZ87" s="560">
        <f t="shared" si="611"/>
        <v>0</v>
      </c>
      <c r="CA87" s="681">
        <f t="shared" si="641"/>
        <v>0</v>
      </c>
      <c r="CB87" s="681">
        <f t="shared" si="642"/>
        <v>0</v>
      </c>
      <c r="CC87" s="681">
        <f t="shared" si="643"/>
        <v>0</v>
      </c>
      <c r="CD87" s="681">
        <f t="shared" si="644"/>
        <v>0</v>
      </c>
      <c r="CE87" s="681">
        <f>BY87*CE3</f>
        <v>0</v>
      </c>
      <c r="CG87" s="680"/>
      <c r="CH87" s="560">
        <f t="shared" si="320"/>
        <v>0</v>
      </c>
      <c r="CI87" s="681">
        <f t="shared" si="645"/>
        <v>0</v>
      </c>
      <c r="CJ87" s="681">
        <f t="shared" si="646"/>
        <v>0</v>
      </c>
      <c r="CK87" s="681">
        <f t="shared" si="647"/>
        <v>0</v>
      </c>
      <c r="CL87" s="681">
        <f t="shared" si="648"/>
        <v>0</v>
      </c>
      <c r="CM87" s="681">
        <f>CG87*CM3</f>
        <v>0</v>
      </c>
      <c r="CN87" s="708"/>
      <c r="CO87" s="680"/>
      <c r="CP87" s="560">
        <f t="shared" si="321"/>
        <v>0</v>
      </c>
      <c r="CQ87" s="681">
        <f t="shared" si="649"/>
        <v>0</v>
      </c>
      <c r="CR87" s="681">
        <f t="shared" si="650"/>
        <v>0</v>
      </c>
      <c r="CS87" s="681">
        <f t="shared" si="651"/>
        <v>0</v>
      </c>
      <c r="CT87" s="681">
        <f t="shared" si="652"/>
        <v>0</v>
      </c>
      <c r="CU87" s="681">
        <f>CO87*CU3</f>
        <v>0</v>
      </c>
      <c r="CV87" s="708"/>
      <c r="CW87" s="680"/>
      <c r="CX87" s="560">
        <f t="shared" si="322"/>
        <v>0</v>
      </c>
      <c r="CY87" s="681">
        <f t="shared" si="653"/>
        <v>0</v>
      </c>
      <c r="CZ87" s="681">
        <f t="shared" si="654"/>
        <v>0</v>
      </c>
      <c r="DA87" s="681">
        <f t="shared" si="655"/>
        <v>0</v>
      </c>
      <c r="DB87" s="681">
        <f t="shared" si="656"/>
        <v>0</v>
      </c>
      <c r="DC87" s="681">
        <f>CW87*DC3</f>
        <v>0</v>
      </c>
    </row>
    <row r="88" spans="1:114" s="673" customFormat="1" ht="19.5" customHeight="1">
      <c r="A88" s="674"/>
      <c r="B88" s="678" t="s">
        <v>296</v>
      </c>
      <c r="C88" s="671" t="s">
        <v>9</v>
      </c>
      <c r="D88" s="563">
        <v>0</v>
      </c>
      <c r="E88" s="560">
        <f t="shared" si="602"/>
        <v>0</v>
      </c>
      <c r="F88" s="563">
        <v>0</v>
      </c>
      <c r="G88" s="563">
        <v>0</v>
      </c>
      <c r="H88" s="563">
        <f t="shared" si="500"/>
        <v>0</v>
      </c>
      <c r="I88" s="564">
        <v>0</v>
      </c>
      <c r="J88" s="564"/>
      <c r="K88" s="679" t="s">
        <v>184</v>
      </c>
      <c r="M88" s="680"/>
      <c r="N88" s="560">
        <f t="shared" si="603"/>
        <v>0</v>
      </c>
      <c r="O88" s="684"/>
      <c r="P88" s="684"/>
      <c r="Q88" s="684">
        <f>M88</f>
        <v>0</v>
      </c>
      <c r="R88" s="684"/>
      <c r="S88" s="684"/>
      <c r="U88" s="680">
        <f>7396/1000</f>
        <v>7.3959999999999999</v>
      </c>
      <c r="V88" s="560">
        <f t="shared" si="604"/>
        <v>0</v>
      </c>
      <c r="W88" s="684"/>
      <c r="X88" s="684"/>
      <c r="Y88" s="684">
        <f>U88</f>
        <v>7.3959999999999999</v>
      </c>
      <c r="Z88" s="684"/>
      <c r="AA88" s="684"/>
      <c r="AC88" s="680">
        <f>10918/1000</f>
        <v>10.917999999999999</v>
      </c>
      <c r="AD88" s="560">
        <f t="shared" si="605"/>
        <v>0</v>
      </c>
      <c r="AE88" s="684"/>
      <c r="AF88" s="684"/>
      <c r="AG88" s="684">
        <f>AC88</f>
        <v>10.917999999999999</v>
      </c>
      <c r="AH88" s="684"/>
      <c r="AI88" s="684"/>
      <c r="AK88" s="680"/>
      <c r="AL88" s="560">
        <f t="shared" si="606"/>
        <v>0</v>
      </c>
      <c r="AM88" s="684"/>
      <c r="AN88" s="684"/>
      <c r="AO88" s="684">
        <f>AK88</f>
        <v>0</v>
      </c>
      <c r="AP88" s="684"/>
      <c r="AQ88" s="684"/>
      <c r="AS88" s="680">
        <f>21482.99/1000</f>
        <v>21.482990000000001</v>
      </c>
      <c r="AT88" s="560">
        <f t="shared" si="607"/>
        <v>0</v>
      </c>
      <c r="AU88" s="684"/>
      <c r="AV88" s="684"/>
      <c r="AW88" s="684">
        <f>AS88</f>
        <v>21.482990000000001</v>
      </c>
      <c r="AX88" s="684"/>
      <c r="AY88" s="684"/>
      <c r="BA88" s="680"/>
      <c r="BB88" s="560">
        <f t="shared" si="608"/>
        <v>0</v>
      </c>
      <c r="BC88" s="684"/>
      <c r="BD88" s="684"/>
      <c r="BE88" s="684">
        <f>BA88</f>
        <v>0</v>
      </c>
      <c r="BF88" s="684"/>
      <c r="BG88" s="684"/>
      <c r="BI88" s="680"/>
      <c r="BJ88" s="560">
        <f t="shared" si="609"/>
        <v>0</v>
      </c>
      <c r="BK88" s="684"/>
      <c r="BL88" s="684"/>
      <c r="BM88" s="684">
        <f>BI88</f>
        <v>0</v>
      </c>
      <c r="BN88" s="684"/>
      <c r="BO88" s="684"/>
      <c r="BQ88" s="680"/>
      <c r="BR88" s="560">
        <f t="shared" si="610"/>
        <v>0</v>
      </c>
      <c r="BS88" s="684"/>
      <c r="BT88" s="684"/>
      <c r="BU88" s="684">
        <f>BQ88</f>
        <v>0</v>
      </c>
      <c r="BV88" s="684"/>
      <c r="BW88" s="684"/>
      <c r="BY88" s="680"/>
      <c r="BZ88" s="560">
        <f t="shared" si="611"/>
        <v>0</v>
      </c>
      <c r="CA88" s="684"/>
      <c r="CB88" s="684"/>
      <c r="CC88" s="684">
        <f>BY88</f>
        <v>0</v>
      </c>
      <c r="CD88" s="684"/>
      <c r="CE88" s="684"/>
      <c r="CG88" s="680"/>
      <c r="CH88" s="560">
        <f t="shared" si="320"/>
        <v>0</v>
      </c>
      <c r="CI88" s="684"/>
      <c r="CJ88" s="684"/>
      <c r="CK88" s="684">
        <f>CG88</f>
        <v>0</v>
      </c>
      <c r="CL88" s="684"/>
      <c r="CM88" s="684"/>
      <c r="CN88" s="708"/>
      <c r="CO88" s="680"/>
      <c r="CP88" s="560">
        <f t="shared" si="321"/>
        <v>0</v>
      </c>
      <c r="CQ88" s="684"/>
      <c r="CR88" s="684"/>
      <c r="CS88" s="684">
        <f>CO88</f>
        <v>0</v>
      </c>
      <c r="CT88" s="684"/>
      <c r="CU88" s="684"/>
      <c r="CV88" s="708"/>
      <c r="CW88" s="680"/>
      <c r="CX88" s="560">
        <f t="shared" si="322"/>
        <v>0</v>
      </c>
      <c r="CY88" s="684"/>
      <c r="CZ88" s="684"/>
      <c r="DA88" s="684">
        <f>CW88</f>
        <v>0</v>
      </c>
      <c r="DB88" s="684"/>
      <c r="DC88" s="684"/>
    </row>
    <row r="89" spans="1:114" s="673" customFormat="1" ht="19.5" customHeight="1">
      <c r="A89" s="674"/>
      <c r="B89" s="678" t="s">
        <v>119</v>
      </c>
      <c r="C89" s="671" t="s">
        <v>9</v>
      </c>
      <c r="D89" s="563">
        <v>7555.9349999999995</v>
      </c>
      <c r="E89" s="560">
        <f t="shared" si="602"/>
        <v>1684.6142180126062</v>
      </c>
      <c r="F89" s="563">
        <v>708.12696042204288</v>
      </c>
      <c r="G89" s="563">
        <v>976.48725759056322</v>
      </c>
      <c r="H89" s="563">
        <f t="shared" si="500"/>
        <v>5580.1710799150278</v>
      </c>
      <c r="I89" s="563">
        <v>291.14970207236593</v>
      </c>
      <c r="J89" s="563"/>
      <c r="K89" s="679" t="s">
        <v>184</v>
      </c>
      <c r="M89" s="680"/>
      <c r="N89" s="560">
        <f t="shared" si="603"/>
        <v>0</v>
      </c>
      <c r="O89" s="681">
        <f>$M$89*$O$3</f>
        <v>0</v>
      </c>
      <c r="P89" s="681">
        <f>$M$89*$P$3</f>
        <v>0</v>
      </c>
      <c r="Q89" s="681">
        <f>$M$89*$Q$3</f>
        <v>0</v>
      </c>
      <c r="R89" s="681">
        <f>$M$89*$R$3</f>
        <v>0</v>
      </c>
      <c r="S89" s="681">
        <f t="shared" si="612"/>
        <v>0</v>
      </c>
      <c r="U89" s="680"/>
      <c r="V89" s="560">
        <f t="shared" si="604"/>
        <v>0</v>
      </c>
      <c r="W89" s="681">
        <f t="shared" si="613"/>
        <v>0</v>
      </c>
      <c r="X89" s="681">
        <f t="shared" si="614"/>
        <v>0</v>
      </c>
      <c r="Y89" s="681">
        <f t="shared" si="615"/>
        <v>0</v>
      </c>
      <c r="Z89" s="681">
        <f t="shared" si="616"/>
        <v>0</v>
      </c>
      <c r="AA89" s="681">
        <f>U89*AA3</f>
        <v>0</v>
      </c>
      <c r="AC89" s="680"/>
      <c r="AD89" s="560">
        <f t="shared" si="605"/>
        <v>0</v>
      </c>
      <c r="AE89" s="681">
        <f t="shared" si="617"/>
        <v>0</v>
      </c>
      <c r="AF89" s="681">
        <f t="shared" si="618"/>
        <v>0</v>
      </c>
      <c r="AG89" s="681">
        <f t="shared" si="619"/>
        <v>0</v>
      </c>
      <c r="AH89" s="681">
        <f t="shared" si="620"/>
        <v>0</v>
      </c>
      <c r="AI89" s="681">
        <f>AC89*AI3</f>
        <v>0</v>
      </c>
      <c r="AK89" s="680"/>
      <c r="AL89" s="560">
        <f t="shared" si="606"/>
        <v>0</v>
      </c>
      <c r="AM89" s="681">
        <f t="shared" si="621"/>
        <v>0</v>
      </c>
      <c r="AN89" s="681">
        <f t="shared" si="622"/>
        <v>0</v>
      </c>
      <c r="AO89" s="681">
        <f t="shared" si="623"/>
        <v>0</v>
      </c>
      <c r="AP89" s="681">
        <f t="shared" si="624"/>
        <v>0</v>
      </c>
      <c r="AQ89" s="681">
        <f>AK89*AQ3</f>
        <v>0</v>
      </c>
      <c r="AS89" s="680">
        <f>582612/1000</f>
        <v>582.61199999999997</v>
      </c>
      <c r="AT89" s="560">
        <f t="shared" si="607"/>
        <v>129.89477262374021</v>
      </c>
      <c r="AU89" s="681">
        <f t="shared" si="625"/>
        <v>54.601219394476963</v>
      </c>
      <c r="AV89" s="681">
        <f t="shared" si="626"/>
        <v>75.293553229263253</v>
      </c>
      <c r="AW89" s="681">
        <f t="shared" si="627"/>
        <v>413.88330194125973</v>
      </c>
      <c r="AX89" s="681">
        <f t="shared" si="628"/>
        <v>38.833925435000005</v>
      </c>
      <c r="AY89" s="681">
        <f>AS89*AY3</f>
        <v>0</v>
      </c>
      <c r="BA89" s="680"/>
      <c r="BB89" s="560">
        <f t="shared" si="608"/>
        <v>0</v>
      </c>
      <c r="BC89" s="681">
        <f t="shared" si="629"/>
        <v>0</v>
      </c>
      <c r="BD89" s="681">
        <f t="shared" si="630"/>
        <v>0</v>
      </c>
      <c r="BE89" s="681">
        <f t="shared" si="631"/>
        <v>0</v>
      </c>
      <c r="BF89" s="681">
        <f t="shared" si="632"/>
        <v>0</v>
      </c>
      <c r="BG89" s="681">
        <f>BA89*BG3</f>
        <v>0</v>
      </c>
      <c r="BI89" s="680"/>
      <c r="BJ89" s="560">
        <f t="shared" si="609"/>
        <v>0</v>
      </c>
      <c r="BK89" s="681">
        <f t="shared" si="633"/>
        <v>0</v>
      </c>
      <c r="BL89" s="681">
        <f t="shared" si="634"/>
        <v>0</v>
      </c>
      <c r="BM89" s="681">
        <f t="shared" si="635"/>
        <v>0</v>
      </c>
      <c r="BN89" s="681">
        <f t="shared" si="636"/>
        <v>0</v>
      </c>
      <c r="BO89" s="681">
        <f>BI89*BO3</f>
        <v>0</v>
      </c>
      <c r="BQ89" s="680"/>
      <c r="BR89" s="560">
        <f t="shared" si="610"/>
        <v>0</v>
      </c>
      <c r="BS89" s="681">
        <f t="shared" si="637"/>
        <v>0</v>
      </c>
      <c r="BT89" s="681">
        <f t="shared" si="638"/>
        <v>0</v>
      </c>
      <c r="BU89" s="681">
        <f t="shared" si="639"/>
        <v>0</v>
      </c>
      <c r="BV89" s="681">
        <f t="shared" si="640"/>
        <v>0</v>
      </c>
      <c r="BW89" s="681">
        <f>BQ89*BW3</f>
        <v>0</v>
      </c>
      <c r="BY89" s="680"/>
      <c r="BZ89" s="560">
        <f t="shared" si="611"/>
        <v>0</v>
      </c>
      <c r="CA89" s="681">
        <f t="shared" si="641"/>
        <v>0</v>
      </c>
      <c r="CB89" s="681">
        <f t="shared" si="642"/>
        <v>0</v>
      </c>
      <c r="CC89" s="681">
        <f t="shared" si="643"/>
        <v>0</v>
      </c>
      <c r="CD89" s="681">
        <f t="shared" si="644"/>
        <v>0</v>
      </c>
      <c r="CE89" s="681">
        <f>BY89*CE3</f>
        <v>0</v>
      </c>
      <c r="CG89" s="680"/>
      <c r="CH89" s="560">
        <f t="shared" si="320"/>
        <v>0</v>
      </c>
      <c r="CI89" s="681">
        <f t="shared" si="645"/>
        <v>0</v>
      </c>
      <c r="CJ89" s="681">
        <f t="shared" si="646"/>
        <v>0</v>
      </c>
      <c r="CK89" s="681">
        <f t="shared" si="647"/>
        <v>0</v>
      </c>
      <c r="CL89" s="681">
        <f t="shared" si="648"/>
        <v>0</v>
      </c>
      <c r="CM89" s="681">
        <f>CG89*CM3</f>
        <v>0</v>
      </c>
      <c r="CN89" s="708"/>
      <c r="CO89" s="680"/>
      <c r="CP89" s="560">
        <f t="shared" si="321"/>
        <v>0</v>
      </c>
      <c r="CQ89" s="681">
        <f t="shared" si="649"/>
        <v>0</v>
      </c>
      <c r="CR89" s="681">
        <f t="shared" si="650"/>
        <v>0</v>
      </c>
      <c r="CS89" s="681">
        <f t="shared" si="651"/>
        <v>0</v>
      </c>
      <c r="CT89" s="681">
        <f t="shared" si="652"/>
        <v>0</v>
      </c>
      <c r="CU89" s="681">
        <f>CO89*CU3</f>
        <v>0</v>
      </c>
      <c r="CV89" s="708"/>
      <c r="CW89" s="680"/>
      <c r="CX89" s="560">
        <f t="shared" si="322"/>
        <v>0</v>
      </c>
      <c r="CY89" s="681">
        <f t="shared" si="653"/>
        <v>0</v>
      </c>
      <c r="CZ89" s="681">
        <f t="shared" si="654"/>
        <v>0</v>
      </c>
      <c r="DA89" s="681">
        <f t="shared" si="655"/>
        <v>0</v>
      </c>
      <c r="DB89" s="681">
        <f t="shared" si="656"/>
        <v>0</v>
      </c>
      <c r="DC89" s="681">
        <f>CW89*DC3</f>
        <v>0</v>
      </c>
    </row>
    <row r="90" spans="1:114" s="673" customFormat="1" ht="19.5" customHeight="1">
      <c r="A90" s="674"/>
      <c r="B90" s="678" t="s">
        <v>456</v>
      </c>
      <c r="C90" s="671"/>
      <c r="D90" s="563">
        <v>8757.2819999999992</v>
      </c>
      <c r="E90" s="560">
        <f t="shared" si="602"/>
        <v>1680.1664039770553</v>
      </c>
      <c r="F90" s="563">
        <v>641.4</v>
      </c>
      <c r="G90" s="563">
        <v>1038.7664039770555</v>
      </c>
      <c r="H90" s="563">
        <f t="shared" si="500"/>
        <v>6739.6748894441171</v>
      </c>
      <c r="I90" s="563">
        <v>337.44070657882747</v>
      </c>
      <c r="J90" s="563"/>
      <c r="K90" s="679" t="s">
        <v>184</v>
      </c>
      <c r="M90" s="680"/>
      <c r="N90" s="560">
        <f t="shared" si="603"/>
        <v>0</v>
      </c>
      <c r="O90" s="681">
        <f>$M$90*$O$3</f>
        <v>0</v>
      </c>
      <c r="P90" s="681">
        <f>$M$90*$P$3</f>
        <v>0</v>
      </c>
      <c r="Q90" s="681">
        <f>$M$90*$Q$3</f>
        <v>0</v>
      </c>
      <c r="R90" s="681">
        <f>$M$90*$R$3</f>
        <v>0</v>
      </c>
      <c r="S90" s="681">
        <f t="shared" si="612"/>
        <v>0</v>
      </c>
      <c r="U90" s="680"/>
      <c r="V90" s="560">
        <f t="shared" si="604"/>
        <v>0</v>
      </c>
      <c r="W90" s="681">
        <f t="shared" si="613"/>
        <v>0</v>
      </c>
      <c r="X90" s="681">
        <f t="shared" si="614"/>
        <v>0</v>
      </c>
      <c r="Y90" s="681">
        <f t="shared" si="615"/>
        <v>0</v>
      </c>
      <c r="Z90" s="681">
        <f t="shared" si="616"/>
        <v>0</v>
      </c>
      <c r="AA90" s="681">
        <f>U90*AA3</f>
        <v>0</v>
      </c>
      <c r="AC90" s="680"/>
      <c r="AD90" s="560">
        <f t="shared" si="605"/>
        <v>0</v>
      </c>
      <c r="AE90" s="681">
        <f t="shared" si="617"/>
        <v>0</v>
      </c>
      <c r="AF90" s="681">
        <f t="shared" si="618"/>
        <v>0</v>
      </c>
      <c r="AG90" s="681">
        <f t="shared" si="619"/>
        <v>0</v>
      </c>
      <c r="AH90" s="681">
        <f t="shared" si="620"/>
        <v>0</v>
      </c>
      <c r="AI90" s="681">
        <f>AC90*AI3</f>
        <v>0</v>
      </c>
      <c r="AK90" s="680"/>
      <c r="AL90" s="560">
        <f t="shared" si="606"/>
        <v>0</v>
      </c>
      <c r="AM90" s="681">
        <f t="shared" si="621"/>
        <v>0</v>
      </c>
      <c r="AN90" s="681">
        <f t="shared" si="622"/>
        <v>0</v>
      </c>
      <c r="AO90" s="681">
        <f t="shared" si="623"/>
        <v>0</v>
      </c>
      <c r="AP90" s="681">
        <f t="shared" si="624"/>
        <v>0</v>
      </c>
      <c r="AQ90" s="681">
        <f>AK90*AQ3</f>
        <v>0</v>
      </c>
      <c r="AS90" s="680">
        <f>53608/1000</f>
        <v>53.607999999999997</v>
      </c>
      <c r="AT90" s="560">
        <f t="shared" si="607"/>
        <v>11.95203492343698</v>
      </c>
      <c r="AU90" s="681">
        <f t="shared" si="625"/>
        <v>5.0240334378610827</v>
      </c>
      <c r="AV90" s="681">
        <f t="shared" si="626"/>
        <v>6.9280014855758969</v>
      </c>
      <c r="AW90" s="681">
        <f t="shared" si="627"/>
        <v>38.082730960685758</v>
      </c>
      <c r="AX90" s="681">
        <f t="shared" si="628"/>
        <v>3.5732341158772569</v>
      </c>
      <c r="AY90" s="681">
        <f>AS90*AY3</f>
        <v>0</v>
      </c>
      <c r="BA90" s="680"/>
      <c r="BB90" s="560">
        <f t="shared" si="608"/>
        <v>0</v>
      </c>
      <c r="BC90" s="681">
        <f t="shared" si="629"/>
        <v>0</v>
      </c>
      <c r="BD90" s="681">
        <f t="shared" si="630"/>
        <v>0</v>
      </c>
      <c r="BE90" s="681">
        <f t="shared" si="631"/>
        <v>0</v>
      </c>
      <c r="BF90" s="681">
        <f t="shared" si="632"/>
        <v>0</v>
      </c>
      <c r="BG90" s="681">
        <f>BA90*BG3</f>
        <v>0</v>
      </c>
      <c r="BI90" s="680"/>
      <c r="BJ90" s="560">
        <f t="shared" si="609"/>
        <v>0</v>
      </c>
      <c r="BK90" s="681">
        <f t="shared" si="633"/>
        <v>0</v>
      </c>
      <c r="BL90" s="681">
        <f t="shared" si="634"/>
        <v>0</v>
      </c>
      <c r="BM90" s="681">
        <f t="shared" si="635"/>
        <v>0</v>
      </c>
      <c r="BN90" s="681">
        <f t="shared" si="636"/>
        <v>0</v>
      </c>
      <c r="BO90" s="681">
        <f>BI90*BO3</f>
        <v>0</v>
      </c>
      <c r="BQ90" s="680"/>
      <c r="BR90" s="560">
        <f t="shared" si="610"/>
        <v>0</v>
      </c>
      <c r="BS90" s="681">
        <f t="shared" si="637"/>
        <v>0</v>
      </c>
      <c r="BT90" s="681">
        <f t="shared" si="638"/>
        <v>0</v>
      </c>
      <c r="BU90" s="681">
        <f t="shared" si="639"/>
        <v>0</v>
      </c>
      <c r="BV90" s="681">
        <f t="shared" si="640"/>
        <v>0</v>
      </c>
      <c r="BW90" s="681">
        <f>BQ90*BW3</f>
        <v>0</v>
      </c>
      <c r="BY90" s="680"/>
      <c r="BZ90" s="560">
        <f t="shared" si="611"/>
        <v>0</v>
      </c>
      <c r="CA90" s="681">
        <f t="shared" si="641"/>
        <v>0</v>
      </c>
      <c r="CB90" s="681">
        <f t="shared" si="642"/>
        <v>0</v>
      </c>
      <c r="CC90" s="681">
        <f t="shared" si="643"/>
        <v>0</v>
      </c>
      <c r="CD90" s="681">
        <f t="shared" si="644"/>
        <v>0</v>
      </c>
      <c r="CE90" s="681">
        <f>BY90*CE3</f>
        <v>0</v>
      </c>
      <c r="CG90" s="680"/>
      <c r="CH90" s="560">
        <f t="shared" si="320"/>
        <v>0</v>
      </c>
      <c r="CI90" s="681">
        <f t="shared" si="645"/>
        <v>0</v>
      </c>
      <c r="CJ90" s="681">
        <f t="shared" si="646"/>
        <v>0</v>
      </c>
      <c r="CK90" s="681">
        <f t="shared" si="647"/>
        <v>0</v>
      </c>
      <c r="CL90" s="681">
        <f t="shared" si="648"/>
        <v>0</v>
      </c>
      <c r="CM90" s="681">
        <f>CG90*CM3</f>
        <v>0</v>
      </c>
      <c r="CN90" s="708"/>
      <c r="CO90" s="680"/>
      <c r="CP90" s="560">
        <f t="shared" si="321"/>
        <v>0</v>
      </c>
      <c r="CQ90" s="681">
        <f t="shared" si="649"/>
        <v>0</v>
      </c>
      <c r="CR90" s="681">
        <f t="shared" si="650"/>
        <v>0</v>
      </c>
      <c r="CS90" s="681">
        <f t="shared" si="651"/>
        <v>0</v>
      </c>
      <c r="CT90" s="681">
        <f t="shared" si="652"/>
        <v>0</v>
      </c>
      <c r="CU90" s="681">
        <f>CO90*CU3</f>
        <v>0</v>
      </c>
      <c r="CV90" s="708"/>
      <c r="CW90" s="680"/>
      <c r="CX90" s="560">
        <f t="shared" si="322"/>
        <v>0</v>
      </c>
      <c r="CY90" s="681">
        <f t="shared" si="653"/>
        <v>0</v>
      </c>
      <c r="CZ90" s="681">
        <f t="shared" si="654"/>
        <v>0</v>
      </c>
      <c r="DA90" s="681">
        <f t="shared" si="655"/>
        <v>0</v>
      </c>
      <c r="DB90" s="681">
        <f t="shared" si="656"/>
        <v>0</v>
      </c>
      <c r="DC90" s="681">
        <f>CW90*DC3</f>
        <v>0</v>
      </c>
    </row>
    <row r="91" spans="1:114" s="673" customFormat="1" ht="19.5" customHeight="1">
      <c r="A91" s="674"/>
      <c r="B91" s="678" t="s">
        <v>167</v>
      </c>
      <c r="C91" s="671"/>
      <c r="D91" s="563">
        <v>871.2</v>
      </c>
      <c r="E91" s="560">
        <f t="shared" si="602"/>
        <v>194.23617417732981</v>
      </c>
      <c r="F91" s="563">
        <v>81.647103623798216</v>
      </c>
      <c r="G91" s="563">
        <v>112.5890705535316</v>
      </c>
      <c r="H91" s="563">
        <f t="shared" si="500"/>
        <v>643.39423841284668</v>
      </c>
      <c r="I91" s="563">
        <v>33.569587409823562</v>
      </c>
      <c r="J91" s="563"/>
      <c r="K91" s="679" t="s">
        <v>184</v>
      </c>
      <c r="M91" s="680">
        <f>60000/1000</f>
        <v>60</v>
      </c>
      <c r="N91" s="560">
        <f t="shared" si="603"/>
        <v>13.377146981909767</v>
      </c>
      <c r="O91" s="681">
        <f>$M$91*$O$3</f>
        <v>5.623078761969575</v>
      </c>
      <c r="P91" s="681">
        <f>$M$91*$P$3</f>
        <v>7.7540682199401925</v>
      </c>
      <c r="Q91" s="681">
        <f>$M$91*$Q$3</f>
        <v>42.623560991664412</v>
      </c>
      <c r="R91" s="681">
        <f>$M$91*$R$3</f>
        <v>3.9992920264258212</v>
      </c>
      <c r="S91" s="681">
        <f t="shared" si="612"/>
        <v>0</v>
      </c>
      <c r="U91" s="680">
        <f>60000/1000</f>
        <v>60</v>
      </c>
      <c r="V91" s="560">
        <f t="shared" si="604"/>
        <v>13.377146981909767</v>
      </c>
      <c r="W91" s="681">
        <f>U91*$W$3</f>
        <v>5.623078761969575</v>
      </c>
      <c r="X91" s="681">
        <f t="shared" si="614"/>
        <v>7.7540682199401925</v>
      </c>
      <c r="Y91" s="681">
        <f t="shared" si="615"/>
        <v>42.623560991664412</v>
      </c>
      <c r="Z91" s="681">
        <f t="shared" si="616"/>
        <v>3.9992920264258212</v>
      </c>
      <c r="AA91" s="681">
        <f>U91*AA3</f>
        <v>0</v>
      </c>
      <c r="AC91" s="680">
        <f>60000/1000</f>
        <v>60</v>
      </c>
      <c r="AD91" s="560">
        <f t="shared" si="605"/>
        <v>13.377146981909767</v>
      </c>
      <c r="AE91" s="681">
        <f t="shared" si="617"/>
        <v>5.623078761969575</v>
      </c>
      <c r="AF91" s="681">
        <f t="shared" si="618"/>
        <v>7.7540682199401925</v>
      </c>
      <c r="AG91" s="681">
        <f t="shared" si="619"/>
        <v>42.623560991664412</v>
      </c>
      <c r="AH91" s="681">
        <f t="shared" si="620"/>
        <v>3.9992920264258212</v>
      </c>
      <c r="AI91" s="681">
        <f>AC91*AI3</f>
        <v>0</v>
      </c>
      <c r="AK91" s="680">
        <f>120000/1000</f>
        <v>120</v>
      </c>
      <c r="AL91" s="560">
        <f t="shared" si="606"/>
        <v>26.754293963819535</v>
      </c>
      <c r="AM91" s="681">
        <f t="shared" si="621"/>
        <v>11.24615752393915</v>
      </c>
      <c r="AN91" s="681">
        <f t="shared" si="622"/>
        <v>15.508136439880385</v>
      </c>
      <c r="AO91" s="681">
        <f t="shared" si="623"/>
        <v>85.247121983328825</v>
      </c>
      <c r="AP91" s="681">
        <f t="shared" si="624"/>
        <v>7.9985840528516423</v>
      </c>
      <c r="AQ91" s="681">
        <f>AK91*AQ3</f>
        <v>0</v>
      </c>
      <c r="AS91" s="680">
        <f>30000/1000</f>
        <v>30</v>
      </c>
      <c r="AT91" s="560">
        <f t="shared" si="607"/>
        <v>6.6885734909548837</v>
      </c>
      <c r="AU91" s="681">
        <f t="shared" si="625"/>
        <v>2.8115393809847875</v>
      </c>
      <c r="AV91" s="681">
        <f t="shared" si="626"/>
        <v>3.8770341099700962</v>
      </c>
      <c r="AW91" s="681">
        <f t="shared" si="627"/>
        <v>21.311780495832206</v>
      </c>
      <c r="AX91" s="681">
        <f t="shared" si="628"/>
        <v>1.9996460132129106</v>
      </c>
      <c r="AY91" s="681">
        <f>AS91*AY3</f>
        <v>0</v>
      </c>
      <c r="BA91" s="680"/>
      <c r="BB91" s="560">
        <f t="shared" si="608"/>
        <v>0</v>
      </c>
      <c r="BC91" s="681">
        <f t="shared" si="629"/>
        <v>0</v>
      </c>
      <c r="BD91" s="681">
        <f t="shared" si="630"/>
        <v>0</v>
      </c>
      <c r="BE91" s="681">
        <f t="shared" si="631"/>
        <v>0</v>
      </c>
      <c r="BF91" s="681">
        <f t="shared" si="632"/>
        <v>0</v>
      </c>
      <c r="BG91" s="681">
        <f>BA91*BG3</f>
        <v>0</v>
      </c>
      <c r="BI91" s="680"/>
      <c r="BJ91" s="560">
        <f t="shared" si="609"/>
        <v>0</v>
      </c>
      <c r="BK91" s="681">
        <f t="shared" si="633"/>
        <v>0</v>
      </c>
      <c r="BL91" s="681">
        <f t="shared" si="634"/>
        <v>0</v>
      </c>
      <c r="BM91" s="681">
        <f t="shared" si="635"/>
        <v>0</v>
      </c>
      <c r="BN91" s="681">
        <f t="shared" si="636"/>
        <v>0</v>
      </c>
      <c r="BO91" s="681">
        <f>BI91*BO3</f>
        <v>0</v>
      </c>
      <c r="BQ91" s="680"/>
      <c r="BR91" s="560">
        <f t="shared" si="610"/>
        <v>0</v>
      </c>
      <c r="BS91" s="681">
        <f t="shared" si="637"/>
        <v>0</v>
      </c>
      <c r="BT91" s="681">
        <f t="shared" si="638"/>
        <v>0</v>
      </c>
      <c r="BU91" s="681">
        <f t="shared" si="639"/>
        <v>0</v>
      </c>
      <c r="BV91" s="681">
        <f t="shared" si="640"/>
        <v>0</v>
      </c>
      <c r="BW91" s="681">
        <f>BQ91*BW3</f>
        <v>0</v>
      </c>
      <c r="BY91" s="680"/>
      <c r="BZ91" s="560">
        <f t="shared" si="611"/>
        <v>0</v>
      </c>
      <c r="CA91" s="681">
        <f t="shared" si="641"/>
        <v>0</v>
      </c>
      <c r="CB91" s="681">
        <f t="shared" si="642"/>
        <v>0</v>
      </c>
      <c r="CC91" s="681">
        <f t="shared" si="643"/>
        <v>0</v>
      </c>
      <c r="CD91" s="681">
        <f t="shared" si="644"/>
        <v>0</v>
      </c>
      <c r="CE91" s="681">
        <f>BY91*CE3</f>
        <v>0</v>
      </c>
      <c r="CG91" s="680"/>
      <c r="CH91" s="560">
        <f t="shared" si="320"/>
        <v>0</v>
      </c>
      <c r="CI91" s="681">
        <f t="shared" si="645"/>
        <v>0</v>
      </c>
      <c r="CJ91" s="681">
        <f t="shared" si="646"/>
        <v>0</v>
      </c>
      <c r="CK91" s="681">
        <f t="shared" si="647"/>
        <v>0</v>
      </c>
      <c r="CL91" s="681">
        <f t="shared" si="648"/>
        <v>0</v>
      </c>
      <c r="CM91" s="681">
        <f>CG91*CM3</f>
        <v>0</v>
      </c>
      <c r="CN91" s="708"/>
      <c r="CO91" s="680"/>
      <c r="CP91" s="560">
        <f t="shared" si="321"/>
        <v>0</v>
      </c>
      <c r="CQ91" s="681">
        <f t="shared" si="649"/>
        <v>0</v>
      </c>
      <c r="CR91" s="681">
        <f t="shared" si="650"/>
        <v>0</v>
      </c>
      <c r="CS91" s="681">
        <f t="shared" si="651"/>
        <v>0</v>
      </c>
      <c r="CT91" s="681">
        <f t="shared" si="652"/>
        <v>0</v>
      </c>
      <c r="CU91" s="681">
        <f>CO91*CU3</f>
        <v>0</v>
      </c>
      <c r="CV91" s="708"/>
      <c r="CW91" s="680"/>
      <c r="CX91" s="560">
        <f t="shared" si="322"/>
        <v>0</v>
      </c>
      <c r="CY91" s="681">
        <f t="shared" si="653"/>
        <v>0</v>
      </c>
      <c r="CZ91" s="681">
        <f t="shared" si="654"/>
        <v>0</v>
      </c>
      <c r="DA91" s="681">
        <f t="shared" si="655"/>
        <v>0</v>
      </c>
      <c r="DB91" s="681">
        <f t="shared" si="656"/>
        <v>0</v>
      </c>
      <c r="DC91" s="681">
        <f>CW91*DC3</f>
        <v>0</v>
      </c>
    </row>
    <row r="92" spans="1:114" s="673" customFormat="1" ht="19.5" customHeight="1">
      <c r="A92" s="674"/>
      <c r="B92" s="678" t="s">
        <v>94</v>
      </c>
      <c r="C92" s="671" t="s">
        <v>9</v>
      </c>
      <c r="D92" s="563">
        <v>3605.5003167014129</v>
      </c>
      <c r="E92" s="560">
        <f t="shared" si="602"/>
        <v>803.85512799728349</v>
      </c>
      <c r="F92" s="563">
        <v>337.90020428530477</v>
      </c>
      <c r="G92" s="563">
        <v>465.95492371197872</v>
      </c>
      <c r="H92" s="563">
        <f t="shared" si="500"/>
        <v>2662.7159439409811</v>
      </c>
      <c r="I92" s="563">
        <v>138.92924476314809</v>
      </c>
      <c r="J92" s="563"/>
      <c r="K92" s="679" t="s">
        <v>184</v>
      </c>
      <c r="M92" s="680"/>
      <c r="N92" s="560">
        <f>O92+P92</f>
        <v>0</v>
      </c>
      <c r="O92" s="681">
        <f>$M$92*$O$3</f>
        <v>0</v>
      </c>
      <c r="P92" s="681">
        <f>$M$92*$P$3</f>
        <v>0</v>
      </c>
      <c r="Q92" s="681">
        <f>$M$92*$Q$3</f>
        <v>0</v>
      </c>
      <c r="R92" s="681">
        <f>$M$92*$R$3</f>
        <v>0</v>
      </c>
      <c r="S92" s="681">
        <f t="shared" si="612"/>
        <v>0</v>
      </c>
      <c r="U92" s="680"/>
      <c r="V92" s="560">
        <f>W92+X92</f>
        <v>0</v>
      </c>
      <c r="W92" s="681">
        <f t="shared" si="613"/>
        <v>0</v>
      </c>
      <c r="X92" s="681">
        <f t="shared" si="614"/>
        <v>0</v>
      </c>
      <c r="Y92" s="681">
        <f t="shared" si="615"/>
        <v>0</v>
      </c>
      <c r="Z92" s="681">
        <f t="shared" si="616"/>
        <v>0</v>
      </c>
      <c r="AA92" s="681">
        <f>U92*AA3</f>
        <v>0</v>
      </c>
      <c r="AC92" s="680"/>
      <c r="AD92" s="560">
        <f>AE92+AF92</f>
        <v>0</v>
      </c>
      <c r="AE92" s="681">
        <f t="shared" si="617"/>
        <v>0</v>
      </c>
      <c r="AF92" s="681">
        <f t="shared" si="618"/>
        <v>0</v>
      </c>
      <c r="AG92" s="681">
        <f t="shared" si="619"/>
        <v>0</v>
      </c>
      <c r="AH92" s="681">
        <f t="shared" si="620"/>
        <v>0</v>
      </c>
      <c r="AI92" s="681">
        <f>AC92*AI3</f>
        <v>0</v>
      </c>
      <c r="AK92" s="680"/>
      <c r="AL92" s="560">
        <f>AM92+AN92</f>
        <v>0</v>
      </c>
      <c r="AM92" s="681">
        <f t="shared" si="621"/>
        <v>0</v>
      </c>
      <c r="AN92" s="681">
        <f t="shared" si="622"/>
        <v>0</v>
      </c>
      <c r="AO92" s="681">
        <f t="shared" si="623"/>
        <v>0</v>
      </c>
      <c r="AP92" s="681">
        <f t="shared" si="624"/>
        <v>0</v>
      </c>
      <c r="AQ92" s="681">
        <f>AK92*AQ3</f>
        <v>0</v>
      </c>
      <c r="AS92" s="680">
        <f>574135.62/1000</f>
        <v>574.13562000000002</v>
      </c>
      <c r="AT92" s="560">
        <f>AU92+AV92</f>
        <v>128.00494293816487</v>
      </c>
      <c r="AU92" s="681">
        <f t="shared" si="625"/>
        <v>53.806830188537241</v>
      </c>
      <c r="AV92" s="681">
        <f t="shared" si="626"/>
        <v>74.19811274962764</v>
      </c>
      <c r="AW92" s="681">
        <f t="shared" si="627"/>
        <v>407.86174360928436</v>
      </c>
      <c r="AX92" s="681">
        <f t="shared" si="628"/>
        <v>38.268933452550755</v>
      </c>
      <c r="AY92" s="681">
        <f>AS92*AY3</f>
        <v>0</v>
      </c>
      <c r="BA92" s="680"/>
      <c r="BB92" s="560">
        <f>BC92+BD92</f>
        <v>0</v>
      </c>
      <c r="BC92" s="681">
        <f t="shared" si="629"/>
        <v>0</v>
      </c>
      <c r="BD92" s="681">
        <f t="shared" si="630"/>
        <v>0</v>
      </c>
      <c r="BE92" s="681">
        <f t="shared" si="631"/>
        <v>0</v>
      </c>
      <c r="BF92" s="681">
        <f t="shared" si="632"/>
        <v>0</v>
      </c>
      <c r="BG92" s="681">
        <f>BA92*BG3</f>
        <v>0</v>
      </c>
      <c r="BI92" s="680"/>
      <c r="BJ92" s="560">
        <f>BK92+BL92</f>
        <v>0</v>
      </c>
      <c r="BK92" s="681">
        <f t="shared" si="633"/>
        <v>0</v>
      </c>
      <c r="BL92" s="681">
        <f t="shared" si="634"/>
        <v>0</v>
      </c>
      <c r="BM92" s="681">
        <f t="shared" si="635"/>
        <v>0</v>
      </c>
      <c r="BN92" s="681">
        <f t="shared" si="636"/>
        <v>0</v>
      </c>
      <c r="BO92" s="681">
        <f>BI92*BO3</f>
        <v>0</v>
      </c>
      <c r="BQ92" s="680"/>
      <c r="BR92" s="560">
        <f>BS92+BT92</f>
        <v>0</v>
      </c>
      <c r="BS92" s="681">
        <f t="shared" si="637"/>
        <v>0</v>
      </c>
      <c r="BT92" s="681">
        <f t="shared" si="638"/>
        <v>0</v>
      </c>
      <c r="BU92" s="681">
        <f t="shared" si="639"/>
        <v>0</v>
      </c>
      <c r="BV92" s="681">
        <f t="shared" si="640"/>
        <v>0</v>
      </c>
      <c r="BW92" s="681">
        <f>BQ92*BW3</f>
        <v>0</v>
      </c>
      <c r="BY92" s="680"/>
      <c r="BZ92" s="560">
        <f>CA92+CB92</f>
        <v>0</v>
      </c>
      <c r="CA92" s="681">
        <f t="shared" si="641"/>
        <v>0</v>
      </c>
      <c r="CB92" s="681">
        <f t="shared" si="642"/>
        <v>0</v>
      </c>
      <c r="CC92" s="681">
        <f t="shared" si="643"/>
        <v>0</v>
      </c>
      <c r="CD92" s="681">
        <f t="shared" si="644"/>
        <v>0</v>
      </c>
      <c r="CE92" s="681">
        <f>BY92*CE3</f>
        <v>0</v>
      </c>
      <c r="CG92" s="680"/>
      <c r="CH92" s="560">
        <f t="shared" si="320"/>
        <v>0</v>
      </c>
      <c r="CI92" s="681">
        <f t="shared" si="645"/>
        <v>0</v>
      </c>
      <c r="CJ92" s="681">
        <f t="shared" si="646"/>
        <v>0</v>
      </c>
      <c r="CK92" s="681">
        <f t="shared" si="647"/>
        <v>0</v>
      </c>
      <c r="CL92" s="681">
        <f t="shared" si="648"/>
        <v>0</v>
      </c>
      <c r="CM92" s="681">
        <f>CG92*CM3</f>
        <v>0</v>
      </c>
      <c r="CN92" s="708"/>
      <c r="CO92" s="680"/>
      <c r="CP92" s="560">
        <f t="shared" si="321"/>
        <v>0</v>
      </c>
      <c r="CQ92" s="681">
        <f t="shared" si="649"/>
        <v>0</v>
      </c>
      <c r="CR92" s="681">
        <f t="shared" si="650"/>
        <v>0</v>
      </c>
      <c r="CS92" s="681">
        <f t="shared" si="651"/>
        <v>0</v>
      </c>
      <c r="CT92" s="681">
        <f t="shared" si="652"/>
        <v>0</v>
      </c>
      <c r="CU92" s="681">
        <f>CO92*CU3</f>
        <v>0</v>
      </c>
      <c r="CV92" s="708"/>
      <c r="CW92" s="680"/>
      <c r="CX92" s="560">
        <f t="shared" si="322"/>
        <v>0</v>
      </c>
      <c r="CY92" s="681">
        <f t="shared" si="653"/>
        <v>0</v>
      </c>
      <c r="CZ92" s="681">
        <f t="shared" si="654"/>
        <v>0</v>
      </c>
      <c r="DA92" s="681">
        <f t="shared" si="655"/>
        <v>0</v>
      </c>
      <c r="DB92" s="681">
        <f t="shared" si="656"/>
        <v>0</v>
      </c>
      <c r="DC92" s="681">
        <f>CW92*DC3</f>
        <v>0</v>
      </c>
    </row>
    <row r="93" spans="1:114" s="673" customFormat="1" ht="25.5" customHeight="1">
      <c r="A93" s="674"/>
      <c r="B93" s="678" t="s">
        <v>157</v>
      </c>
      <c r="C93" s="671" t="s">
        <v>9</v>
      </c>
      <c r="D93" s="563">
        <v>6382.8595199999982</v>
      </c>
      <c r="E93" s="560">
        <f t="shared" si="602"/>
        <v>1423.0741660653671</v>
      </c>
      <c r="F93" s="563">
        <v>598.18869679245518</v>
      </c>
      <c r="G93" s="563">
        <v>824.88546927291179</v>
      </c>
      <c r="H93" s="563">
        <f t="shared" si="500"/>
        <v>4713.8372816420879</v>
      </c>
      <c r="I93" s="563">
        <v>245.94807229254408</v>
      </c>
      <c r="J93" s="563"/>
      <c r="K93" s="679" t="s">
        <v>184</v>
      </c>
      <c r="M93" s="680"/>
      <c r="N93" s="560">
        <f t="shared" ref="N93:N98" si="657">O93+P93</f>
        <v>0</v>
      </c>
      <c r="O93" s="681">
        <f>$M$93*$O$3</f>
        <v>0</v>
      </c>
      <c r="P93" s="681">
        <f>$M$93*$P$3</f>
        <v>0</v>
      </c>
      <c r="Q93" s="681">
        <f>$M$93*$Q$3</f>
        <v>0</v>
      </c>
      <c r="R93" s="681">
        <f>$M$93*$R$3</f>
        <v>0</v>
      </c>
      <c r="S93" s="681">
        <f t="shared" si="612"/>
        <v>0</v>
      </c>
      <c r="U93" s="680"/>
      <c r="V93" s="560">
        <f t="shared" ref="V93:V98" si="658">W93+X93</f>
        <v>0</v>
      </c>
      <c r="W93" s="681">
        <f t="shared" si="613"/>
        <v>0</v>
      </c>
      <c r="X93" s="681">
        <f t="shared" si="614"/>
        <v>0</v>
      </c>
      <c r="Y93" s="681">
        <f t="shared" si="615"/>
        <v>0</v>
      </c>
      <c r="Z93" s="681">
        <f t="shared" si="616"/>
        <v>0</v>
      </c>
      <c r="AA93" s="681">
        <f>U93*AA3</f>
        <v>0</v>
      </c>
      <c r="AC93" s="680"/>
      <c r="AD93" s="560">
        <f t="shared" ref="AD93:AD98" si="659">AE93+AF93</f>
        <v>0</v>
      </c>
      <c r="AE93" s="681">
        <f t="shared" si="617"/>
        <v>0</v>
      </c>
      <c r="AF93" s="681">
        <f t="shared" si="618"/>
        <v>0</v>
      </c>
      <c r="AG93" s="681">
        <f t="shared" si="619"/>
        <v>0</v>
      </c>
      <c r="AH93" s="681">
        <f t="shared" si="620"/>
        <v>0</v>
      </c>
      <c r="AI93" s="681">
        <f>AC93*AI3</f>
        <v>0</v>
      </c>
      <c r="AK93" s="680">
        <f>331635/1000</f>
        <v>331.63499999999999</v>
      </c>
      <c r="AL93" s="560">
        <f t="shared" ref="AL93:AL98" si="660">AM93+AN93</f>
        <v>73.938835655760755</v>
      </c>
      <c r="AM93" s="681">
        <f t="shared" si="621"/>
        <v>31.080162087096333</v>
      </c>
      <c r="AN93" s="681">
        <f t="shared" si="622"/>
        <v>42.858673568664429</v>
      </c>
      <c r="AO93" s="681">
        <f t="shared" si="623"/>
        <v>235.59107749117712</v>
      </c>
      <c r="AP93" s="681">
        <f t="shared" si="624"/>
        <v>22.105086853062119</v>
      </c>
      <c r="AQ93" s="681">
        <f>AK93*AQ3</f>
        <v>0</v>
      </c>
      <c r="AS93" s="680">
        <f>216430/1000</f>
        <v>216.43</v>
      </c>
      <c r="AT93" s="560">
        <f t="shared" ref="AT93:AT98" si="661">AU93+AV93</f>
        <v>48.253598688245518</v>
      </c>
      <c r="AU93" s="681">
        <f t="shared" si="625"/>
        <v>20.283382274217917</v>
      </c>
      <c r="AV93" s="681">
        <f t="shared" si="626"/>
        <v>27.970216414027597</v>
      </c>
      <c r="AW93" s="681">
        <f t="shared" si="627"/>
        <v>153.75028842376548</v>
      </c>
      <c r="AX93" s="681">
        <f t="shared" si="628"/>
        <v>14.426112887989008</v>
      </c>
      <c r="AY93" s="681">
        <f>AS93*AY3</f>
        <v>0</v>
      </c>
      <c r="BA93" s="680"/>
      <c r="BB93" s="560">
        <f t="shared" ref="BB93:BB98" si="662">BC93+BD93</f>
        <v>0</v>
      </c>
      <c r="BC93" s="681">
        <f t="shared" si="629"/>
        <v>0</v>
      </c>
      <c r="BD93" s="681">
        <f t="shared" si="630"/>
        <v>0</v>
      </c>
      <c r="BE93" s="681">
        <f t="shared" si="631"/>
        <v>0</v>
      </c>
      <c r="BF93" s="681">
        <f t="shared" si="632"/>
        <v>0</v>
      </c>
      <c r="BG93" s="681">
        <f>BA93*BG3</f>
        <v>0</v>
      </c>
      <c r="BI93" s="680"/>
      <c r="BJ93" s="560">
        <f t="shared" ref="BJ93:BJ98" si="663">BK93+BL93</f>
        <v>0</v>
      </c>
      <c r="BK93" s="681">
        <f t="shared" si="633"/>
        <v>0</v>
      </c>
      <c r="BL93" s="681">
        <f t="shared" si="634"/>
        <v>0</v>
      </c>
      <c r="BM93" s="681">
        <f t="shared" si="635"/>
        <v>0</v>
      </c>
      <c r="BN93" s="681">
        <f t="shared" si="636"/>
        <v>0</v>
      </c>
      <c r="BO93" s="681">
        <f>BI93*BO3</f>
        <v>0</v>
      </c>
      <c r="BQ93" s="680"/>
      <c r="BR93" s="560">
        <f t="shared" ref="BR93:BR98" si="664">BS93+BT93</f>
        <v>0</v>
      </c>
      <c r="BS93" s="681">
        <f t="shared" si="637"/>
        <v>0</v>
      </c>
      <c r="BT93" s="681">
        <f t="shared" si="638"/>
        <v>0</v>
      </c>
      <c r="BU93" s="681">
        <f t="shared" si="639"/>
        <v>0</v>
      </c>
      <c r="BV93" s="681">
        <f t="shared" si="640"/>
        <v>0</v>
      </c>
      <c r="BW93" s="681">
        <f>BQ93*BW3</f>
        <v>0</v>
      </c>
      <c r="BY93" s="680"/>
      <c r="BZ93" s="560">
        <f t="shared" ref="BZ93:BZ98" si="665">CA93+CB93</f>
        <v>0</v>
      </c>
      <c r="CA93" s="681">
        <f t="shared" si="641"/>
        <v>0</v>
      </c>
      <c r="CB93" s="681">
        <f t="shared" si="642"/>
        <v>0</v>
      </c>
      <c r="CC93" s="681">
        <f t="shared" si="643"/>
        <v>0</v>
      </c>
      <c r="CD93" s="681">
        <f t="shared" si="644"/>
        <v>0</v>
      </c>
      <c r="CE93" s="681">
        <f>BY93*CE3</f>
        <v>0</v>
      </c>
      <c r="CG93" s="680"/>
      <c r="CH93" s="560">
        <f t="shared" si="320"/>
        <v>0</v>
      </c>
      <c r="CI93" s="681">
        <f t="shared" si="645"/>
        <v>0</v>
      </c>
      <c r="CJ93" s="681">
        <f t="shared" si="646"/>
        <v>0</v>
      </c>
      <c r="CK93" s="681">
        <f t="shared" si="647"/>
        <v>0</v>
      </c>
      <c r="CL93" s="681">
        <f t="shared" si="648"/>
        <v>0</v>
      </c>
      <c r="CM93" s="681">
        <f>CG93*CM3</f>
        <v>0</v>
      </c>
      <c r="CN93" s="708"/>
      <c r="CO93" s="680"/>
      <c r="CP93" s="560">
        <f t="shared" si="321"/>
        <v>0</v>
      </c>
      <c r="CQ93" s="681">
        <f t="shared" si="649"/>
        <v>0</v>
      </c>
      <c r="CR93" s="681">
        <f t="shared" si="650"/>
        <v>0</v>
      </c>
      <c r="CS93" s="681">
        <f t="shared" si="651"/>
        <v>0</v>
      </c>
      <c r="CT93" s="681">
        <f t="shared" si="652"/>
        <v>0</v>
      </c>
      <c r="CU93" s="681">
        <f>CO93*CU3</f>
        <v>0</v>
      </c>
      <c r="CV93" s="708"/>
      <c r="CW93" s="680"/>
      <c r="CX93" s="560">
        <f t="shared" si="322"/>
        <v>0</v>
      </c>
      <c r="CY93" s="681">
        <f t="shared" si="653"/>
        <v>0</v>
      </c>
      <c r="CZ93" s="681">
        <f t="shared" si="654"/>
        <v>0</v>
      </c>
      <c r="DA93" s="681">
        <f t="shared" si="655"/>
        <v>0</v>
      </c>
      <c r="DB93" s="681">
        <f t="shared" si="656"/>
        <v>0</v>
      </c>
      <c r="DC93" s="681">
        <f>CW93*DC3</f>
        <v>0</v>
      </c>
    </row>
    <row r="94" spans="1:114" s="673" customFormat="1" ht="19.5" customHeight="1">
      <c r="A94" s="674"/>
      <c r="B94" s="678" t="s">
        <v>158</v>
      </c>
      <c r="C94" s="671" t="s">
        <v>9</v>
      </c>
      <c r="D94" s="563">
        <v>312.42857142857144</v>
      </c>
      <c r="E94" s="560">
        <f t="shared" si="602"/>
        <v>69.656715355801566</v>
      </c>
      <c r="F94" s="563">
        <v>29.280174410541569</v>
      </c>
      <c r="G94" s="563">
        <v>40.376540945260004</v>
      </c>
      <c r="H94" s="563">
        <f t="shared" si="500"/>
        <v>230.73317581806634</v>
      </c>
      <c r="I94" s="563">
        <v>12.03868025470355</v>
      </c>
      <c r="J94" s="563"/>
      <c r="K94" s="679" t="s">
        <v>184</v>
      </c>
      <c r="M94" s="680"/>
      <c r="N94" s="560">
        <f t="shared" si="657"/>
        <v>0</v>
      </c>
      <c r="O94" s="681">
        <f>$M$94*$O$3</f>
        <v>0</v>
      </c>
      <c r="P94" s="681">
        <f>$M$94*$P$3</f>
        <v>0</v>
      </c>
      <c r="Q94" s="681">
        <f>$M$94*$Q$3</f>
        <v>0</v>
      </c>
      <c r="R94" s="681">
        <f>$M$94*$R$3</f>
        <v>0</v>
      </c>
      <c r="S94" s="681">
        <f>$M$16*$S$3</f>
        <v>0</v>
      </c>
      <c r="U94" s="680"/>
      <c r="V94" s="560">
        <f t="shared" si="658"/>
        <v>0</v>
      </c>
      <c r="W94" s="681">
        <f t="shared" si="613"/>
        <v>0</v>
      </c>
      <c r="X94" s="681">
        <f t="shared" si="614"/>
        <v>0</v>
      </c>
      <c r="Y94" s="681">
        <f t="shared" si="615"/>
        <v>0</v>
      </c>
      <c r="Z94" s="681">
        <f t="shared" si="616"/>
        <v>0</v>
      </c>
      <c r="AA94" s="681">
        <f>U94*AA3</f>
        <v>0</v>
      </c>
      <c r="AC94" s="680"/>
      <c r="AD94" s="560">
        <f t="shared" si="659"/>
        <v>0</v>
      </c>
      <c r="AE94" s="681">
        <f t="shared" si="617"/>
        <v>0</v>
      </c>
      <c r="AF94" s="681">
        <f t="shared" si="618"/>
        <v>0</v>
      </c>
      <c r="AG94" s="681">
        <f t="shared" si="619"/>
        <v>0</v>
      </c>
      <c r="AH94" s="681">
        <f t="shared" si="620"/>
        <v>0</v>
      </c>
      <c r="AI94" s="681">
        <f>AC94*AI3</f>
        <v>0</v>
      </c>
      <c r="AK94" s="680"/>
      <c r="AL94" s="560">
        <f t="shared" si="660"/>
        <v>0</v>
      </c>
      <c r="AM94" s="681">
        <f t="shared" si="621"/>
        <v>0</v>
      </c>
      <c r="AN94" s="681">
        <f t="shared" si="622"/>
        <v>0</v>
      </c>
      <c r="AO94" s="681">
        <f t="shared" si="623"/>
        <v>0</v>
      </c>
      <c r="AP94" s="681">
        <f t="shared" si="624"/>
        <v>0</v>
      </c>
      <c r="AQ94" s="681">
        <f>AK94*AQ3</f>
        <v>0</v>
      </c>
      <c r="AS94" s="680"/>
      <c r="AT94" s="560">
        <f t="shared" si="661"/>
        <v>0</v>
      </c>
      <c r="AU94" s="681">
        <f t="shared" si="625"/>
        <v>0</v>
      </c>
      <c r="AV94" s="681">
        <f t="shared" si="626"/>
        <v>0</v>
      </c>
      <c r="AW94" s="681">
        <f t="shared" si="627"/>
        <v>0</v>
      </c>
      <c r="AX94" s="681">
        <f t="shared" si="628"/>
        <v>0</v>
      </c>
      <c r="AY94" s="681">
        <f>AS94*AY3</f>
        <v>0</v>
      </c>
      <c r="BA94" s="680"/>
      <c r="BB94" s="560">
        <f t="shared" si="662"/>
        <v>0</v>
      </c>
      <c r="BC94" s="681">
        <f t="shared" si="629"/>
        <v>0</v>
      </c>
      <c r="BD94" s="681">
        <f t="shared" si="630"/>
        <v>0</v>
      </c>
      <c r="BE94" s="681">
        <f t="shared" si="631"/>
        <v>0</v>
      </c>
      <c r="BF94" s="681">
        <f t="shared" si="632"/>
        <v>0</v>
      </c>
      <c r="BG94" s="681">
        <f>BA94*BG3</f>
        <v>0</v>
      </c>
      <c r="BI94" s="680"/>
      <c r="BJ94" s="560">
        <f t="shared" si="663"/>
        <v>0</v>
      </c>
      <c r="BK94" s="681">
        <f t="shared" si="633"/>
        <v>0</v>
      </c>
      <c r="BL94" s="681">
        <f t="shared" si="634"/>
        <v>0</v>
      </c>
      <c r="BM94" s="681">
        <f t="shared" si="635"/>
        <v>0</v>
      </c>
      <c r="BN94" s="681">
        <f t="shared" si="636"/>
        <v>0</v>
      </c>
      <c r="BO94" s="681">
        <f>BI94*BO3</f>
        <v>0</v>
      </c>
      <c r="BQ94" s="680"/>
      <c r="BR94" s="560">
        <f t="shared" si="664"/>
        <v>0</v>
      </c>
      <c r="BS94" s="681">
        <f t="shared" si="637"/>
        <v>0</v>
      </c>
      <c r="BT94" s="681">
        <f t="shared" si="638"/>
        <v>0</v>
      </c>
      <c r="BU94" s="681">
        <f t="shared" si="639"/>
        <v>0</v>
      </c>
      <c r="BV94" s="681">
        <f t="shared" si="640"/>
        <v>0</v>
      </c>
      <c r="BW94" s="681">
        <f>BQ94*BW3</f>
        <v>0</v>
      </c>
      <c r="BY94" s="680"/>
      <c r="BZ94" s="560">
        <f t="shared" si="665"/>
        <v>0</v>
      </c>
      <c r="CA94" s="681">
        <f t="shared" si="641"/>
        <v>0</v>
      </c>
      <c r="CB94" s="681">
        <f t="shared" si="642"/>
        <v>0</v>
      </c>
      <c r="CC94" s="681">
        <f t="shared" si="643"/>
        <v>0</v>
      </c>
      <c r="CD94" s="681">
        <f t="shared" si="644"/>
        <v>0</v>
      </c>
      <c r="CE94" s="681">
        <f>BY94*CE3</f>
        <v>0</v>
      </c>
      <c r="CG94" s="680"/>
      <c r="CH94" s="560">
        <f t="shared" si="320"/>
        <v>0</v>
      </c>
      <c r="CI94" s="681">
        <f t="shared" si="645"/>
        <v>0</v>
      </c>
      <c r="CJ94" s="681">
        <f t="shared" si="646"/>
        <v>0</v>
      </c>
      <c r="CK94" s="681">
        <f t="shared" si="647"/>
        <v>0</v>
      </c>
      <c r="CL94" s="681">
        <f t="shared" si="648"/>
        <v>0</v>
      </c>
      <c r="CM94" s="681">
        <f>CG94*CM3</f>
        <v>0</v>
      </c>
      <c r="CN94" s="708"/>
      <c r="CO94" s="680"/>
      <c r="CP94" s="560">
        <f t="shared" si="321"/>
        <v>0</v>
      </c>
      <c r="CQ94" s="681">
        <f t="shared" si="649"/>
        <v>0</v>
      </c>
      <c r="CR94" s="681">
        <f t="shared" si="650"/>
        <v>0</v>
      </c>
      <c r="CS94" s="681">
        <f t="shared" si="651"/>
        <v>0</v>
      </c>
      <c r="CT94" s="681">
        <f t="shared" si="652"/>
        <v>0</v>
      </c>
      <c r="CU94" s="681">
        <f>CO94*CU3</f>
        <v>0</v>
      </c>
      <c r="CV94" s="708"/>
      <c r="CW94" s="680"/>
      <c r="CX94" s="560">
        <f t="shared" si="322"/>
        <v>0</v>
      </c>
      <c r="CY94" s="681">
        <f t="shared" si="653"/>
        <v>0</v>
      </c>
      <c r="CZ94" s="681">
        <f t="shared" si="654"/>
        <v>0</v>
      </c>
      <c r="DA94" s="681">
        <f t="shared" si="655"/>
        <v>0</v>
      </c>
      <c r="DB94" s="681">
        <f t="shared" si="656"/>
        <v>0</v>
      </c>
      <c r="DC94" s="681">
        <f>CW94*DC3</f>
        <v>0</v>
      </c>
    </row>
    <row r="95" spans="1:114" s="673" customFormat="1" ht="27.75" customHeight="1">
      <c r="A95" s="577"/>
      <c r="B95" s="721" t="s">
        <v>184</v>
      </c>
      <c r="C95" s="579"/>
      <c r="D95" s="579">
        <f>SUM(F95:I95)</f>
        <v>1</v>
      </c>
      <c r="E95" s="579">
        <f t="shared" si="602"/>
        <v>5.1323603871689119E-2</v>
      </c>
      <c r="F95" s="580">
        <f>'ТС-4 усл.ДКРЕМ'!V90</f>
        <v>2.052117273962184E-2</v>
      </c>
      <c r="G95" s="580">
        <f>'ТС-4 усл.ДКРЕМ'!W90</f>
        <v>3.0802431132067279E-2</v>
      </c>
      <c r="H95" s="580">
        <f>'ТС-4 усл.ДКРЕМ'!X90</f>
        <v>0.88792333082756625</v>
      </c>
      <c r="I95" s="580">
        <f>'ТС-4 усл.ДКРЕМ'!Y90</f>
        <v>6.0753065300744626E-2</v>
      </c>
      <c r="J95" s="580">
        <f>'ТС-4 усл.ДКРЕМ'!J90</f>
        <v>0</v>
      </c>
      <c r="K95" s="722"/>
      <c r="L95" s="723"/>
      <c r="M95" s="579">
        <f>SUM(O95:R95)</f>
        <v>0.99999999999999989</v>
      </c>
      <c r="N95" s="579">
        <f t="shared" si="657"/>
        <v>0.19167495673844409</v>
      </c>
      <c r="O95" s="580">
        <v>7.3057513109581224E-2</v>
      </c>
      <c r="P95" s="580">
        <v>0.11861744362886288</v>
      </c>
      <c r="Q95" s="580">
        <v>0.76979245899867299</v>
      </c>
      <c r="R95" s="580">
        <v>3.8532584262882877E-2</v>
      </c>
      <c r="S95" s="580"/>
      <c r="T95" s="723"/>
      <c r="U95" s="579">
        <f>SUM(W95:Z95)</f>
        <v>0.99999999999999989</v>
      </c>
      <c r="V95" s="579">
        <f t="shared" si="658"/>
        <v>0.19167495673844409</v>
      </c>
      <c r="W95" s="580">
        <v>7.3057513109581224E-2</v>
      </c>
      <c r="X95" s="580">
        <v>0.11861744362886288</v>
      </c>
      <c r="Y95" s="580">
        <v>0.76979245899867299</v>
      </c>
      <c r="Z95" s="580">
        <v>3.8532584262882877E-2</v>
      </c>
      <c r="AA95" s="580"/>
      <c r="AB95" s="723"/>
      <c r="AC95" s="579">
        <f>SUM(AE95:AH95)</f>
        <v>0.99999999999999989</v>
      </c>
      <c r="AD95" s="579">
        <f t="shared" si="659"/>
        <v>0.19167495673844409</v>
      </c>
      <c r="AE95" s="580">
        <v>7.3057513109581224E-2</v>
      </c>
      <c r="AF95" s="580">
        <v>0.11861744362886288</v>
      </c>
      <c r="AG95" s="580">
        <v>0.76979245899867299</v>
      </c>
      <c r="AH95" s="580">
        <v>3.8532584262882877E-2</v>
      </c>
      <c r="AI95" s="580"/>
      <c r="AJ95" s="723"/>
      <c r="AK95" s="579">
        <f>SUM(AM95:AP95)</f>
        <v>0.99999999999999989</v>
      </c>
      <c r="AL95" s="579">
        <f t="shared" si="660"/>
        <v>0.19167495673844409</v>
      </c>
      <c r="AM95" s="580">
        <v>7.3057513109581224E-2</v>
      </c>
      <c r="AN95" s="580">
        <v>0.11861744362886288</v>
      </c>
      <c r="AO95" s="580">
        <v>0.76979245899867299</v>
      </c>
      <c r="AP95" s="580">
        <v>3.8532584262882877E-2</v>
      </c>
      <c r="AQ95" s="580"/>
      <c r="AR95" s="723"/>
      <c r="AS95" s="724">
        <f>SUM(AU95:AX95)</f>
        <v>0.99999999999999989</v>
      </c>
      <c r="AT95" s="579">
        <f t="shared" si="661"/>
        <v>0.19167495673844409</v>
      </c>
      <c r="AU95" s="580">
        <v>7.3057513109581224E-2</v>
      </c>
      <c r="AV95" s="580">
        <v>0.11861744362886288</v>
      </c>
      <c r="AW95" s="580">
        <v>0.76979245899867299</v>
      </c>
      <c r="AX95" s="580">
        <v>3.8532584262882877E-2</v>
      </c>
      <c r="AY95" s="580"/>
      <c r="AZ95" s="723"/>
      <c r="BA95" s="579">
        <f>SUM(BC95:BF95)</f>
        <v>0.99999999999999989</v>
      </c>
      <c r="BB95" s="579">
        <f t="shared" si="662"/>
        <v>0.19167495673844409</v>
      </c>
      <c r="BC95" s="580">
        <v>7.3057513109581224E-2</v>
      </c>
      <c r="BD95" s="580">
        <v>0.11861744362886288</v>
      </c>
      <c r="BE95" s="580">
        <v>0.76979245899867299</v>
      </c>
      <c r="BF95" s="580">
        <v>3.8532584262882877E-2</v>
      </c>
      <c r="BG95" s="580"/>
      <c r="BH95" s="723"/>
      <c r="BI95" s="579">
        <f>SUM(BK95:BN95)</f>
        <v>0.99999999999999989</v>
      </c>
      <c r="BJ95" s="579">
        <f t="shared" si="663"/>
        <v>0.19167495673844409</v>
      </c>
      <c r="BK95" s="580">
        <v>7.3057513109581224E-2</v>
      </c>
      <c r="BL95" s="580">
        <v>0.11861744362886288</v>
      </c>
      <c r="BM95" s="580">
        <v>0.76979245899867299</v>
      </c>
      <c r="BN95" s="580">
        <v>3.8532584262882877E-2</v>
      </c>
      <c r="BO95" s="580"/>
      <c r="BP95" s="723"/>
      <c r="BQ95" s="579">
        <f>SUM(BS95:BV95)</f>
        <v>0.99999999999999989</v>
      </c>
      <c r="BR95" s="579">
        <f t="shared" si="664"/>
        <v>0.19167495673844409</v>
      </c>
      <c r="BS95" s="580">
        <v>7.3057513109581224E-2</v>
      </c>
      <c r="BT95" s="580">
        <v>0.11861744362886288</v>
      </c>
      <c r="BU95" s="580">
        <v>0.76979245899867299</v>
      </c>
      <c r="BV95" s="580">
        <v>3.8532584262882877E-2</v>
      </c>
      <c r="BW95" s="580"/>
      <c r="BX95" s="723"/>
      <c r="BY95" s="579">
        <f>SUM(CA95:CD95)</f>
        <v>0.99999999999999989</v>
      </c>
      <c r="BZ95" s="579">
        <f t="shared" si="665"/>
        <v>0.19167495673844409</v>
      </c>
      <c r="CA95" s="580">
        <v>7.3057513109581224E-2</v>
      </c>
      <c r="CB95" s="580">
        <v>0.11861744362886288</v>
      </c>
      <c r="CC95" s="580">
        <v>0.76979245899867299</v>
      </c>
      <c r="CD95" s="580">
        <v>3.8532584262882877E-2</v>
      </c>
      <c r="CE95" s="580"/>
      <c r="CF95" s="723"/>
      <c r="CG95" s="579">
        <f>SUM(CI95:CL95)</f>
        <v>0.99999999999999989</v>
      </c>
      <c r="CH95" s="579">
        <f t="shared" si="320"/>
        <v>0.19167495673844409</v>
      </c>
      <c r="CI95" s="580">
        <v>7.3057513109581224E-2</v>
      </c>
      <c r="CJ95" s="580">
        <v>0.11861744362886288</v>
      </c>
      <c r="CK95" s="580">
        <v>0.76979245899867299</v>
      </c>
      <c r="CL95" s="580">
        <v>3.8532584262882877E-2</v>
      </c>
      <c r="CM95" s="580"/>
      <c r="CN95" s="723"/>
      <c r="CO95" s="579">
        <f>SUM(CQ95:CT95)</f>
        <v>0.99999999999999989</v>
      </c>
      <c r="CP95" s="579">
        <f t="shared" si="321"/>
        <v>0.19167495673844409</v>
      </c>
      <c r="CQ95" s="580">
        <v>7.3057513109581224E-2</v>
      </c>
      <c r="CR95" s="580">
        <v>0.11861744362886288</v>
      </c>
      <c r="CS95" s="580">
        <v>0.76979245899867299</v>
      </c>
      <c r="CT95" s="580">
        <v>3.8532584262882877E-2</v>
      </c>
      <c r="CU95" s="580"/>
      <c r="CV95" s="723"/>
      <c r="CW95" s="579">
        <f>SUM(CY95:DB95)</f>
        <v>0.99999999999999989</v>
      </c>
      <c r="CX95" s="579">
        <f t="shared" si="322"/>
        <v>0.19167495673844409</v>
      </c>
      <c r="CY95" s="580">
        <v>7.3057513109581224E-2</v>
      </c>
      <c r="CZ95" s="580">
        <v>0.11861744362886288</v>
      </c>
      <c r="DA95" s="580">
        <v>0.76979245899867299</v>
      </c>
      <c r="DB95" s="580">
        <v>3.8532584262882877E-2</v>
      </c>
      <c r="DC95" s="580"/>
      <c r="DD95" s="723"/>
    </row>
    <row r="96" spans="1:114" s="673" customFormat="1" ht="27.75" customHeight="1">
      <c r="A96" s="577"/>
      <c r="B96" s="721" t="s">
        <v>185</v>
      </c>
      <c r="C96" s="579"/>
      <c r="D96" s="579">
        <f>SUM(F96:I96)</f>
        <v>1</v>
      </c>
      <c r="E96" s="579">
        <f t="shared" si="602"/>
        <v>0.28753895830259329</v>
      </c>
      <c r="F96" s="580">
        <f>'ТС-4 усл.ДКРЕМ'!V91</f>
        <v>0.14656798787301509</v>
      </c>
      <c r="G96" s="580">
        <f>'ТС-4 усл.ДКРЕМ'!W91</f>
        <v>0.14097097042957821</v>
      </c>
      <c r="H96" s="580">
        <f>'ТС-4 усл.ДКРЕМ'!X91</f>
        <v>0.7010270034221</v>
      </c>
      <c r="I96" s="580">
        <f>'ТС-4 усл.ДКРЕМ'!Y91</f>
        <v>1.1434038275306684E-2</v>
      </c>
      <c r="J96" s="580">
        <f>'ТС-4 усл.ДКРЕМ'!J91</f>
        <v>0</v>
      </c>
      <c r="K96" s="722"/>
      <c r="L96" s="723"/>
      <c r="M96" s="579">
        <f>SUM(O96:R96)</f>
        <v>1</v>
      </c>
      <c r="N96" s="579">
        <f t="shared" si="657"/>
        <v>0.28684649034106707</v>
      </c>
      <c r="O96" s="580">
        <v>0.15263551896283936</v>
      </c>
      <c r="P96" s="580">
        <v>0.13421097137822771</v>
      </c>
      <c r="Q96" s="580">
        <v>0.70171947138362623</v>
      </c>
      <c r="R96" s="580">
        <v>1.1434038275306684E-2</v>
      </c>
      <c r="S96" s="580"/>
      <c r="T96" s="723"/>
      <c r="U96" s="579">
        <f>SUM(W96:Z96)</f>
        <v>1</v>
      </c>
      <c r="V96" s="579">
        <f t="shared" si="658"/>
        <v>0.28684649034106707</v>
      </c>
      <c r="W96" s="580">
        <v>0.15263551896283936</v>
      </c>
      <c r="X96" s="580">
        <v>0.13421097137822771</v>
      </c>
      <c r="Y96" s="580">
        <v>0.70171947138362623</v>
      </c>
      <c r="Z96" s="580">
        <v>1.1434038275306684E-2</v>
      </c>
      <c r="AA96" s="580"/>
      <c r="AB96" s="723"/>
      <c r="AC96" s="579">
        <f>SUM(AE96:AH96)</f>
        <v>1</v>
      </c>
      <c r="AD96" s="579">
        <f t="shared" si="659"/>
        <v>0.28684649034106707</v>
      </c>
      <c r="AE96" s="580">
        <v>0.15263551896283936</v>
      </c>
      <c r="AF96" s="580">
        <v>0.13421097137822771</v>
      </c>
      <c r="AG96" s="580">
        <v>0.70171947138362623</v>
      </c>
      <c r="AH96" s="580">
        <v>1.1434038275306684E-2</v>
      </c>
      <c r="AI96" s="580"/>
      <c r="AJ96" s="723"/>
      <c r="AK96" s="579">
        <f>SUM(AM96:AP96)</f>
        <v>1</v>
      </c>
      <c r="AL96" s="579">
        <f t="shared" si="660"/>
        <v>0.28684649034106707</v>
      </c>
      <c r="AM96" s="580">
        <v>0.15263551896283936</v>
      </c>
      <c r="AN96" s="580">
        <v>0.13421097137822771</v>
      </c>
      <c r="AO96" s="580">
        <v>0.70171947138362623</v>
      </c>
      <c r="AP96" s="580">
        <v>1.1434038275306684E-2</v>
      </c>
      <c r="AQ96" s="580"/>
      <c r="AR96" s="723"/>
      <c r="AS96" s="724">
        <f>SUM(AU96:AX96)</f>
        <v>1</v>
      </c>
      <c r="AT96" s="579">
        <f t="shared" si="661"/>
        <v>0.28684649034106707</v>
      </c>
      <c r="AU96" s="580">
        <v>0.15263551896283936</v>
      </c>
      <c r="AV96" s="580">
        <v>0.13421097137822771</v>
      </c>
      <c r="AW96" s="580">
        <v>0.70171947138362623</v>
      </c>
      <c r="AX96" s="580">
        <v>1.1434038275306684E-2</v>
      </c>
      <c r="AY96" s="580"/>
      <c r="AZ96" s="723"/>
      <c r="BA96" s="579">
        <f>SUM(BC96:BF96)</f>
        <v>1</v>
      </c>
      <c r="BB96" s="579">
        <f t="shared" si="662"/>
        <v>0.28684649034106707</v>
      </c>
      <c r="BC96" s="580">
        <v>0.15263551896283936</v>
      </c>
      <c r="BD96" s="580">
        <v>0.13421097137822771</v>
      </c>
      <c r="BE96" s="580">
        <v>0.70171947138362623</v>
      </c>
      <c r="BF96" s="580">
        <v>1.1434038275306684E-2</v>
      </c>
      <c r="BG96" s="580"/>
      <c r="BH96" s="723"/>
      <c r="BI96" s="579">
        <f>SUM(BK96:BN96)</f>
        <v>1</v>
      </c>
      <c r="BJ96" s="579">
        <f t="shared" si="663"/>
        <v>0.28684649034106707</v>
      </c>
      <c r="BK96" s="580">
        <v>0.15263551896283936</v>
      </c>
      <c r="BL96" s="580">
        <v>0.13421097137822771</v>
      </c>
      <c r="BM96" s="580">
        <v>0.70171947138362623</v>
      </c>
      <c r="BN96" s="580">
        <v>1.1434038275306684E-2</v>
      </c>
      <c r="BO96" s="580"/>
      <c r="BP96" s="723"/>
      <c r="BQ96" s="579">
        <f>SUM(BS96:BV96)</f>
        <v>1</v>
      </c>
      <c r="BR96" s="579">
        <f t="shared" si="664"/>
        <v>0.28684649034106707</v>
      </c>
      <c r="BS96" s="580">
        <v>0.15263551896283936</v>
      </c>
      <c r="BT96" s="580">
        <v>0.13421097137822771</v>
      </c>
      <c r="BU96" s="580">
        <v>0.70171947138362623</v>
      </c>
      <c r="BV96" s="580">
        <v>1.1434038275306684E-2</v>
      </c>
      <c r="BW96" s="580"/>
      <c r="BX96" s="723"/>
      <c r="BY96" s="579">
        <f>SUM(CA96:CD96)</f>
        <v>1</v>
      </c>
      <c r="BZ96" s="579">
        <f t="shared" si="665"/>
        <v>0.28684649034106707</v>
      </c>
      <c r="CA96" s="580">
        <v>0.15263551896283936</v>
      </c>
      <c r="CB96" s="580">
        <v>0.13421097137822771</v>
      </c>
      <c r="CC96" s="580">
        <v>0.70171947138362623</v>
      </c>
      <c r="CD96" s="580">
        <v>1.1434038275306684E-2</v>
      </c>
      <c r="CE96" s="580"/>
      <c r="CF96" s="723"/>
      <c r="CG96" s="579">
        <f>SUM(CI96:CL96)</f>
        <v>1</v>
      </c>
      <c r="CH96" s="579">
        <f t="shared" si="320"/>
        <v>0.28684649034106707</v>
      </c>
      <c r="CI96" s="580">
        <v>0.15263551896283936</v>
      </c>
      <c r="CJ96" s="580">
        <v>0.13421097137822771</v>
      </c>
      <c r="CK96" s="580">
        <v>0.70171947138362623</v>
      </c>
      <c r="CL96" s="580">
        <v>1.1434038275306684E-2</v>
      </c>
      <c r="CM96" s="580"/>
      <c r="CN96" s="723"/>
      <c r="CO96" s="579">
        <f>SUM(CQ96:CT96)</f>
        <v>1</v>
      </c>
      <c r="CP96" s="579">
        <f t="shared" si="321"/>
        <v>0.28684649034106707</v>
      </c>
      <c r="CQ96" s="580">
        <v>0.15263551896283936</v>
      </c>
      <c r="CR96" s="580">
        <v>0.13421097137822771</v>
      </c>
      <c r="CS96" s="580">
        <v>0.70171947138362623</v>
      </c>
      <c r="CT96" s="580">
        <v>1.1434038275306684E-2</v>
      </c>
      <c r="CU96" s="580"/>
      <c r="CV96" s="723"/>
      <c r="CW96" s="579">
        <f>SUM(CY96:DB96)</f>
        <v>1</v>
      </c>
      <c r="CX96" s="579">
        <f t="shared" si="322"/>
        <v>0.28684649034106707</v>
      </c>
      <c r="CY96" s="580">
        <v>0.15263551896283936</v>
      </c>
      <c r="CZ96" s="580">
        <v>0.13421097137822771</v>
      </c>
      <c r="DA96" s="580">
        <v>0.70171947138362623</v>
      </c>
      <c r="DB96" s="580">
        <v>1.1434038275306684E-2</v>
      </c>
      <c r="DC96" s="580"/>
      <c r="DD96" s="723"/>
    </row>
    <row r="97" spans="1:117" s="673" customFormat="1" ht="27.75" customHeight="1">
      <c r="A97" s="577"/>
      <c r="B97" s="725" t="s">
        <v>186</v>
      </c>
      <c r="C97" s="579"/>
      <c r="D97" s="579">
        <f>SUM(F97:I97)</f>
        <v>0.99999999999999689</v>
      </c>
      <c r="E97" s="579">
        <f t="shared" si="602"/>
        <v>0.76465284868736805</v>
      </c>
      <c r="F97" s="580">
        <f>'ТС-4 усл.ДКРЕМ'!V92</f>
        <v>0.43947659590678745</v>
      </c>
      <c r="G97" s="580">
        <f>'ТС-4 усл.ДКРЕМ'!W92</f>
        <v>0.32517625278058054</v>
      </c>
      <c r="H97" s="580">
        <f>'ТС-4 усл.ДКРЕМ'!X92</f>
        <v>0.23159429233874138</v>
      </c>
      <c r="I97" s="580">
        <f>'ТС-4 усл.ДКРЕМ'!Y92</f>
        <v>3.7528589738874125E-3</v>
      </c>
      <c r="J97" s="580">
        <f>'ТС-4 усл.ДКРЕМ'!J92</f>
        <v>0</v>
      </c>
      <c r="K97" s="726"/>
      <c r="L97" s="723"/>
      <c r="M97" s="579">
        <f>SUM(O97:R97)</f>
        <v>1</v>
      </c>
      <c r="N97" s="579">
        <f t="shared" si="657"/>
        <v>0.80355709560497379</v>
      </c>
      <c r="O97" s="580">
        <v>0.47838084282784826</v>
      </c>
      <c r="P97" s="580">
        <v>0.32517625277712553</v>
      </c>
      <c r="Q97" s="580">
        <v>0.19269004542111287</v>
      </c>
      <c r="R97" s="587">
        <v>3.752858973913328E-3</v>
      </c>
      <c r="S97" s="587"/>
      <c r="T97" s="723"/>
      <c r="U97" s="579">
        <f>SUM(W97:Z97)</f>
        <v>1</v>
      </c>
      <c r="V97" s="579">
        <f t="shared" si="658"/>
        <v>0.80355709560497379</v>
      </c>
      <c r="W97" s="580">
        <v>0.47838084282784826</v>
      </c>
      <c r="X97" s="580">
        <v>0.32517625277712553</v>
      </c>
      <c r="Y97" s="580">
        <v>0.19269004542111287</v>
      </c>
      <c r="Z97" s="587">
        <v>3.752858973913328E-3</v>
      </c>
      <c r="AA97" s="587"/>
      <c r="AB97" s="723"/>
      <c r="AC97" s="579">
        <f>SUM(AE97:AH97)</f>
        <v>1</v>
      </c>
      <c r="AD97" s="579">
        <f t="shared" si="659"/>
        <v>0.80355709560497379</v>
      </c>
      <c r="AE97" s="580">
        <v>0.47838084282784826</v>
      </c>
      <c r="AF97" s="580">
        <v>0.32517625277712553</v>
      </c>
      <c r="AG97" s="580">
        <v>0.19269004542111287</v>
      </c>
      <c r="AH97" s="587">
        <v>3.752858973913328E-3</v>
      </c>
      <c r="AI97" s="587"/>
      <c r="AJ97" s="723"/>
      <c r="AK97" s="579">
        <f>SUM(AM97:AP97)</f>
        <v>1</v>
      </c>
      <c r="AL97" s="579">
        <f t="shared" si="660"/>
        <v>0.80355709560497379</v>
      </c>
      <c r="AM97" s="580">
        <v>0.47838084282784826</v>
      </c>
      <c r="AN97" s="580">
        <v>0.32517625277712553</v>
      </c>
      <c r="AO97" s="580">
        <v>0.19269004542111287</v>
      </c>
      <c r="AP97" s="587">
        <v>3.752858973913328E-3</v>
      </c>
      <c r="AQ97" s="587"/>
      <c r="AR97" s="723"/>
      <c r="AS97" s="724">
        <f>SUM(AU97:AX97)</f>
        <v>1</v>
      </c>
      <c r="AT97" s="579">
        <f t="shared" si="661"/>
        <v>0.80355709560497379</v>
      </c>
      <c r="AU97" s="580">
        <v>0.47838084282784826</v>
      </c>
      <c r="AV97" s="580">
        <v>0.32517625277712553</v>
      </c>
      <c r="AW97" s="580">
        <v>0.19269004542111287</v>
      </c>
      <c r="AX97" s="587">
        <v>3.752858973913328E-3</v>
      </c>
      <c r="AY97" s="587"/>
      <c r="AZ97" s="723"/>
      <c r="BA97" s="579">
        <f>SUM(BC97:BF97)</f>
        <v>1</v>
      </c>
      <c r="BB97" s="579">
        <f t="shared" si="662"/>
        <v>0.80355709560497379</v>
      </c>
      <c r="BC97" s="580">
        <v>0.47838084282784826</v>
      </c>
      <c r="BD97" s="580">
        <v>0.32517625277712553</v>
      </c>
      <c r="BE97" s="580">
        <v>0.19269004542111287</v>
      </c>
      <c r="BF97" s="587">
        <v>3.752858973913328E-3</v>
      </c>
      <c r="BG97" s="587"/>
      <c r="BH97" s="723"/>
      <c r="BI97" s="579">
        <f>SUM(BK97:BN97)</f>
        <v>1</v>
      </c>
      <c r="BJ97" s="579">
        <f t="shared" si="663"/>
        <v>0.80355709560497379</v>
      </c>
      <c r="BK97" s="580">
        <v>0.47838084282784826</v>
      </c>
      <c r="BL97" s="580">
        <v>0.32517625277712553</v>
      </c>
      <c r="BM97" s="580">
        <v>0.19269004542111287</v>
      </c>
      <c r="BN97" s="587">
        <v>3.752858973913328E-3</v>
      </c>
      <c r="BO97" s="587"/>
      <c r="BP97" s="723"/>
      <c r="BQ97" s="579">
        <f>SUM(BS97:BV97)</f>
        <v>1</v>
      </c>
      <c r="BR97" s="579">
        <f t="shared" si="664"/>
        <v>0.80355709560497379</v>
      </c>
      <c r="BS97" s="580">
        <v>0.47838084282784826</v>
      </c>
      <c r="BT97" s="580">
        <v>0.32517625277712553</v>
      </c>
      <c r="BU97" s="580">
        <v>0.19269004542111287</v>
      </c>
      <c r="BV97" s="587">
        <v>3.752858973913328E-3</v>
      </c>
      <c r="BW97" s="587"/>
      <c r="BX97" s="723"/>
      <c r="BY97" s="579">
        <f>SUM(CA97:CD97)</f>
        <v>1</v>
      </c>
      <c r="BZ97" s="579">
        <f t="shared" si="665"/>
        <v>0.80355709560497379</v>
      </c>
      <c r="CA97" s="580">
        <v>0.47838084282784826</v>
      </c>
      <c r="CB97" s="580">
        <v>0.32517625277712553</v>
      </c>
      <c r="CC97" s="580">
        <v>0.19269004542111287</v>
      </c>
      <c r="CD97" s="587">
        <v>3.752858973913328E-3</v>
      </c>
      <c r="CE97" s="587"/>
      <c r="CF97" s="723"/>
      <c r="CG97" s="579">
        <f>SUM(CI97:CL97)</f>
        <v>1</v>
      </c>
      <c r="CH97" s="579">
        <f t="shared" si="320"/>
        <v>0.80355709560497379</v>
      </c>
      <c r="CI97" s="580">
        <v>0.47838084282784826</v>
      </c>
      <c r="CJ97" s="580">
        <v>0.32517625277712553</v>
      </c>
      <c r="CK97" s="580">
        <v>0.19269004542111287</v>
      </c>
      <c r="CL97" s="587">
        <v>3.752858973913328E-3</v>
      </c>
      <c r="CM97" s="587"/>
      <c r="CN97" s="723"/>
      <c r="CO97" s="579">
        <f>SUM(CQ97:CT97)</f>
        <v>1</v>
      </c>
      <c r="CP97" s="579">
        <f t="shared" si="321"/>
        <v>0.80355709560497379</v>
      </c>
      <c r="CQ97" s="580">
        <v>0.47838084282784826</v>
      </c>
      <c r="CR97" s="580">
        <v>0.32517625277712553</v>
      </c>
      <c r="CS97" s="580">
        <v>0.19269004542111287</v>
      </c>
      <c r="CT97" s="587">
        <v>3.752858973913328E-3</v>
      </c>
      <c r="CU97" s="587"/>
      <c r="CV97" s="723"/>
      <c r="CW97" s="579">
        <f>SUM(CY97:DB97)</f>
        <v>1</v>
      </c>
      <c r="CX97" s="579">
        <f t="shared" si="322"/>
        <v>0.80355709560497379</v>
      </c>
      <c r="CY97" s="580">
        <v>0.47838084282784826</v>
      </c>
      <c r="CZ97" s="580">
        <v>0.32517625277712553</v>
      </c>
      <c r="DA97" s="580">
        <v>0.19269004542111287</v>
      </c>
      <c r="DB97" s="587">
        <v>3.752858973913328E-3</v>
      </c>
      <c r="DC97" s="587"/>
      <c r="DD97" s="723"/>
    </row>
    <row r="98" spans="1:117" s="673" customFormat="1" ht="27.75" customHeight="1">
      <c r="A98" s="577"/>
      <c r="B98" s="725" t="s">
        <v>202</v>
      </c>
      <c r="C98" s="579"/>
      <c r="D98" s="579">
        <f>SUM(F98:I98)</f>
        <v>1</v>
      </c>
      <c r="E98" s="579">
        <f t="shared" si="602"/>
        <v>0.90328307817684383</v>
      </c>
      <c r="F98" s="580">
        <f>'ТС-4 усл.ДКРЕМ'!V93</f>
        <v>0.3585191221840619</v>
      </c>
      <c r="G98" s="580">
        <f>'ТС-4 усл.ДКРЕМ'!W93</f>
        <v>0.54476395599278193</v>
      </c>
      <c r="H98" s="580">
        <f>'ТС-4 усл.ДКРЕМ'!X93</f>
        <v>9.6716921823156166E-2</v>
      </c>
      <c r="I98" s="580">
        <f>'ТС-4 усл.ДКРЕМ'!Y93</f>
        <v>0</v>
      </c>
      <c r="J98" s="580">
        <f>'ТС-4 усл.ДКРЕМ'!J93</f>
        <v>0</v>
      </c>
      <c r="K98" s="726"/>
      <c r="L98" s="723"/>
      <c r="M98" s="579">
        <f>SUM(O98:R98)</f>
        <v>1</v>
      </c>
      <c r="N98" s="579">
        <f t="shared" si="657"/>
        <v>0.90328307817684383</v>
      </c>
      <c r="O98" s="580">
        <v>0.3585191221840619</v>
      </c>
      <c r="P98" s="580">
        <v>0.54476395599278193</v>
      </c>
      <c r="Q98" s="580">
        <v>9.6716921823156166E-2</v>
      </c>
      <c r="R98" s="587">
        <v>0</v>
      </c>
      <c r="S98" s="587"/>
      <c r="T98" s="723"/>
      <c r="U98" s="579">
        <f>SUM(W98:Z98)</f>
        <v>1</v>
      </c>
      <c r="V98" s="579">
        <f t="shared" si="658"/>
        <v>0.90328307817684383</v>
      </c>
      <c r="W98" s="580">
        <v>0.3585191221840619</v>
      </c>
      <c r="X98" s="580">
        <v>0.54476395599278193</v>
      </c>
      <c r="Y98" s="580">
        <v>9.6716921823156166E-2</v>
      </c>
      <c r="Z98" s="587">
        <v>0</v>
      </c>
      <c r="AA98" s="587"/>
      <c r="AB98" s="723"/>
      <c r="AC98" s="579">
        <f>SUM(AE98:AH98)</f>
        <v>1</v>
      </c>
      <c r="AD98" s="579">
        <f t="shared" si="659"/>
        <v>0.90328307817684383</v>
      </c>
      <c r="AE98" s="580">
        <v>0.3585191221840619</v>
      </c>
      <c r="AF98" s="580">
        <v>0.54476395599278193</v>
      </c>
      <c r="AG98" s="580">
        <v>9.6716921823156166E-2</v>
      </c>
      <c r="AH98" s="587">
        <v>0</v>
      </c>
      <c r="AI98" s="587"/>
      <c r="AJ98" s="723"/>
      <c r="AK98" s="579">
        <f>SUM(AM98:AP98)</f>
        <v>1</v>
      </c>
      <c r="AL98" s="579">
        <f t="shared" si="660"/>
        <v>0.90328307817684383</v>
      </c>
      <c r="AM98" s="580">
        <v>0.3585191221840619</v>
      </c>
      <c r="AN98" s="580">
        <v>0.54476395599278193</v>
      </c>
      <c r="AO98" s="580">
        <v>9.6716921823156166E-2</v>
      </c>
      <c r="AP98" s="587">
        <v>0</v>
      </c>
      <c r="AQ98" s="587"/>
      <c r="AR98" s="723"/>
      <c r="AS98" s="724">
        <f>SUM(AU98:AX98)</f>
        <v>1</v>
      </c>
      <c r="AT98" s="579">
        <f t="shared" si="661"/>
        <v>0.90328307817684383</v>
      </c>
      <c r="AU98" s="580">
        <v>0.3585191221840619</v>
      </c>
      <c r="AV98" s="580">
        <v>0.54476395599278193</v>
      </c>
      <c r="AW98" s="580">
        <v>9.6716921823156166E-2</v>
      </c>
      <c r="AX98" s="587">
        <v>0</v>
      </c>
      <c r="AY98" s="587"/>
      <c r="AZ98" s="723"/>
      <c r="BA98" s="579">
        <f>SUM(BC98:BF98)</f>
        <v>1</v>
      </c>
      <c r="BB98" s="579">
        <f t="shared" si="662"/>
        <v>0.90328307817684383</v>
      </c>
      <c r="BC98" s="580">
        <v>0.3585191221840619</v>
      </c>
      <c r="BD98" s="580">
        <v>0.54476395599278193</v>
      </c>
      <c r="BE98" s="580">
        <v>9.6716921823156166E-2</v>
      </c>
      <c r="BF98" s="587">
        <v>0</v>
      </c>
      <c r="BG98" s="587"/>
      <c r="BH98" s="723"/>
      <c r="BI98" s="579">
        <f>SUM(BK98:BN98)</f>
        <v>1</v>
      </c>
      <c r="BJ98" s="579">
        <f t="shared" si="663"/>
        <v>0.90328307817684383</v>
      </c>
      <c r="BK98" s="580">
        <v>0.3585191221840619</v>
      </c>
      <c r="BL98" s="580">
        <v>0.54476395599278193</v>
      </c>
      <c r="BM98" s="580">
        <v>9.6716921823156166E-2</v>
      </c>
      <c r="BN98" s="587">
        <v>0</v>
      </c>
      <c r="BO98" s="587"/>
      <c r="BP98" s="723"/>
      <c r="BQ98" s="579">
        <f>SUM(BS98:BV98)</f>
        <v>1</v>
      </c>
      <c r="BR98" s="579">
        <f t="shared" si="664"/>
        <v>0.90328307817684383</v>
      </c>
      <c r="BS98" s="580">
        <v>0.3585191221840619</v>
      </c>
      <c r="BT98" s="580">
        <v>0.54476395599278193</v>
      </c>
      <c r="BU98" s="580">
        <v>9.6716921823156166E-2</v>
      </c>
      <c r="BV98" s="587">
        <v>0</v>
      </c>
      <c r="BW98" s="587"/>
      <c r="BX98" s="723"/>
      <c r="BY98" s="579">
        <f>SUM(CA98:CD98)</f>
        <v>1</v>
      </c>
      <c r="BZ98" s="579">
        <f t="shared" si="665"/>
        <v>0.90328307817684383</v>
      </c>
      <c r="CA98" s="580">
        <v>0.3585191221840619</v>
      </c>
      <c r="CB98" s="580">
        <v>0.54476395599278193</v>
      </c>
      <c r="CC98" s="580">
        <v>9.6716921823156166E-2</v>
      </c>
      <c r="CD98" s="587">
        <v>0</v>
      </c>
      <c r="CE98" s="587"/>
      <c r="CF98" s="723"/>
      <c r="CG98" s="579">
        <f>SUM(CI98:CL98)</f>
        <v>1</v>
      </c>
      <c r="CH98" s="579">
        <f t="shared" si="320"/>
        <v>0.90328307817684383</v>
      </c>
      <c r="CI98" s="580">
        <v>0.3585191221840619</v>
      </c>
      <c r="CJ98" s="580">
        <v>0.54476395599278193</v>
      </c>
      <c r="CK98" s="580">
        <v>9.6716921823156166E-2</v>
      </c>
      <c r="CL98" s="587">
        <v>0</v>
      </c>
      <c r="CM98" s="587"/>
      <c r="CN98" s="723"/>
      <c r="CO98" s="579">
        <f>SUM(CQ98:CT98)</f>
        <v>1</v>
      </c>
      <c r="CP98" s="579">
        <f t="shared" si="321"/>
        <v>0.90328307817684383</v>
      </c>
      <c r="CQ98" s="580">
        <v>0.3585191221840619</v>
      </c>
      <c r="CR98" s="580">
        <v>0.54476395599278193</v>
      </c>
      <c r="CS98" s="580">
        <v>9.6716921823156166E-2</v>
      </c>
      <c r="CT98" s="587">
        <v>0</v>
      </c>
      <c r="CU98" s="587"/>
      <c r="CV98" s="723"/>
      <c r="CW98" s="579">
        <f>SUM(CY98:DB98)</f>
        <v>1</v>
      </c>
      <c r="CX98" s="579">
        <f t="shared" si="322"/>
        <v>0.90328307817684383</v>
      </c>
      <c r="CY98" s="580">
        <v>0.3585191221840619</v>
      </c>
      <c r="CZ98" s="580">
        <v>0.54476395599278193</v>
      </c>
      <c r="DA98" s="580">
        <v>9.6716921823156166E-2</v>
      </c>
      <c r="DB98" s="587">
        <v>0</v>
      </c>
      <c r="DC98" s="587"/>
      <c r="DD98" s="723"/>
    </row>
    <row r="99" spans="1:117" s="673" customFormat="1" ht="39.75" customHeight="1">
      <c r="A99" s="669" t="s">
        <v>45</v>
      </c>
      <c r="B99" s="670" t="s">
        <v>274</v>
      </c>
      <c r="C99" s="660" t="s">
        <v>9</v>
      </c>
      <c r="D99" s="550">
        <f>D100+D140</f>
        <v>3265785.471496609</v>
      </c>
      <c r="E99" s="550">
        <f>F99+G99</f>
        <v>1760405.7694853465</v>
      </c>
      <c r="F99" s="550">
        <f>F100+F140</f>
        <v>957474.9034175683</v>
      </c>
      <c r="G99" s="550">
        <f>G100+G140</f>
        <v>802930.86606777809</v>
      </c>
      <c r="H99" s="550">
        <f>H100+H140</f>
        <v>1486213.4185753881</v>
      </c>
      <c r="I99" s="550">
        <f>I100+I140</f>
        <v>19166.283435874579</v>
      </c>
      <c r="J99" s="550">
        <f>J100+J140</f>
        <v>0</v>
      </c>
      <c r="K99" s="695"/>
      <c r="M99" s="550">
        <f>M100+M140</f>
        <v>292015.05365000002</v>
      </c>
      <c r="N99" s="550">
        <f>O99+P99</f>
        <v>215335.39182047645</v>
      </c>
      <c r="O99" s="550">
        <f>O100+O140</f>
        <v>121562.30743743155</v>
      </c>
      <c r="P99" s="550">
        <f>P100+P140</f>
        <v>93773.084383044916</v>
      </c>
      <c r="Q99" s="550">
        <f>Q100+Q140</f>
        <v>69668.955167658598</v>
      </c>
      <c r="R99" s="550">
        <f>R100+R140</f>
        <v>7010.7066618649387</v>
      </c>
      <c r="S99" s="550">
        <f>S100+S140</f>
        <v>0</v>
      </c>
      <c r="U99" s="550">
        <f>U100+U140</f>
        <v>271123.55119000003</v>
      </c>
      <c r="V99" s="550">
        <f>W99+X99</f>
        <v>205838.56216099055</v>
      </c>
      <c r="W99" s="550">
        <f>W100+W140</f>
        <v>116570.15067995645</v>
      </c>
      <c r="X99" s="550">
        <f>X100+X140</f>
        <v>89268.411481034113</v>
      </c>
      <c r="Y99" s="550">
        <f>Y100+Y140</f>
        <v>59265.052586009901</v>
      </c>
      <c r="Z99" s="550">
        <f>Z100+Z140</f>
        <v>6019.9364429995394</v>
      </c>
      <c r="AA99" s="550">
        <f>AA100+AA140</f>
        <v>0</v>
      </c>
      <c r="AC99" s="550">
        <f>AC100+AC140</f>
        <v>281446.82108000002</v>
      </c>
      <c r="AD99" s="550">
        <f>AE99+AF99</f>
        <v>212964.11214779719</v>
      </c>
      <c r="AE99" s="550">
        <f>AE100+AE140</f>
        <v>120562.28151214596</v>
      </c>
      <c r="AF99" s="550">
        <f>AF100+AF140</f>
        <v>92401.830635651248</v>
      </c>
      <c r="AG99" s="550">
        <f>AG100+AG140</f>
        <v>62174.573770322975</v>
      </c>
      <c r="AH99" s="550">
        <f>AH100+AH140</f>
        <v>6308.1351618798153</v>
      </c>
      <c r="AI99" s="550">
        <f>AI100+AI140</f>
        <v>0</v>
      </c>
      <c r="AK99" s="550">
        <f>AK100+AK140</f>
        <v>265484.96101999999</v>
      </c>
      <c r="AL99" s="550">
        <f>AM99+AN99</f>
        <v>201219.00716342987</v>
      </c>
      <c r="AM99" s="550">
        <f>AM100+AM140</f>
        <v>113933.49957442572</v>
      </c>
      <c r="AN99" s="550">
        <f>AN100+AN140</f>
        <v>87285.507589004133</v>
      </c>
      <c r="AO99" s="550">
        <f>AO100+AO140</f>
        <v>58343.316172084917</v>
      </c>
      <c r="AP99" s="550">
        <f>AP100+AP140</f>
        <v>5922.6376844852248</v>
      </c>
      <c r="AQ99" s="550">
        <f>AQ100+AQ140</f>
        <v>0</v>
      </c>
      <c r="AS99" s="550">
        <f>AS100+AS140</f>
        <v>265532.11626000004</v>
      </c>
      <c r="AT99" s="550">
        <f>AU99+AV99</f>
        <v>196858.79547413689</v>
      </c>
      <c r="AU99" s="550">
        <f>AU100+AU140</f>
        <v>111199.04169640176</v>
      </c>
      <c r="AV99" s="550">
        <f>AV100+AV140</f>
        <v>85659.753777735124</v>
      </c>
      <c r="AW99" s="550">
        <f>AW100+AW140</f>
        <v>62388.674338330915</v>
      </c>
      <c r="AX99" s="550">
        <f>AX100+AX140</f>
        <v>6284.6464475322173</v>
      </c>
      <c r="AY99" s="550">
        <f>AY100+AY140</f>
        <v>0</v>
      </c>
      <c r="BA99" s="550">
        <f>BA100+BA140</f>
        <v>0</v>
      </c>
      <c r="BB99" s="550" t="e">
        <f>BC99+BD99</f>
        <v>#DIV/0!</v>
      </c>
      <c r="BC99" s="550" t="e">
        <f>BC100+BC140</f>
        <v>#DIV/0!</v>
      </c>
      <c r="BD99" s="550" t="e">
        <f>BD100+BD140</f>
        <v>#DIV/0!</v>
      </c>
      <c r="BE99" s="550" t="e">
        <f>BE100+BE140</f>
        <v>#DIV/0!</v>
      </c>
      <c r="BF99" s="550" t="e">
        <f>BF100+BF140</f>
        <v>#DIV/0!</v>
      </c>
      <c r="BG99" s="550" t="e">
        <f>BG100+BG140</f>
        <v>#DIV/0!</v>
      </c>
      <c r="BI99" s="550">
        <f>BI100+BI140</f>
        <v>0</v>
      </c>
      <c r="BJ99" s="550" t="e">
        <f>BK99+BL99</f>
        <v>#DIV/0!</v>
      </c>
      <c r="BK99" s="550" t="e">
        <f>BK100+BK140</f>
        <v>#DIV/0!</v>
      </c>
      <c r="BL99" s="550" t="e">
        <f>BL100+BL140</f>
        <v>#DIV/0!</v>
      </c>
      <c r="BM99" s="550" t="e">
        <f>BM100+BM140</f>
        <v>#DIV/0!</v>
      </c>
      <c r="BN99" s="550" t="e">
        <f>BN100+BN140</f>
        <v>#DIV/0!</v>
      </c>
      <c r="BO99" s="550" t="e">
        <f>BO100+BO140</f>
        <v>#DIV/0!</v>
      </c>
      <c r="BQ99" s="550">
        <f>BQ100+BQ140</f>
        <v>0</v>
      </c>
      <c r="BR99" s="550" t="e">
        <f>BS99+BT99</f>
        <v>#DIV/0!</v>
      </c>
      <c r="BS99" s="550" t="e">
        <f>BS100+BS140</f>
        <v>#DIV/0!</v>
      </c>
      <c r="BT99" s="550" t="e">
        <f>BT100+BT140</f>
        <v>#DIV/0!</v>
      </c>
      <c r="BU99" s="550" t="e">
        <f>BU100+BU140</f>
        <v>#DIV/0!</v>
      </c>
      <c r="BV99" s="550" t="e">
        <f>BV100+BV140</f>
        <v>#DIV/0!</v>
      </c>
      <c r="BW99" s="550" t="e">
        <f>BW100+BW140</f>
        <v>#DIV/0!</v>
      </c>
      <c r="BY99" s="550">
        <f>BY100+BY140</f>
        <v>0</v>
      </c>
      <c r="BZ99" s="550" t="e">
        <f>CA99+CB99</f>
        <v>#DIV/0!</v>
      </c>
      <c r="CA99" s="550" t="e">
        <f>CA100+CA140</f>
        <v>#DIV/0!</v>
      </c>
      <c r="CB99" s="550" t="e">
        <f>CB100+CB140</f>
        <v>#DIV/0!</v>
      </c>
      <c r="CC99" s="550" t="e">
        <f>CC100+CC140</f>
        <v>#DIV/0!</v>
      </c>
      <c r="CD99" s="550" t="e">
        <f>CD100+CD140</f>
        <v>#DIV/0!</v>
      </c>
      <c r="CE99" s="550" t="e">
        <f>CE100+CE140</f>
        <v>#DIV/0!</v>
      </c>
      <c r="CG99" s="550">
        <f>CG100+CG140</f>
        <v>0</v>
      </c>
      <c r="CH99" s="550" t="e">
        <f>CI99+CJ99</f>
        <v>#DIV/0!</v>
      </c>
      <c r="CI99" s="550" t="e">
        <f>CI100+CI140</f>
        <v>#DIV/0!</v>
      </c>
      <c r="CJ99" s="550" t="e">
        <f>CJ100+CJ140</f>
        <v>#DIV/0!</v>
      </c>
      <c r="CK99" s="550" t="e">
        <f>CK100+CK140</f>
        <v>#DIV/0!</v>
      </c>
      <c r="CL99" s="550" t="e">
        <f>CL100+CL140</f>
        <v>#DIV/0!</v>
      </c>
      <c r="CM99" s="550" t="e">
        <f>CM100+CM140</f>
        <v>#DIV/0!</v>
      </c>
      <c r="CO99" s="550">
        <f>CO100+CO140</f>
        <v>0</v>
      </c>
      <c r="CP99" s="550" t="e">
        <f>CQ99+CR99</f>
        <v>#DIV/0!</v>
      </c>
      <c r="CQ99" s="550" t="e">
        <f>CQ100+CQ140</f>
        <v>#DIV/0!</v>
      </c>
      <c r="CR99" s="550" t="e">
        <f>CR100+CR140</f>
        <v>#DIV/0!</v>
      </c>
      <c r="CS99" s="550" t="e">
        <f>CS100+CS140</f>
        <v>#DIV/0!</v>
      </c>
      <c r="CT99" s="550" t="e">
        <f>CT100+CT140</f>
        <v>#DIV/0!</v>
      </c>
      <c r="CU99" s="550" t="e">
        <f>CU100+CU140</f>
        <v>#DIV/0!</v>
      </c>
      <c r="CW99" s="550">
        <f>CW100+CW140</f>
        <v>0</v>
      </c>
      <c r="CX99" s="550" t="e">
        <f>CY99+CZ99</f>
        <v>#DIV/0!</v>
      </c>
      <c r="CY99" s="550" t="e">
        <f>CY100+CY140</f>
        <v>#DIV/0!</v>
      </c>
      <c r="CZ99" s="550" t="e">
        <f>CZ100+CZ140</f>
        <v>#DIV/0!</v>
      </c>
      <c r="DA99" s="550" t="e">
        <f>DA100+DA140</f>
        <v>#DIV/0!</v>
      </c>
      <c r="DB99" s="550" t="e">
        <f>DB100+DB140</f>
        <v>#DIV/0!</v>
      </c>
      <c r="DC99" s="550" t="e">
        <f>DC100+DC140</f>
        <v>#DIV/0!</v>
      </c>
    </row>
    <row r="100" spans="1:117" s="673" customFormat="1" ht="33" customHeight="1">
      <c r="A100" s="669" t="s">
        <v>46</v>
      </c>
      <c r="B100" s="670" t="s">
        <v>47</v>
      </c>
      <c r="C100" s="660" t="s">
        <v>9</v>
      </c>
      <c r="D100" s="550">
        <f>D102+D103+D104+D105+D106+D112+D113+D114+D117+D118+D119+D122</f>
        <v>205400.59825860927</v>
      </c>
      <c r="E100" s="550">
        <f>F100+G100</f>
        <v>26002.369485346317</v>
      </c>
      <c r="F100" s="550">
        <f>F102+F103+F104+F105+F106+F112+F114+F118+F119+F122</f>
        <v>13279.903417568295</v>
      </c>
      <c r="G100" s="550">
        <f>G102+G103+G104+G105+G106+G112+G113+G114+G117+G118+G119+G122</f>
        <v>12722.466067778021</v>
      </c>
      <c r="H100" s="550">
        <f>H102+H103+H104+H105+H106+H112+H113+H114+H117+H118+H119+H122</f>
        <v>171717.13817254818</v>
      </c>
      <c r="I100" s="550">
        <f>I102+I103+I104+I105+I106+I112+I113+I114+I117+I118+I119+I122</f>
        <v>7681.0906007147496</v>
      </c>
      <c r="J100" s="550">
        <f>J102+J103+J104+J105+J106+J112+J113+J114+J117+J118+J119+J122</f>
        <v>0</v>
      </c>
      <c r="K100" s="695"/>
      <c r="M100" s="550">
        <f>M102+M103+M104+M105+M106+M112+M113+M114+M117+M118+M119+M122</f>
        <v>22831.38465</v>
      </c>
      <c r="N100" s="550">
        <f>O100+P100</f>
        <v>5860.2316121644781</v>
      </c>
      <c r="O100" s="550">
        <f>O102+O103+O104+O105+O106+O112+O114+O118+O119+O122</f>
        <v>2622.7508315036075</v>
      </c>
      <c r="P100" s="550">
        <f>P102+P103+P104+P105+P106+P112+P113+P114+P117+P118+P119+P122</f>
        <v>3237.4807806608701</v>
      </c>
      <c r="Q100" s="550">
        <f>Q102+Q103+Q104+Q105+Q106+Q112+Q113+Q114+Q117+Q118+Q119+Q122</f>
        <v>15514.375445580841</v>
      </c>
      <c r="R100" s="550">
        <f>R102+R103+R104+R105+R106+R112+R113+R114+R117+R118+R119+R122</f>
        <v>1456.7775922546787</v>
      </c>
      <c r="S100" s="550">
        <f>S102+S103+S104+S105+S106+S112+S113+S114+S117+S118+S119+S122</f>
        <v>0</v>
      </c>
      <c r="U100" s="550">
        <f>U102+U103+U104+U105+U106+U112+U113+U114+U117+U118+U119+U122</f>
        <v>10623.226189999998</v>
      </c>
      <c r="V100" s="550">
        <f>W100+X100</f>
        <v>3120.6650596907866</v>
      </c>
      <c r="W100" s="550">
        <f>W102+W103+W104+W105+W106+W112+W114+W118+W119+W122</f>
        <v>1467.3538932757401</v>
      </c>
      <c r="X100" s="550">
        <f>X102+X103+X104+X105+X106+X112+X113+X114+X117+X118+X119+X122</f>
        <v>1653.3111664150467</v>
      </c>
      <c r="Y100" s="550">
        <f>Y102+Y103+Y104+Y105+Y106+Y112+Y113+Y114+Y117+Y118+Y119+Y122</f>
        <v>6857.3947580022605</v>
      </c>
      <c r="Z100" s="550">
        <f>Z102+Z103+Z104+Z105+Z106+Z112+Z113+Z114+Z117+Z118+Z119+Z122</f>
        <v>645.16637230695176</v>
      </c>
      <c r="AA100" s="550">
        <f>AA102+AA103+AA104+AA105+AA106+AA112+AA113+AA114+AA117+AA118+AA119+AA122</f>
        <v>0</v>
      </c>
      <c r="AC100" s="550">
        <f>AC102+AC103+AC104+AC105+AC106+AC112+AC113+AC114+AC117+AC118+AC119+AC122</f>
        <v>12263.15208</v>
      </c>
      <c r="AD100" s="550">
        <f>AE100+AF100</f>
        <v>3488.9519394852309</v>
      </c>
      <c r="AE100" s="550">
        <f>AE102+AE103+AE104+AE105+AE106+AE112+AE114+AE118+AE119+AE122</f>
        <v>1622.7249062180233</v>
      </c>
      <c r="AF100" s="550">
        <f>AF102+AF103+AF104+AF105+AF106+AF112+AF113+AF114+AF117+AF118+AF119+AF122</f>
        <v>1866.2270332672076</v>
      </c>
      <c r="AG100" s="550">
        <f>AG102+AG103+AG104+AG105+AG106+AG112+AG113+AG114+AG117+AG118+AG119+AG122</f>
        <v>8019.994048245213</v>
      </c>
      <c r="AH100" s="550">
        <f>AH102+AH103+AH104+AH105+AH106+AH112+AH113+AH114+AH117+AH118+AH119+AH122</f>
        <v>754.20609226955571</v>
      </c>
      <c r="AI100" s="550">
        <f>AI102+AI103+AI104+AI105+AI106+AI112+AI113+AI114+AI117+AI118+AI119+AI122</f>
        <v>0</v>
      </c>
      <c r="AK100" s="550">
        <f>AK102+AK103+AK104+AK105+AK106+AK112+AK113+AK114+AK117+AK118+AK119+AK122</f>
        <v>11051.303020000003</v>
      </c>
      <c r="AL100" s="550">
        <f>AM100+AN100</f>
        <v>3222.1098407439868</v>
      </c>
      <c r="AM100" s="550">
        <f>AM102+AM103+AM104+AM105+AM106+AM112+AM114+AM118+AM119+AM122</f>
        <v>1511.2765600558891</v>
      </c>
      <c r="AN100" s="550">
        <f>AN102+AN103+AN104+AN105+AN106+AN112+AN113+AN114+AN117+AN118+AN119+AN122</f>
        <v>1710.8332806880976</v>
      </c>
      <c r="AO100" s="550">
        <f>AO102+AO103+AO104+AO105+AO106+AO112+AO113+AO114+AO117+AO118+AO119+AO122</f>
        <v>7156.1551257702267</v>
      </c>
      <c r="AP100" s="550">
        <f>AP102+AP103+AP104+AP105+AP106+AP112+AP113+AP114+AP117+AP118+AP119+AP122</f>
        <v>673.0380534857868</v>
      </c>
      <c r="AQ100" s="550">
        <f>AQ102+AQ103+AQ104+AQ105+AQ106+AQ112+AQ113+AQ114+AQ117+AQ118+AQ119+AQ122</f>
        <v>0</v>
      </c>
      <c r="AS100" s="550">
        <f>AS102+AS103+AS104+AS105+AS106+AS112+AS113+AS114+AS117+AS118+AS119+AS122</f>
        <v>19007.73126</v>
      </c>
      <c r="AT100" s="550">
        <f>AU100+AV100</f>
        <v>5016.7894751377935</v>
      </c>
      <c r="AU100" s="550">
        <f>AU102+AU103+AU104+AU105+AU106+AU112+AU114+AU118+AU119+AU122</f>
        <v>2271.5530661421249</v>
      </c>
      <c r="AV100" s="550">
        <f>AV102+AV103+AV104+AV105+AV106+AV112+AV113+AV114+AV117+AV118+AV119+AV122</f>
        <v>2745.2364089956686</v>
      </c>
      <c r="AW100" s="550">
        <f>AW102+AW103+AW104+AW105+AW106+AW112+AW113+AW114+AW117+AW118+AW119+AW122</f>
        <v>12792.706980746929</v>
      </c>
      <c r="AX100" s="550">
        <f>AX102+AX103+AX104+AX105+AX106+AX112+AX113+AX114+AX117+AX118+AX119+AX122</f>
        <v>1198.2348041152775</v>
      </c>
      <c r="AY100" s="550">
        <f>AY102+AY103+AY104+AY105+AY106+AY112+AY113+AY114+AY117+AY118+AY119+AY122</f>
        <v>0</v>
      </c>
      <c r="BA100" s="550">
        <f>BA102+BA103+BA104+BA105+BA106+BA112+BA113+BA114+BA117+BA118+BA119+BA122</f>
        <v>0</v>
      </c>
      <c r="BB100" s="550" t="e">
        <f>BC100+BD100</f>
        <v>#DIV/0!</v>
      </c>
      <c r="BC100" s="550" t="e">
        <f>BC102+BC103+BC104+BC105+BC106+BC112+BC114+BC118+BC119+BC122</f>
        <v>#DIV/0!</v>
      </c>
      <c r="BD100" s="550" t="e">
        <f>BD102+BD103+BD104+BD105+BD106+BD112+BD113+BD114+BD117+BD118+BD119+BD122</f>
        <v>#DIV/0!</v>
      </c>
      <c r="BE100" s="550" t="e">
        <f>BE102+BE103+BE104+BE105+BE106+BE112+BE113+BE114+BE117+BE118+BE119+BE122</f>
        <v>#DIV/0!</v>
      </c>
      <c r="BF100" s="550" t="e">
        <f>BF102+BF103+BF104+BF105+BF106+BF112+BF113+BF114+BF117+BF118+BF119+BF122</f>
        <v>#DIV/0!</v>
      </c>
      <c r="BG100" s="550" t="e">
        <f>BG102+BG103+BG104+BG105+BG106+BG112+BG113+BG114+BG117+BG118+BG119+BG122</f>
        <v>#DIV/0!</v>
      </c>
      <c r="BI100" s="550">
        <f>BI102+BI103+BI104+BI105+BI106+BI112+BI113+BI114+BI117+BI118+BI119+BI122</f>
        <v>0</v>
      </c>
      <c r="BJ100" s="550" t="e">
        <f>BK100+BL100</f>
        <v>#DIV/0!</v>
      </c>
      <c r="BK100" s="550" t="e">
        <f>BK102+BK103+BK104+BK105+BK106+BK112+BK114+BK118+BK119+BK122</f>
        <v>#DIV/0!</v>
      </c>
      <c r="BL100" s="550" t="e">
        <f>BL102+BL103+BL104+BL105+BL106+BL112+BL113+BL114+BL117+BL118+BL119+BL122</f>
        <v>#DIV/0!</v>
      </c>
      <c r="BM100" s="550" t="e">
        <f>BM102+BM103+BM104+BM105+BM106+BM112+BM113+BM114+BM117+BM118+BM119+BM122</f>
        <v>#DIV/0!</v>
      </c>
      <c r="BN100" s="550" t="e">
        <f>BN102+BN103+BN104+BN105+BN106+BN112+BN113+BN114+BN117+BN118+BN119+BN122</f>
        <v>#DIV/0!</v>
      </c>
      <c r="BO100" s="550" t="e">
        <f>BO102+BO103+BO104+BO105+BO106+BO112+BO113+BO114+BO117+BO118+BO119+BO122</f>
        <v>#DIV/0!</v>
      </c>
      <c r="BQ100" s="550">
        <f>BQ102+BQ103+BQ104+BQ105+BQ106+BQ112+BQ113+BQ114+BQ117+BQ118+BQ119+BQ122</f>
        <v>0</v>
      </c>
      <c r="BR100" s="550" t="e">
        <f>BS100+BT100</f>
        <v>#DIV/0!</v>
      </c>
      <c r="BS100" s="550" t="e">
        <f>BS102+BS103+BS104+BS105+BS106+BS112+BS114+BS118+BS119+BS122</f>
        <v>#DIV/0!</v>
      </c>
      <c r="BT100" s="550" t="e">
        <f>BT102+BT103+BT104+BT105+BT106+BT112+BT113+BT114+BT117+BT118+BT119+BT122</f>
        <v>#DIV/0!</v>
      </c>
      <c r="BU100" s="550" t="e">
        <f>BU102+BU103+BU104+BU105+BU106+BU112+BU113+BU114+BU117+BU118+BU119+BU122</f>
        <v>#DIV/0!</v>
      </c>
      <c r="BV100" s="550" t="e">
        <f>BV102+BV103+BV104+BV105+BV106+BV112+BV113+BV114+BV117+BV118+BV119+BV122</f>
        <v>#DIV/0!</v>
      </c>
      <c r="BW100" s="550" t="e">
        <f>BW102+BW103+BW104+BW105+BW106+BW112+BW113+BW114+BW117+BW118+BW119+BW122</f>
        <v>#DIV/0!</v>
      </c>
      <c r="BY100" s="550">
        <f>BY102+BY103+BY104+BY105+BY106+BY112+BY113+BY114+BY117+BY118+BY119+BY122</f>
        <v>0</v>
      </c>
      <c r="BZ100" s="550" t="e">
        <f>CA100+CB100</f>
        <v>#DIV/0!</v>
      </c>
      <c r="CA100" s="550" t="e">
        <f>CA102+CA103+CA104+CA105+CA106+CA112+CA114+CA118+CA119+CA122</f>
        <v>#DIV/0!</v>
      </c>
      <c r="CB100" s="550" t="e">
        <f>CB102+CB103+CB104+CB105+CB106+CB112+CB113+CB114+CB117+CB118+CB119+CB122</f>
        <v>#DIV/0!</v>
      </c>
      <c r="CC100" s="550" t="e">
        <f>CC102+CC103+CC104+CC105+CC106+CC112+CC113+CC114+CC117+CC118+CC119+CC122</f>
        <v>#DIV/0!</v>
      </c>
      <c r="CD100" s="550" t="e">
        <f>CD102+CD103+CD104+CD105+CD106+CD112+CD113+CD114+CD117+CD118+CD119+CD122</f>
        <v>#DIV/0!</v>
      </c>
      <c r="CE100" s="550" t="e">
        <f>CE102+CE103+CE104+CE105+CE106+CE112+CE113+CE114+CE117+CE118+CE119+CE122</f>
        <v>#DIV/0!</v>
      </c>
      <c r="CG100" s="550">
        <f>CG102+CG103+CG104+CG105+CG106+CG112+CG113+CG114+CG117+CG118+CG119+CG122</f>
        <v>0</v>
      </c>
      <c r="CH100" s="550" t="e">
        <f>CI100+CJ100</f>
        <v>#DIV/0!</v>
      </c>
      <c r="CI100" s="550" t="e">
        <f>CI102+CI103+CI104+CI105+CI106+CI112+CI114+CI118+CI119+CI122</f>
        <v>#DIV/0!</v>
      </c>
      <c r="CJ100" s="550" t="e">
        <f>CJ102+CJ103+CJ104+CJ105+CJ106+CJ112+CJ113+CJ114+CJ117+CJ118+CJ119+CJ122</f>
        <v>#DIV/0!</v>
      </c>
      <c r="CK100" s="550" t="e">
        <f>CK102+CK103+CK104+CK105+CK106+CK112+CK113+CK114+CK117+CK118+CK119+CK122</f>
        <v>#DIV/0!</v>
      </c>
      <c r="CL100" s="550" t="e">
        <f>CL102+CL103+CL104+CL105+CL106+CL112+CL113+CL114+CL117+CL118+CL119+CL122</f>
        <v>#DIV/0!</v>
      </c>
      <c r="CM100" s="550" t="e">
        <f>CM102+CM103+CM104+CM105+CM106+CM112+CM113+CM114+CM117+CM118+CM119+CM122</f>
        <v>#DIV/0!</v>
      </c>
      <c r="CO100" s="550">
        <f>CO102+CO103+CO104+CO105+CO106+CO112+CO113+CO114+CO117+CO118+CO119+CO122</f>
        <v>0</v>
      </c>
      <c r="CP100" s="550" t="e">
        <f>CQ100+CR100</f>
        <v>#DIV/0!</v>
      </c>
      <c r="CQ100" s="550" t="e">
        <f>CQ102+CQ103+CQ104+CQ105+CQ106+CQ112+CQ114+CQ118+CQ119+CQ122</f>
        <v>#DIV/0!</v>
      </c>
      <c r="CR100" s="550" t="e">
        <f>CR102+CR103+CR104+CR105+CR106+CR112+CR113+CR114+CR117+CR118+CR119+CR122</f>
        <v>#DIV/0!</v>
      </c>
      <c r="CS100" s="550" t="e">
        <f>CS102+CS103+CS104+CS105+CS106+CS112+CS113+CS114+CS117+CS118+CS119+CS122</f>
        <v>#DIV/0!</v>
      </c>
      <c r="CT100" s="550" t="e">
        <f>CT102+CT103+CT104+CT105+CT106+CT112+CT113+CT114+CT117+CT118+CT119+CT122</f>
        <v>#DIV/0!</v>
      </c>
      <c r="CU100" s="550" t="e">
        <f>CU102+CU103+CU104+CU105+CU106+CU112+CU113+CU114+CU117+CU118+CU119+CU122</f>
        <v>#DIV/0!</v>
      </c>
      <c r="CW100" s="550">
        <f>CW102+CW103+CW104+CW105+CW106+CW112+CW113+CW114+CW117+CW118+CW119+CW122</f>
        <v>0</v>
      </c>
      <c r="CX100" s="550" t="e">
        <f>CY100+CZ100</f>
        <v>#DIV/0!</v>
      </c>
      <c r="CY100" s="550" t="e">
        <f>CY102+CY103+CY104+CY105+CY106+CY112+CY114+CY118+CY119+CY122</f>
        <v>#DIV/0!</v>
      </c>
      <c r="CZ100" s="550" t="e">
        <f>CZ102+CZ103+CZ104+CZ105+CZ106+CZ112+CZ113+CZ114+CZ117+CZ118+CZ119+CZ122</f>
        <v>#DIV/0!</v>
      </c>
      <c r="DA100" s="550" t="e">
        <f>DA102+DA103+DA104+DA105+DA106+DA112+DA113+DA114+DA117+DA118+DA119+DA122</f>
        <v>#DIV/0!</v>
      </c>
      <c r="DB100" s="550" t="e">
        <f>DB102+DB103+DB104+DB105+DB106+DB112+DB113+DB114+DB117+DB118+DB119+DB122</f>
        <v>#DIV/0!</v>
      </c>
      <c r="DC100" s="550" t="e">
        <f>DC102+DC103+DC104+DC105+DC106+DC112+DC113+DC114+DC117+DC118+DC119+DC122</f>
        <v>#DIV/0!</v>
      </c>
    </row>
    <row r="101" spans="1:117" s="673" customFormat="1">
      <c r="A101" s="674"/>
      <c r="B101" s="675" t="s">
        <v>7</v>
      </c>
      <c r="C101" s="660"/>
      <c r="D101" s="566"/>
      <c r="E101" s="566"/>
      <c r="F101" s="566"/>
      <c r="G101" s="566"/>
      <c r="H101" s="566"/>
      <c r="I101" s="697"/>
      <c r="J101" s="697"/>
      <c r="K101" s="698"/>
      <c r="M101" s="566"/>
      <c r="N101" s="566"/>
      <c r="O101" s="566"/>
      <c r="P101" s="566"/>
      <c r="Q101" s="566"/>
      <c r="R101" s="697"/>
      <c r="S101" s="697"/>
      <c r="U101" s="566"/>
      <c r="V101" s="566"/>
      <c r="W101" s="566"/>
      <c r="X101" s="566"/>
      <c r="Y101" s="566"/>
      <c r="Z101" s="697"/>
      <c r="AA101" s="697"/>
      <c r="AC101" s="566"/>
      <c r="AD101" s="566"/>
      <c r="AE101" s="566"/>
      <c r="AF101" s="566"/>
      <c r="AG101" s="566"/>
      <c r="AH101" s="697"/>
      <c r="AI101" s="697"/>
      <c r="AK101" s="566"/>
      <c r="AL101" s="566"/>
      <c r="AM101" s="566"/>
      <c r="AN101" s="566"/>
      <c r="AO101" s="566"/>
      <c r="AP101" s="697"/>
      <c r="AQ101" s="697"/>
      <c r="AS101" s="566"/>
      <c r="AT101" s="566"/>
      <c r="AU101" s="566"/>
      <c r="AV101" s="566"/>
      <c r="AW101" s="566"/>
      <c r="AX101" s="697"/>
      <c r="AY101" s="697"/>
      <c r="BA101" s="566"/>
      <c r="BB101" s="566"/>
      <c r="BC101" s="566"/>
      <c r="BD101" s="566"/>
      <c r="BE101" s="566"/>
      <c r="BF101" s="697"/>
      <c r="BG101" s="697"/>
      <c r="BI101" s="566"/>
      <c r="BJ101" s="566"/>
      <c r="BK101" s="566"/>
      <c r="BL101" s="566"/>
      <c r="BM101" s="566"/>
      <c r="BN101" s="697"/>
      <c r="BO101" s="697"/>
      <c r="BQ101" s="566"/>
      <c r="BR101" s="566"/>
      <c r="BS101" s="566"/>
      <c r="BT101" s="566"/>
      <c r="BU101" s="566"/>
      <c r="BV101" s="697"/>
      <c r="BW101" s="697"/>
      <c r="BY101" s="566"/>
      <c r="BZ101" s="566"/>
      <c r="CA101" s="566"/>
      <c r="CB101" s="566"/>
      <c r="CC101" s="566"/>
      <c r="CD101" s="697"/>
      <c r="CE101" s="697"/>
      <c r="CG101" s="566"/>
      <c r="CH101" s="566"/>
      <c r="CI101" s="566"/>
      <c r="CJ101" s="566"/>
      <c r="CK101" s="566"/>
      <c r="CL101" s="697"/>
      <c r="CM101" s="697"/>
      <c r="CO101" s="566"/>
      <c r="CP101" s="566"/>
      <c r="CQ101" s="566"/>
      <c r="CR101" s="566"/>
      <c r="CS101" s="566"/>
      <c r="CT101" s="697"/>
      <c r="CU101" s="697"/>
      <c r="CW101" s="566"/>
      <c r="CX101" s="566"/>
      <c r="CY101" s="566"/>
      <c r="CZ101" s="566"/>
      <c r="DA101" s="566"/>
      <c r="DB101" s="697"/>
      <c r="DC101" s="697"/>
    </row>
    <row r="102" spans="1:117" s="673" customFormat="1" ht="39.75" customHeight="1">
      <c r="A102" s="674" t="s">
        <v>49</v>
      </c>
      <c r="B102" s="675" t="s">
        <v>331</v>
      </c>
      <c r="C102" s="660" t="s">
        <v>9</v>
      </c>
      <c r="D102" s="566">
        <v>131541.34399999998</v>
      </c>
      <c r="E102" s="557">
        <f>F102+G102</f>
        <v>7694</v>
      </c>
      <c r="F102" s="566">
        <v>5495.6</v>
      </c>
      <c r="G102" s="566">
        <v>2198.4</v>
      </c>
      <c r="H102" s="566">
        <f>D102-F102-G102-I102</f>
        <v>118778.71607826713</v>
      </c>
      <c r="I102" s="566">
        <v>5068.627921732862</v>
      </c>
      <c r="J102" s="566"/>
      <c r="K102" s="679" t="s">
        <v>184</v>
      </c>
      <c r="M102" s="691">
        <f>18729152/1000</f>
        <v>18729.151999999998</v>
      </c>
      <c r="N102" s="557">
        <f>O102+P102</f>
        <v>4175.7103191754877</v>
      </c>
      <c r="O102" s="699">
        <f>$M$102*$O$3</f>
        <v>1755.2582806816663</v>
      </c>
      <c r="P102" s="699">
        <f>$M$102*$P$3</f>
        <v>2420.4520384938214</v>
      </c>
      <c r="Q102" s="699">
        <f>$M$102*$Q$3</f>
        <v>13305.05254323589</v>
      </c>
      <c r="R102" s="699">
        <f>$M$102*$R$3</f>
        <v>1248.3891375886203</v>
      </c>
      <c r="S102" s="681">
        <f t="shared" ref="S102:S104" si="666">$M$16*$S$3</f>
        <v>0</v>
      </c>
      <c r="U102" s="691">
        <f>7403387/1000</f>
        <v>7403.3869999999997</v>
      </c>
      <c r="V102" s="557">
        <f>W102+X102</f>
        <v>1650.6032677160001</v>
      </c>
      <c r="W102" s="699">
        <f>U102*$W$3</f>
        <v>693.83047010569408</v>
      </c>
      <c r="X102" s="699">
        <f>U102*$X$3</f>
        <v>956.77279761030593</v>
      </c>
      <c r="Y102" s="699">
        <f>U102*$Y$3</f>
        <v>5259.3119556565898</v>
      </c>
      <c r="Z102" s="699">
        <f>U102*$Z$3</f>
        <v>493.47177662740967</v>
      </c>
      <c r="AA102" s="681">
        <f>U102*AA3</f>
        <v>0</v>
      </c>
      <c r="AC102" s="691">
        <f>8546330/1000</f>
        <v>8546.33</v>
      </c>
      <c r="AD102" s="557">
        <f>AE102+AF102</f>
        <v>1905.4252094317485</v>
      </c>
      <c r="AE102" s="699">
        <f t="shared" ref="AE102:AE104" si="667">AC102*$AE$3</f>
        <v>800.94477859639062</v>
      </c>
      <c r="AF102" s="699">
        <f t="shared" ref="AF102:AF104" si="668">AC102*$AF$3</f>
        <v>1104.4804308353578</v>
      </c>
      <c r="AG102" s="699">
        <f t="shared" ref="AG102:AG104" si="669">AC102*$AG$3</f>
        <v>6071.2503001648547</v>
      </c>
      <c r="AH102" s="699">
        <f t="shared" ref="AH102:AH104" si="670">AC102*$AH$3</f>
        <v>569.65449040339649</v>
      </c>
      <c r="AI102" s="681">
        <f>AC102*AI3</f>
        <v>0</v>
      </c>
      <c r="AK102" s="691">
        <f>7917316/1000</f>
        <v>7917.3159999999998</v>
      </c>
      <c r="AL102" s="557">
        <f>AM102+AN102</f>
        <v>1765.1849972370985</v>
      </c>
      <c r="AM102" s="699">
        <f>AK102*$AM$3</f>
        <v>741.99485752336511</v>
      </c>
      <c r="AN102" s="699">
        <f>AK102*$AN$3</f>
        <v>1023.1901397137334</v>
      </c>
      <c r="AO102" s="699">
        <f>AK102*$AO$3</f>
        <v>5624.4033569380081</v>
      </c>
      <c r="AP102" s="699">
        <f>AK102*$AP$3</f>
        <v>527.72764582489287</v>
      </c>
      <c r="AQ102" s="681">
        <f>AK102*AQ3</f>
        <v>0</v>
      </c>
      <c r="AS102" s="691">
        <f>14532498.93/1000</f>
        <v>14532.49893</v>
      </c>
      <c r="AT102" s="557">
        <f>AU102+AV102</f>
        <v>3240.0562366842732</v>
      </c>
      <c r="AU102" s="699">
        <f>AS102*$AU$3</f>
        <v>1361.9564348604761</v>
      </c>
      <c r="AV102" s="699">
        <f>AS102*$AV$3</f>
        <v>1878.0998018237974</v>
      </c>
      <c r="AW102" s="699">
        <f>AS102*$AW$3</f>
        <v>10323.780908402547</v>
      </c>
      <c r="AX102" s="699">
        <f>AS102*$AX$3</f>
        <v>968.66178491317964</v>
      </c>
      <c r="AY102" s="681">
        <f>AS102*AY3</f>
        <v>0</v>
      </c>
      <c r="BA102" s="691"/>
      <c r="BB102" s="557">
        <f>BC102+BD102</f>
        <v>0</v>
      </c>
      <c r="BC102" s="699">
        <f t="shared" ref="BC102:BC104" si="671">BA102*$BC$3</f>
        <v>0</v>
      </c>
      <c r="BD102" s="699">
        <f t="shared" ref="BD102:BD104" si="672">BA102*$BD$3</f>
        <v>0</v>
      </c>
      <c r="BE102" s="699">
        <f t="shared" ref="BE102:BE104" si="673">BA102*$BE$3</f>
        <v>0</v>
      </c>
      <c r="BF102" s="699">
        <f t="shared" ref="BF102:BF104" si="674">BA102*$BF$3</f>
        <v>0</v>
      </c>
      <c r="BG102" s="681">
        <f>BA102*BG3</f>
        <v>0</v>
      </c>
      <c r="BI102" s="691"/>
      <c r="BJ102" s="557">
        <f>BK102+BL102</f>
        <v>0</v>
      </c>
      <c r="BK102" s="699">
        <f t="shared" ref="BK102:BK104" si="675">BI102*$BK$3</f>
        <v>0</v>
      </c>
      <c r="BL102" s="699">
        <f t="shared" ref="BL102:BL104" si="676">BI102*$BL$3</f>
        <v>0</v>
      </c>
      <c r="BM102" s="699">
        <f t="shared" ref="BM102:BM104" si="677">BI102*$BM$3</f>
        <v>0</v>
      </c>
      <c r="BN102" s="699">
        <f t="shared" ref="BN102:BN104" si="678">BI102*$BN$3</f>
        <v>0</v>
      </c>
      <c r="BO102" s="681">
        <f>BI102*BO3</f>
        <v>0</v>
      </c>
      <c r="BQ102" s="691"/>
      <c r="BR102" s="557">
        <f>BS102+BT102</f>
        <v>0</v>
      </c>
      <c r="BS102" s="699">
        <f t="shared" ref="BS102:BS104" si="679">BQ102*$BS$3</f>
        <v>0</v>
      </c>
      <c r="BT102" s="699">
        <f t="shared" ref="BT102:BT104" si="680">BQ102*$BT$3</f>
        <v>0</v>
      </c>
      <c r="BU102" s="699">
        <f t="shared" ref="BU102:BU104" si="681">BQ102*$BU$3</f>
        <v>0</v>
      </c>
      <c r="BV102" s="699">
        <f t="shared" ref="BV102:BV104" si="682">BQ102*$BV$3</f>
        <v>0</v>
      </c>
      <c r="BW102" s="681">
        <f>BQ102*BW3</f>
        <v>0</v>
      </c>
      <c r="BY102" s="691"/>
      <c r="BZ102" s="557">
        <f>CA102+CB102</f>
        <v>0</v>
      </c>
      <c r="CA102" s="699">
        <f t="shared" ref="CA102:CA104" si="683">BY102*$CA$3</f>
        <v>0</v>
      </c>
      <c r="CB102" s="699">
        <f t="shared" ref="CB102:CB104" si="684">BY102*$CB$3</f>
        <v>0</v>
      </c>
      <c r="CC102" s="699">
        <f t="shared" ref="CC102:CC104" si="685">BY102*$CC$3</f>
        <v>0</v>
      </c>
      <c r="CD102" s="699">
        <f t="shared" ref="CD102:CD104" si="686">BY102*$CD$3</f>
        <v>0</v>
      </c>
      <c r="CE102" s="681">
        <f>BY102*CE3</f>
        <v>0</v>
      </c>
      <c r="CG102" s="691"/>
      <c r="CH102" s="557">
        <f t="shared" ref="CH102:CH106" si="687">CI102+CJ102</f>
        <v>0</v>
      </c>
      <c r="CI102" s="699">
        <f t="shared" ref="CI102:CI104" si="688">CG102*$CI$3</f>
        <v>0</v>
      </c>
      <c r="CJ102" s="699">
        <f t="shared" ref="CJ102:CJ104" si="689">CG102*$CJ$3</f>
        <v>0</v>
      </c>
      <c r="CK102" s="699">
        <f t="shared" ref="CK102:CK104" si="690">CG102*$CK$3</f>
        <v>0</v>
      </c>
      <c r="CL102" s="699">
        <f t="shared" ref="CL102:CL104" si="691">CG102*$CL$3</f>
        <v>0</v>
      </c>
      <c r="CM102" s="681">
        <f>CG102*CM3</f>
        <v>0</v>
      </c>
      <c r="CO102" s="691"/>
      <c r="CP102" s="557">
        <f t="shared" ref="CP102:CP106" si="692">CQ102+CR102</f>
        <v>0</v>
      </c>
      <c r="CQ102" s="699">
        <f t="shared" ref="CQ102:CQ104" si="693">CO102*$CQ$3</f>
        <v>0</v>
      </c>
      <c r="CR102" s="699">
        <f t="shared" ref="CR102:CR104" si="694">CO102*$CR$3</f>
        <v>0</v>
      </c>
      <c r="CS102" s="699">
        <f t="shared" ref="CS102:CS104" si="695">CO102*$CS$3</f>
        <v>0</v>
      </c>
      <c r="CT102" s="699">
        <f t="shared" ref="CT102:CT104" si="696">CO102*$CT$3</f>
        <v>0</v>
      </c>
      <c r="CU102" s="681">
        <f>CO102*CU3</f>
        <v>0</v>
      </c>
      <c r="CW102" s="691"/>
      <c r="CX102" s="557">
        <f t="shared" ref="CX102:CX106" si="697">CY102+CZ102</f>
        <v>0</v>
      </c>
      <c r="CY102" s="699">
        <f t="shared" ref="CY102:CY104" si="698">CW102*$CY$3</f>
        <v>0</v>
      </c>
      <c r="CZ102" s="699">
        <f t="shared" ref="CZ102:CZ104" si="699">CW102*$CZ$3</f>
        <v>0</v>
      </c>
      <c r="DA102" s="699">
        <f t="shared" ref="DA102:DA104" si="700">CW102*$DA$3</f>
        <v>0</v>
      </c>
      <c r="DB102" s="699">
        <f t="shared" ref="DB102:DB104" si="701">CW102*$DB$3</f>
        <v>0</v>
      </c>
      <c r="DC102" s="681">
        <f>CW102*DC3</f>
        <v>0</v>
      </c>
    </row>
    <row r="103" spans="1:117" s="673" customFormat="1" ht="24.75" customHeight="1">
      <c r="A103" s="674" t="s">
        <v>50</v>
      </c>
      <c r="B103" s="675" t="s">
        <v>442</v>
      </c>
      <c r="C103" s="660" t="s">
        <v>9</v>
      </c>
      <c r="D103" s="566">
        <v>13022.593056</v>
      </c>
      <c r="E103" s="557">
        <f t="shared" ref="E103:E106" si="702">F103+G103</f>
        <v>2227.3000000000002</v>
      </c>
      <c r="F103" s="566">
        <v>544</v>
      </c>
      <c r="G103" s="566">
        <v>1683.3</v>
      </c>
      <c r="H103" s="566">
        <f>D103-F103-G103-I103</f>
        <v>10293.498891748448</v>
      </c>
      <c r="I103" s="566">
        <v>501.79416425155341</v>
      </c>
      <c r="J103" s="566"/>
      <c r="K103" s="679" t="s">
        <v>184</v>
      </c>
      <c r="M103" s="691">
        <f>1898863/1000</f>
        <v>1898.8630000000001</v>
      </c>
      <c r="N103" s="557">
        <f t="shared" ref="N103:N106" si="703">O103+P103</f>
        <v>423.35615749183546</v>
      </c>
      <c r="O103" s="699">
        <f>$M$103*$O$3</f>
        <v>177.9576034531639</v>
      </c>
      <c r="P103" s="699">
        <f>$M$103*$P$3</f>
        <v>245.39855403867156</v>
      </c>
      <c r="Q103" s="699">
        <f>$M$103*$Q$3</f>
        <v>1348.938381588581</v>
      </c>
      <c r="R103" s="699">
        <f>$M$103*$R$3</f>
        <v>126.56846091958357</v>
      </c>
      <c r="S103" s="681">
        <f t="shared" si="666"/>
        <v>0</v>
      </c>
      <c r="U103" s="691">
        <f>732936/1000</f>
        <v>732.93600000000004</v>
      </c>
      <c r="V103" s="557">
        <f t="shared" ref="V103:V106" si="704">W103+X103</f>
        <v>163.40987667221697</v>
      </c>
      <c r="W103" s="699">
        <f>U103*$W$3</f>
        <v>68.689280924715547</v>
      </c>
      <c r="X103" s="699">
        <f>U103*$X$3</f>
        <v>94.72059574750142</v>
      </c>
      <c r="Y103" s="699">
        <f>U103*$Y$3</f>
        <v>520.67237164977576</v>
      </c>
      <c r="Z103" s="699">
        <f>U103*$Z$3</f>
        <v>48.853751678007264</v>
      </c>
      <c r="AA103" s="681">
        <f>U103*AA3</f>
        <v>0</v>
      </c>
      <c r="AC103" s="691">
        <f>786813/1000</f>
        <v>786.81299999999999</v>
      </c>
      <c r="AD103" s="557">
        <f t="shared" ref="AD103:AD106" si="705">AE103+AF103</f>
        <v>175.42188580462283</v>
      </c>
      <c r="AE103" s="699">
        <f t="shared" si="667"/>
        <v>73.738524499026113</v>
      </c>
      <c r="AF103" s="699">
        <f t="shared" si="668"/>
        <v>101.6833613055967</v>
      </c>
      <c r="AG103" s="699">
        <f t="shared" si="669"/>
        <v>558.94619824224083</v>
      </c>
      <c r="AH103" s="699">
        <f t="shared" si="670"/>
        <v>52.444915953136324</v>
      </c>
      <c r="AI103" s="681">
        <f>AC103*AI3</f>
        <v>0</v>
      </c>
      <c r="AK103" s="691">
        <f>702615/1000</f>
        <v>702.61500000000001</v>
      </c>
      <c r="AL103" s="557">
        <f t="shared" ref="AL103:AL106" si="706">AM103+AN103</f>
        <v>156.64973544490886</v>
      </c>
      <c r="AM103" s="699">
        <f>AK103*$AM$3</f>
        <v>65.847658072354221</v>
      </c>
      <c r="AN103" s="699">
        <f>AK103*$AN$3</f>
        <v>90.802077372554635</v>
      </c>
      <c r="AO103" s="699">
        <f>AK103*$AO$3</f>
        <v>499.13255510263815</v>
      </c>
      <c r="AP103" s="699">
        <f>AK103*$AP$3</f>
        <v>46.832709452452974</v>
      </c>
      <c r="AQ103" s="681">
        <f>AK103*AQ3</f>
        <v>0</v>
      </c>
      <c r="AS103" s="691">
        <f>1381114/1000</f>
        <v>1381.114</v>
      </c>
      <c r="AT103" s="557">
        <f t="shared" ref="AT103:AT106" si="707">AU103+AV103</f>
        <v>307.92274961288877</v>
      </c>
      <c r="AU103" s="699">
        <f>AS103*$AU$3</f>
        <v>129.43521335431413</v>
      </c>
      <c r="AV103" s="699">
        <f>AS103*$AV$3</f>
        <v>178.48753625857464</v>
      </c>
      <c r="AW103" s="699">
        <f>AS103*$AW$3</f>
        <v>981.13328025736007</v>
      </c>
      <c r="AX103" s="699">
        <f>AS103*$AX$3</f>
        <v>92.057970129751197</v>
      </c>
      <c r="AY103" s="681">
        <f>AS103*AY3</f>
        <v>0</v>
      </c>
      <c r="BA103" s="691"/>
      <c r="BB103" s="557">
        <f t="shared" ref="BB103:BB106" si="708">BC103+BD103</f>
        <v>0</v>
      </c>
      <c r="BC103" s="699">
        <f t="shared" si="671"/>
        <v>0</v>
      </c>
      <c r="BD103" s="699">
        <f t="shared" si="672"/>
        <v>0</v>
      </c>
      <c r="BE103" s="699">
        <f t="shared" si="673"/>
        <v>0</v>
      </c>
      <c r="BF103" s="699">
        <f t="shared" si="674"/>
        <v>0</v>
      </c>
      <c r="BG103" s="681">
        <f>BA103*BG3</f>
        <v>0</v>
      </c>
      <c r="BI103" s="691"/>
      <c r="BJ103" s="557">
        <f t="shared" ref="BJ103:BJ106" si="709">BK103+BL103</f>
        <v>0</v>
      </c>
      <c r="BK103" s="699">
        <f t="shared" si="675"/>
        <v>0</v>
      </c>
      <c r="BL103" s="699">
        <f t="shared" si="676"/>
        <v>0</v>
      </c>
      <c r="BM103" s="699">
        <f t="shared" si="677"/>
        <v>0</v>
      </c>
      <c r="BN103" s="699">
        <f t="shared" si="678"/>
        <v>0</v>
      </c>
      <c r="BO103" s="681">
        <f>BI103*BO3</f>
        <v>0</v>
      </c>
      <c r="BQ103" s="691"/>
      <c r="BR103" s="557">
        <f t="shared" ref="BR103:BR106" si="710">BS103+BT103</f>
        <v>0</v>
      </c>
      <c r="BS103" s="699">
        <f t="shared" si="679"/>
        <v>0</v>
      </c>
      <c r="BT103" s="699">
        <f t="shared" si="680"/>
        <v>0</v>
      </c>
      <c r="BU103" s="699">
        <f t="shared" si="681"/>
        <v>0</v>
      </c>
      <c r="BV103" s="699">
        <f t="shared" si="682"/>
        <v>0</v>
      </c>
      <c r="BW103" s="681">
        <f>BQ103*BW3</f>
        <v>0</v>
      </c>
      <c r="BY103" s="691"/>
      <c r="BZ103" s="557">
        <f t="shared" ref="BZ103:BZ106" si="711">CA103+CB103</f>
        <v>0</v>
      </c>
      <c r="CA103" s="699">
        <f t="shared" si="683"/>
        <v>0</v>
      </c>
      <c r="CB103" s="699">
        <f t="shared" si="684"/>
        <v>0</v>
      </c>
      <c r="CC103" s="699">
        <f t="shared" si="685"/>
        <v>0</v>
      </c>
      <c r="CD103" s="699">
        <f t="shared" si="686"/>
        <v>0</v>
      </c>
      <c r="CE103" s="681">
        <f>BY103*CE3</f>
        <v>0</v>
      </c>
      <c r="CG103" s="691"/>
      <c r="CH103" s="557">
        <f t="shared" si="687"/>
        <v>0</v>
      </c>
      <c r="CI103" s="699">
        <f t="shared" si="688"/>
        <v>0</v>
      </c>
      <c r="CJ103" s="699">
        <f t="shared" si="689"/>
        <v>0</v>
      </c>
      <c r="CK103" s="699">
        <f t="shared" si="690"/>
        <v>0</v>
      </c>
      <c r="CL103" s="699">
        <f t="shared" si="691"/>
        <v>0</v>
      </c>
      <c r="CM103" s="681">
        <f>CG103*CM3</f>
        <v>0</v>
      </c>
      <c r="CO103" s="691"/>
      <c r="CP103" s="557">
        <f t="shared" si="692"/>
        <v>0</v>
      </c>
      <c r="CQ103" s="699">
        <f t="shared" si="693"/>
        <v>0</v>
      </c>
      <c r="CR103" s="699">
        <f t="shared" si="694"/>
        <v>0</v>
      </c>
      <c r="CS103" s="699">
        <f t="shared" si="695"/>
        <v>0</v>
      </c>
      <c r="CT103" s="699">
        <f t="shared" si="696"/>
        <v>0</v>
      </c>
      <c r="CU103" s="681">
        <f>CO103*CU3</f>
        <v>0</v>
      </c>
      <c r="CW103" s="691"/>
      <c r="CX103" s="557">
        <f t="shared" si="697"/>
        <v>0</v>
      </c>
      <c r="CY103" s="699">
        <f t="shared" si="698"/>
        <v>0</v>
      </c>
      <c r="CZ103" s="699">
        <f t="shared" si="699"/>
        <v>0</v>
      </c>
      <c r="DA103" s="699">
        <f t="shared" si="700"/>
        <v>0</v>
      </c>
      <c r="DB103" s="699">
        <f t="shared" si="701"/>
        <v>0</v>
      </c>
      <c r="DC103" s="681">
        <f>CW103*DC3</f>
        <v>0</v>
      </c>
    </row>
    <row r="104" spans="1:117" s="673" customFormat="1" ht="25.5" customHeight="1">
      <c r="A104" s="674" t="s">
        <v>51</v>
      </c>
      <c r="B104" s="675" t="s">
        <v>457</v>
      </c>
      <c r="C104" s="660"/>
      <c r="D104" s="566">
        <v>623.15316000000007</v>
      </c>
      <c r="E104" s="557">
        <f t="shared" si="702"/>
        <v>110</v>
      </c>
      <c r="F104" s="566">
        <v>42</v>
      </c>
      <c r="G104" s="566">
        <v>68</v>
      </c>
      <c r="H104" s="566">
        <f>D104-F104-G104-I104</f>
        <v>489.1414583536183</v>
      </c>
      <c r="I104" s="566">
        <v>24.011701646381738</v>
      </c>
      <c r="J104" s="566"/>
      <c r="K104" s="679" t="s">
        <v>184</v>
      </c>
      <c r="M104" s="691">
        <f>43941/1000</f>
        <v>43.941000000000003</v>
      </c>
      <c r="N104" s="557">
        <f t="shared" si="703"/>
        <v>9.7967535922016182</v>
      </c>
      <c r="O104" s="699">
        <f>$M$104*$O$3</f>
        <v>4.1180617313284182</v>
      </c>
      <c r="P104" s="699">
        <f>$M$104*$P$3</f>
        <v>5.6786918608732</v>
      </c>
      <c r="Q104" s="699">
        <f>$M$104*$Q$3</f>
        <v>31.215364892245432</v>
      </c>
      <c r="R104" s="699">
        <f>$M$104*$R$3</f>
        <v>2.9288815155529502</v>
      </c>
      <c r="S104" s="681">
        <f t="shared" si="666"/>
        <v>0</v>
      </c>
      <c r="U104" s="691">
        <f>38281/1000</f>
        <v>38.280999999999999</v>
      </c>
      <c r="V104" s="557">
        <f t="shared" si="704"/>
        <v>8.5348427269081295</v>
      </c>
      <c r="W104" s="699">
        <f>U104*$W$3</f>
        <v>3.5876179681159548</v>
      </c>
      <c r="X104" s="699">
        <f>U104*$X$3</f>
        <v>4.9472247587921752</v>
      </c>
      <c r="Y104" s="699">
        <f>U104*$Y$3</f>
        <v>27.194542305365086</v>
      </c>
      <c r="Z104" s="699">
        <f>U104*$Z$3</f>
        <v>2.5516149677267808</v>
      </c>
      <c r="AA104" s="681">
        <f>U104*AA3</f>
        <v>0</v>
      </c>
      <c r="AC104" s="691">
        <f>42958/1000</f>
        <v>42.957999999999998</v>
      </c>
      <c r="AD104" s="557">
        <f t="shared" si="705"/>
        <v>9.5775913341479963</v>
      </c>
      <c r="AE104" s="699">
        <f t="shared" si="667"/>
        <v>4.0259369576114832</v>
      </c>
      <c r="AF104" s="699">
        <f t="shared" si="668"/>
        <v>5.5516543765365132</v>
      </c>
      <c r="AG104" s="699">
        <f t="shared" si="669"/>
        <v>30.517048884665329</v>
      </c>
      <c r="AH104" s="699">
        <f t="shared" si="670"/>
        <v>2.8633597811866736</v>
      </c>
      <c r="AI104" s="681">
        <f>AC104*AI3</f>
        <v>0</v>
      </c>
      <c r="AK104" s="691">
        <f>38245/1000</f>
        <v>38.244999999999997</v>
      </c>
      <c r="AL104" s="557">
        <f t="shared" si="706"/>
        <v>8.5268164387189831</v>
      </c>
      <c r="AM104" s="699">
        <f>AK104*$AM$3</f>
        <v>3.5842441208587728</v>
      </c>
      <c r="AN104" s="699">
        <f>AK104*$AN$3</f>
        <v>4.9425723178602103</v>
      </c>
      <c r="AO104" s="699">
        <f>AK104*$AO$3</f>
        <v>27.168968168770089</v>
      </c>
      <c r="AP104" s="699">
        <f>AK104*$AP$3</f>
        <v>2.5492153925109253</v>
      </c>
      <c r="AQ104" s="681">
        <f>AK104*AQ3</f>
        <v>0</v>
      </c>
      <c r="AS104" s="691">
        <f>(45525+1260)/1000</f>
        <v>46.784999999999997</v>
      </c>
      <c r="AT104" s="557">
        <f t="shared" si="707"/>
        <v>10.43083035914414</v>
      </c>
      <c r="AU104" s="699">
        <f>AS104*$AU$3</f>
        <v>4.3845956646457758</v>
      </c>
      <c r="AV104" s="699">
        <f>AS104*$AV$3</f>
        <v>6.0462346944983647</v>
      </c>
      <c r="AW104" s="699">
        <f>AS104*$AW$3</f>
        <v>33.235721683250325</v>
      </c>
      <c r="AX104" s="699">
        <f>AS104*$AX$3</f>
        <v>3.1184479576055337</v>
      </c>
      <c r="AY104" s="681">
        <f>AS104*AY3</f>
        <v>0</v>
      </c>
      <c r="BA104" s="691"/>
      <c r="BB104" s="557">
        <f t="shared" si="708"/>
        <v>0</v>
      </c>
      <c r="BC104" s="699">
        <f t="shared" si="671"/>
        <v>0</v>
      </c>
      <c r="BD104" s="699">
        <f t="shared" si="672"/>
        <v>0</v>
      </c>
      <c r="BE104" s="699">
        <f t="shared" si="673"/>
        <v>0</v>
      </c>
      <c r="BF104" s="699">
        <f t="shared" si="674"/>
        <v>0</v>
      </c>
      <c r="BG104" s="681">
        <f>BA104*BG3</f>
        <v>0</v>
      </c>
      <c r="BI104" s="691"/>
      <c r="BJ104" s="557">
        <f t="shared" si="709"/>
        <v>0</v>
      </c>
      <c r="BK104" s="699">
        <f t="shared" si="675"/>
        <v>0</v>
      </c>
      <c r="BL104" s="699">
        <f t="shared" si="676"/>
        <v>0</v>
      </c>
      <c r="BM104" s="699">
        <f t="shared" si="677"/>
        <v>0</v>
      </c>
      <c r="BN104" s="699">
        <f t="shared" si="678"/>
        <v>0</v>
      </c>
      <c r="BO104" s="681">
        <f>BI104*BO3</f>
        <v>0</v>
      </c>
      <c r="BQ104" s="691"/>
      <c r="BR104" s="557">
        <f t="shared" si="710"/>
        <v>0</v>
      </c>
      <c r="BS104" s="699">
        <f t="shared" si="679"/>
        <v>0</v>
      </c>
      <c r="BT104" s="699">
        <f t="shared" si="680"/>
        <v>0</v>
      </c>
      <c r="BU104" s="699">
        <f t="shared" si="681"/>
        <v>0</v>
      </c>
      <c r="BV104" s="699">
        <f t="shared" si="682"/>
        <v>0</v>
      </c>
      <c r="BW104" s="681">
        <f>BQ104*BW3</f>
        <v>0</v>
      </c>
      <c r="BY104" s="691"/>
      <c r="BZ104" s="557">
        <f t="shared" si="711"/>
        <v>0</v>
      </c>
      <c r="CA104" s="699">
        <f t="shared" si="683"/>
        <v>0</v>
      </c>
      <c r="CB104" s="699">
        <f t="shared" si="684"/>
        <v>0</v>
      </c>
      <c r="CC104" s="699">
        <f t="shared" si="685"/>
        <v>0</v>
      </c>
      <c r="CD104" s="699">
        <f t="shared" si="686"/>
        <v>0</v>
      </c>
      <c r="CE104" s="681">
        <f>BY104*CE3</f>
        <v>0</v>
      </c>
      <c r="CG104" s="691"/>
      <c r="CH104" s="557">
        <f t="shared" si="687"/>
        <v>0</v>
      </c>
      <c r="CI104" s="699">
        <f t="shared" si="688"/>
        <v>0</v>
      </c>
      <c r="CJ104" s="699">
        <f t="shared" si="689"/>
        <v>0</v>
      </c>
      <c r="CK104" s="699">
        <f t="shared" si="690"/>
        <v>0</v>
      </c>
      <c r="CL104" s="699">
        <f t="shared" si="691"/>
        <v>0</v>
      </c>
      <c r="CM104" s="681">
        <f>CG104*CM3</f>
        <v>0</v>
      </c>
      <c r="CO104" s="691"/>
      <c r="CP104" s="557">
        <f t="shared" si="692"/>
        <v>0</v>
      </c>
      <c r="CQ104" s="699">
        <f t="shared" si="693"/>
        <v>0</v>
      </c>
      <c r="CR104" s="699">
        <f t="shared" si="694"/>
        <v>0</v>
      </c>
      <c r="CS104" s="699">
        <f t="shared" si="695"/>
        <v>0</v>
      </c>
      <c r="CT104" s="699">
        <f t="shared" si="696"/>
        <v>0</v>
      </c>
      <c r="CU104" s="681">
        <f>CO104*CU3</f>
        <v>0</v>
      </c>
      <c r="CW104" s="691"/>
      <c r="CX104" s="557">
        <f t="shared" si="697"/>
        <v>0</v>
      </c>
      <c r="CY104" s="699">
        <f t="shared" si="698"/>
        <v>0</v>
      </c>
      <c r="CZ104" s="699">
        <f t="shared" si="699"/>
        <v>0</v>
      </c>
      <c r="DA104" s="699">
        <f t="shared" si="700"/>
        <v>0</v>
      </c>
      <c r="DB104" s="699">
        <f t="shared" si="701"/>
        <v>0</v>
      </c>
      <c r="DC104" s="681">
        <f>CW104*DC3</f>
        <v>0</v>
      </c>
    </row>
    <row r="105" spans="1:117" s="673" customFormat="1" ht="39.75" customHeight="1">
      <c r="A105" s="674" t="s">
        <v>51</v>
      </c>
      <c r="B105" s="675" t="s">
        <v>22</v>
      </c>
      <c r="C105" s="671" t="s">
        <v>9</v>
      </c>
      <c r="D105" s="566">
        <v>5232.0325435000004</v>
      </c>
      <c r="E105" s="557">
        <f t="shared" si="702"/>
        <v>4100</v>
      </c>
      <c r="F105" s="557">
        <v>2291</v>
      </c>
      <c r="G105" s="557">
        <v>1809</v>
      </c>
      <c r="H105" s="566">
        <f>D105-F105-G105-I105</f>
        <v>1112.3974632173199</v>
      </c>
      <c r="I105" s="557">
        <v>19.635080282680551</v>
      </c>
      <c r="J105" s="557"/>
      <c r="K105" s="701" t="s">
        <v>186</v>
      </c>
      <c r="M105" s="691">
        <f>1322550/1000</f>
        <v>1322.55</v>
      </c>
      <c r="N105" s="557">
        <f t="shared" si="703"/>
        <v>1029.1908649684947</v>
      </c>
      <c r="O105" s="727">
        <f>$M$105*$O$5</f>
        <v>584.37241446905898</v>
      </c>
      <c r="P105" s="727">
        <f>$M$105*$P$5</f>
        <v>444.81845049943581</v>
      </c>
      <c r="Q105" s="727">
        <f>$M$105*$Q$5</f>
        <v>266.07163680287732</v>
      </c>
      <c r="R105" s="727">
        <f>$M$105*$R$5</f>
        <v>27.287498228627861</v>
      </c>
      <c r="S105" s="706">
        <f>$M$115*$S$5</f>
        <v>0</v>
      </c>
      <c r="U105" s="691">
        <f>1324682/1000</f>
        <v>1324.682</v>
      </c>
      <c r="V105" s="557">
        <f t="shared" si="704"/>
        <v>1030.8499590852487</v>
      </c>
      <c r="W105" s="727">
        <f>U105*$W$5</f>
        <v>585.31444462871127</v>
      </c>
      <c r="X105" s="727">
        <f>U105*$X$5</f>
        <v>445.53551445653744</v>
      </c>
      <c r="Y105" s="727">
        <f>U105*$Y$5</f>
        <v>266.50055421973394</v>
      </c>
      <c r="Z105" s="727">
        <f>U105*$Z$5</f>
        <v>27.331486695017364</v>
      </c>
      <c r="AA105" s="706">
        <f>U105*AA5</f>
        <v>0</v>
      </c>
      <c r="AC105" s="691">
        <f>1326932/1000</f>
        <v>1326.932</v>
      </c>
      <c r="AD105" s="557">
        <f t="shared" si="705"/>
        <v>1032.6008792366072</v>
      </c>
      <c r="AE105" s="727">
        <f>AC105*$AE$5</f>
        <v>586.30861341821287</v>
      </c>
      <c r="AF105" s="727">
        <f>AC105*$AF$5</f>
        <v>446.2922658183943</v>
      </c>
      <c r="AG105" s="727">
        <f>AC105*$AG$5</f>
        <v>266.95321096829275</v>
      </c>
      <c r="AH105" s="727">
        <f>AC105*$AH$5</f>
        <v>27.377909795100091</v>
      </c>
      <c r="AI105" s="706">
        <f>AC105*AI5</f>
        <v>0</v>
      </c>
      <c r="AK105" s="691">
        <f>1326932/1000</f>
        <v>1326.932</v>
      </c>
      <c r="AL105" s="557">
        <f t="shared" si="706"/>
        <v>1032.6008792366072</v>
      </c>
      <c r="AM105" s="727">
        <f t="shared" ref="AM105" si="712">AK105*$AM$5</f>
        <v>586.30861341821287</v>
      </c>
      <c r="AN105" s="727">
        <f t="shared" ref="AN105" si="713">AK105*$AN$5</f>
        <v>446.2922658183943</v>
      </c>
      <c r="AO105" s="727">
        <f t="shared" ref="AO105" si="714">AK105*$AO$5</f>
        <v>266.95321096829275</v>
      </c>
      <c r="AP105" s="727">
        <f t="shared" ref="AP105" si="715">AK105*$AP$5</f>
        <v>27.377909795100091</v>
      </c>
      <c r="AQ105" s="706">
        <f>AK105*AQ5</f>
        <v>0</v>
      </c>
      <c r="AS105" s="691">
        <f>1326931/1000</f>
        <v>1326.931</v>
      </c>
      <c r="AT105" s="557">
        <f t="shared" si="707"/>
        <v>1032.6001010498733</v>
      </c>
      <c r="AU105" s="727">
        <f t="shared" ref="AU105" si="716">AS105*$AU$5</f>
        <v>586.30817156541752</v>
      </c>
      <c r="AV105" s="727">
        <f t="shared" ref="AV105" si="717">AS105*$AV$5</f>
        <v>446.29192948445569</v>
      </c>
      <c r="AW105" s="727">
        <f t="shared" ref="AW105" si="718">AS105*$AW$5</f>
        <v>266.95300978751567</v>
      </c>
      <c r="AX105" s="727">
        <f t="shared" ref="AX105" si="719">AS105*$AX$5</f>
        <v>27.377889162611169</v>
      </c>
      <c r="AY105" s="706">
        <f>AS105*AY5</f>
        <v>0</v>
      </c>
      <c r="BA105" s="691"/>
      <c r="BB105" s="557">
        <f t="shared" si="708"/>
        <v>0</v>
      </c>
      <c r="BC105" s="727">
        <f t="shared" ref="BC105" si="720">BA105*$BC$5</f>
        <v>0</v>
      </c>
      <c r="BD105" s="727">
        <f t="shared" ref="BD105" si="721">BA105*$BD$5</f>
        <v>0</v>
      </c>
      <c r="BE105" s="727">
        <f t="shared" ref="BE105" si="722">BA105*$BE$5</f>
        <v>0</v>
      </c>
      <c r="BF105" s="727">
        <f t="shared" ref="BF105" si="723">BA105*$BF$5</f>
        <v>0</v>
      </c>
      <c r="BG105" s="706">
        <f>BA105*BG5</f>
        <v>0</v>
      </c>
      <c r="BI105" s="691"/>
      <c r="BJ105" s="557">
        <f t="shared" si="709"/>
        <v>0</v>
      </c>
      <c r="BK105" s="727">
        <f t="shared" ref="BK105" si="724">BI105*$BK$5</f>
        <v>0</v>
      </c>
      <c r="BL105" s="727">
        <f t="shared" ref="BL105" si="725">BI105*$BL$5</f>
        <v>0</v>
      </c>
      <c r="BM105" s="727">
        <f t="shared" ref="BM105" si="726">BI105*$BM$5</f>
        <v>0</v>
      </c>
      <c r="BN105" s="727">
        <f t="shared" ref="BN105" si="727">BI105*$BN$5</f>
        <v>0</v>
      </c>
      <c r="BO105" s="706">
        <f>BI105*BO5</f>
        <v>0</v>
      </c>
      <c r="BQ105" s="691"/>
      <c r="BR105" s="557">
        <f t="shared" si="710"/>
        <v>0</v>
      </c>
      <c r="BS105" s="727">
        <f>BQ105*$BS$5</f>
        <v>0</v>
      </c>
      <c r="BT105" s="727">
        <f>BQ105*$BT$5</f>
        <v>0</v>
      </c>
      <c r="BU105" s="727">
        <f>BQ105*$BU$5</f>
        <v>0</v>
      </c>
      <c r="BV105" s="727">
        <f>BQ105*$BV$5</f>
        <v>0</v>
      </c>
      <c r="BW105" s="706">
        <f>BQ105*BW5</f>
        <v>0</v>
      </c>
      <c r="BY105" s="691"/>
      <c r="BZ105" s="557">
        <f t="shared" si="711"/>
        <v>0</v>
      </c>
      <c r="CA105" s="727">
        <f t="shared" ref="CA105" si="728">BY105*$CA$5</f>
        <v>0</v>
      </c>
      <c r="CB105" s="727">
        <f t="shared" ref="CB105" si="729">BY105*$CB$5</f>
        <v>0</v>
      </c>
      <c r="CC105" s="727">
        <f t="shared" ref="CC105" si="730">BY105*$CC$5</f>
        <v>0</v>
      </c>
      <c r="CD105" s="727">
        <f t="shared" ref="CD105" si="731">BY105*$CD$5</f>
        <v>0</v>
      </c>
      <c r="CE105" s="706">
        <f>BY105*CE5</f>
        <v>0</v>
      </c>
      <c r="CG105" s="691"/>
      <c r="CH105" s="557">
        <f t="shared" si="687"/>
        <v>0</v>
      </c>
      <c r="CI105" s="727">
        <f t="shared" ref="CI105" si="732">CG105*$CI$5</f>
        <v>0</v>
      </c>
      <c r="CJ105" s="727">
        <f t="shared" ref="CJ105" si="733">CG105*$CJ$5</f>
        <v>0</v>
      </c>
      <c r="CK105" s="727">
        <f t="shared" ref="CK105" si="734">CG105*$CK$5</f>
        <v>0</v>
      </c>
      <c r="CL105" s="727">
        <f t="shared" ref="CL105" si="735">CG105*$CL$5</f>
        <v>0</v>
      </c>
      <c r="CM105" s="706">
        <f>CG105*CM5</f>
        <v>0</v>
      </c>
      <c r="CO105" s="728"/>
      <c r="CP105" s="557">
        <f t="shared" si="692"/>
        <v>0</v>
      </c>
      <c r="CQ105" s="727">
        <f t="shared" ref="CQ105" si="736">CO105*$CQ$5</f>
        <v>0</v>
      </c>
      <c r="CR105" s="727">
        <f t="shared" ref="CR105" si="737">CO105*$CR$5</f>
        <v>0</v>
      </c>
      <c r="CS105" s="727">
        <f t="shared" ref="CS105" si="738">CO105*$CS$5</f>
        <v>0</v>
      </c>
      <c r="CT105" s="727">
        <f t="shared" ref="CT105" si="739">CO105*$CT$5</f>
        <v>0</v>
      </c>
      <c r="CU105" s="706">
        <f>CO105*CU5</f>
        <v>0</v>
      </c>
      <c r="CW105" s="728"/>
      <c r="CX105" s="557">
        <f t="shared" si="697"/>
        <v>0</v>
      </c>
      <c r="CY105" s="727">
        <f t="shared" ref="CY105" si="740">CW105*$CY$5</f>
        <v>0</v>
      </c>
      <c r="CZ105" s="727">
        <f t="shared" ref="CZ105" si="741">CW105*$CZ$5</f>
        <v>0</v>
      </c>
      <c r="DA105" s="727">
        <f t="shared" ref="DA105" si="742">CW105*$DA$5</f>
        <v>0</v>
      </c>
      <c r="DB105" s="727">
        <f t="shared" ref="DB105" si="743">CW105*$DB$5</f>
        <v>0</v>
      </c>
      <c r="DC105" s="706">
        <f>CW105*DC5</f>
        <v>0</v>
      </c>
    </row>
    <row r="106" spans="1:117" s="673" customFormat="1" ht="30.75" customHeight="1">
      <c r="A106" s="674" t="s">
        <v>54</v>
      </c>
      <c r="B106" s="675" t="s">
        <v>448</v>
      </c>
      <c r="C106" s="660" t="s">
        <v>9</v>
      </c>
      <c r="D106" s="566">
        <f>SUM(D108:D111)</f>
        <v>25588.812061714285</v>
      </c>
      <c r="E106" s="557">
        <f t="shared" si="702"/>
        <v>5705.0883340336259</v>
      </c>
      <c r="F106" s="566">
        <f t="shared" ref="F106:J106" si="744">SUM(F108:F111)</f>
        <v>2398.131760804275</v>
      </c>
      <c r="G106" s="566">
        <f t="shared" si="744"/>
        <v>3306.9565732293504</v>
      </c>
      <c r="H106" s="566">
        <f t="shared" si="744"/>
        <v>18897.720670725583</v>
      </c>
      <c r="I106" s="566">
        <f t="shared" si="744"/>
        <v>986.0030569550795</v>
      </c>
      <c r="J106" s="566">
        <f t="shared" si="744"/>
        <v>0</v>
      </c>
      <c r="K106" s="689"/>
      <c r="M106" s="566">
        <f>SUM(M108:M111)</f>
        <v>453.04074000000003</v>
      </c>
      <c r="N106" s="557">
        <f t="shared" si="703"/>
        <v>101.00654279621945</v>
      </c>
      <c r="O106" s="566">
        <f t="shared" ref="O106:S106" si="745">SUM(O108:O111)</f>
        <v>42.458062723349663</v>
      </c>
      <c r="P106" s="566">
        <f t="shared" si="745"/>
        <v>58.548480072869786</v>
      </c>
      <c r="Q106" s="566">
        <f t="shared" si="745"/>
        <v>321.83682688497964</v>
      </c>
      <c r="R106" s="566">
        <f t="shared" si="745"/>
        <v>30.197370318800893</v>
      </c>
      <c r="S106" s="566">
        <f t="shared" si="745"/>
        <v>0</v>
      </c>
      <c r="U106" s="566">
        <f>SUM(U108:U111)</f>
        <v>386.10010999999997</v>
      </c>
      <c r="V106" s="557">
        <f t="shared" si="704"/>
        <v>86.081965353358811</v>
      </c>
      <c r="W106" s="566">
        <f t="shared" ref="W106:AA106" si="746">SUM(W108:W111)</f>
        <v>36.184522142251943</v>
      </c>
      <c r="X106" s="566">
        <f t="shared" si="746"/>
        <v>49.897443211106875</v>
      </c>
      <c r="Y106" s="566">
        <f t="shared" si="746"/>
        <v>274.28269312455564</v>
      </c>
      <c r="Z106" s="566">
        <f t="shared" si="746"/>
        <v>25.73545152208554</v>
      </c>
      <c r="AA106" s="566">
        <f t="shared" si="746"/>
        <v>0</v>
      </c>
      <c r="AC106" s="566">
        <f>SUM(AC108:AC111)</f>
        <v>390.08499999999998</v>
      </c>
      <c r="AD106" s="557">
        <f t="shared" si="705"/>
        <v>86.970406340637851</v>
      </c>
      <c r="AE106" s="566">
        <f t="shared" ref="AE106:AI106" si="747">SUM(AE108:AE111)</f>
        <v>36.55797798104836</v>
      </c>
      <c r="AF106" s="566">
        <f t="shared" si="747"/>
        <v>50.412428359589491</v>
      </c>
      <c r="AG106" s="566">
        <f t="shared" si="747"/>
        <v>277.11352982389019</v>
      </c>
      <c r="AH106" s="566">
        <f t="shared" si="747"/>
        <v>26.001063835471943</v>
      </c>
      <c r="AI106" s="566">
        <f t="shared" si="747"/>
        <v>0</v>
      </c>
      <c r="AK106" s="566">
        <f>SUM(AK108:AK111)</f>
        <v>471.28278999999998</v>
      </c>
      <c r="AL106" s="557">
        <f t="shared" si="706"/>
        <v>105.07365253124192</v>
      </c>
      <c r="AM106" s="566">
        <f t="shared" ref="AM106:AQ106" si="748">SUM(AM108:AM111)</f>
        <v>44.167670788846117</v>
      </c>
      <c r="AN106" s="566">
        <f t="shared" si="748"/>
        <v>60.905981742395795</v>
      </c>
      <c r="AO106" s="566">
        <f t="shared" si="748"/>
        <v>334.79584573144615</v>
      </c>
      <c r="AP106" s="566">
        <f t="shared" si="748"/>
        <v>31.413291737311916</v>
      </c>
      <c r="AQ106" s="566">
        <f t="shared" si="748"/>
        <v>0</v>
      </c>
      <c r="AS106" s="566">
        <f>SUM(AS108:AS111)</f>
        <v>667.96061999999995</v>
      </c>
      <c r="AT106" s="557">
        <f t="shared" si="707"/>
        <v>148.92345653112628</v>
      </c>
      <c r="AU106" s="566">
        <f t="shared" ref="AU106:AY106" si="749">SUM(AU108:AU111)</f>
        <v>62.599919602567155</v>
      </c>
      <c r="AV106" s="566">
        <f t="shared" si="749"/>
        <v>86.323536928559122</v>
      </c>
      <c r="AW106" s="566">
        <f t="shared" si="749"/>
        <v>474.51433710999953</v>
      </c>
      <c r="AX106" s="566">
        <f t="shared" si="749"/>
        <v>44.522826358874127</v>
      </c>
      <c r="AY106" s="566">
        <f t="shared" si="749"/>
        <v>0</v>
      </c>
      <c r="BA106" s="566">
        <f>SUM(BA108:BA111)</f>
        <v>0</v>
      </c>
      <c r="BB106" s="557">
        <f t="shared" si="708"/>
        <v>0</v>
      </c>
      <c r="BC106" s="566">
        <f t="shared" ref="BC106:BG106" si="750">SUM(BC108:BC111)</f>
        <v>0</v>
      </c>
      <c r="BD106" s="566">
        <f t="shared" si="750"/>
        <v>0</v>
      </c>
      <c r="BE106" s="566">
        <f t="shared" si="750"/>
        <v>0</v>
      </c>
      <c r="BF106" s="566">
        <f t="shared" si="750"/>
        <v>0</v>
      </c>
      <c r="BG106" s="566">
        <f t="shared" si="750"/>
        <v>0</v>
      </c>
      <c r="BI106" s="566">
        <f>SUM(BI108:BI111)</f>
        <v>0</v>
      </c>
      <c r="BJ106" s="557">
        <f t="shared" si="709"/>
        <v>0</v>
      </c>
      <c r="BK106" s="566">
        <f t="shared" ref="BK106:BO106" si="751">SUM(BK108:BK111)</f>
        <v>0</v>
      </c>
      <c r="BL106" s="566">
        <f t="shared" si="751"/>
        <v>0</v>
      </c>
      <c r="BM106" s="566">
        <f t="shared" si="751"/>
        <v>0</v>
      </c>
      <c r="BN106" s="566">
        <f t="shared" si="751"/>
        <v>0</v>
      </c>
      <c r="BO106" s="566">
        <f t="shared" si="751"/>
        <v>0</v>
      </c>
      <c r="BQ106" s="566">
        <f>SUM(BQ108:BQ111)</f>
        <v>0</v>
      </c>
      <c r="BR106" s="557">
        <f t="shared" si="710"/>
        <v>0</v>
      </c>
      <c r="BS106" s="566">
        <f t="shared" ref="BS106:BW106" si="752">SUM(BS108:BS111)</f>
        <v>0</v>
      </c>
      <c r="BT106" s="566">
        <f t="shared" si="752"/>
        <v>0</v>
      </c>
      <c r="BU106" s="566">
        <f t="shared" si="752"/>
        <v>0</v>
      </c>
      <c r="BV106" s="566">
        <f t="shared" si="752"/>
        <v>0</v>
      </c>
      <c r="BW106" s="566">
        <f t="shared" si="752"/>
        <v>0</v>
      </c>
      <c r="BY106" s="566">
        <f>SUM(BY108:BY111)</f>
        <v>0</v>
      </c>
      <c r="BZ106" s="557">
        <f t="shared" si="711"/>
        <v>0</v>
      </c>
      <c r="CA106" s="566">
        <f t="shared" ref="CA106:CE106" si="753">SUM(CA108:CA111)</f>
        <v>0</v>
      </c>
      <c r="CB106" s="566">
        <f t="shared" si="753"/>
        <v>0</v>
      </c>
      <c r="CC106" s="566">
        <f t="shared" si="753"/>
        <v>0</v>
      </c>
      <c r="CD106" s="566">
        <f t="shared" si="753"/>
        <v>0</v>
      </c>
      <c r="CE106" s="566">
        <f t="shared" si="753"/>
        <v>0</v>
      </c>
      <c r="CG106" s="566">
        <f>SUM(CG108:CG111)</f>
        <v>0</v>
      </c>
      <c r="CH106" s="557">
        <f t="shared" si="687"/>
        <v>0</v>
      </c>
      <c r="CI106" s="566">
        <f t="shared" ref="CI106:CM106" si="754">SUM(CI108:CI111)</f>
        <v>0</v>
      </c>
      <c r="CJ106" s="566">
        <f t="shared" si="754"/>
        <v>0</v>
      </c>
      <c r="CK106" s="566">
        <f t="shared" si="754"/>
        <v>0</v>
      </c>
      <c r="CL106" s="566">
        <f t="shared" si="754"/>
        <v>0</v>
      </c>
      <c r="CM106" s="566">
        <f t="shared" si="754"/>
        <v>0</v>
      </c>
      <c r="CO106" s="566">
        <f>SUM(CO108:CO111)</f>
        <v>0</v>
      </c>
      <c r="CP106" s="557">
        <f t="shared" si="692"/>
        <v>0</v>
      </c>
      <c r="CQ106" s="566">
        <f t="shared" ref="CQ106:CU106" si="755">SUM(CQ108:CQ111)</f>
        <v>0</v>
      </c>
      <c r="CR106" s="566">
        <f t="shared" si="755"/>
        <v>0</v>
      </c>
      <c r="CS106" s="566">
        <f t="shared" si="755"/>
        <v>0</v>
      </c>
      <c r="CT106" s="566">
        <f t="shared" si="755"/>
        <v>0</v>
      </c>
      <c r="CU106" s="566">
        <f t="shared" si="755"/>
        <v>0</v>
      </c>
      <c r="CW106" s="566">
        <f>SUM(CW108:CW111)</f>
        <v>0</v>
      </c>
      <c r="CX106" s="557">
        <f t="shared" si="697"/>
        <v>0</v>
      </c>
      <c r="CY106" s="566">
        <f t="shared" ref="CY106:DC106" si="756">SUM(CY108:CY111)</f>
        <v>0</v>
      </c>
      <c r="CZ106" s="566">
        <f t="shared" si="756"/>
        <v>0</v>
      </c>
      <c r="DA106" s="566">
        <f t="shared" si="756"/>
        <v>0</v>
      </c>
      <c r="DB106" s="566">
        <f t="shared" si="756"/>
        <v>0</v>
      </c>
      <c r="DC106" s="566">
        <f t="shared" si="756"/>
        <v>0</v>
      </c>
    </row>
    <row r="107" spans="1:117" s="673" customFormat="1">
      <c r="A107" s="674"/>
      <c r="B107" s="675" t="s">
        <v>7</v>
      </c>
      <c r="C107" s="660"/>
      <c r="D107" s="566"/>
      <c r="E107" s="566"/>
      <c r="F107" s="566"/>
      <c r="G107" s="566"/>
      <c r="H107" s="566"/>
      <c r="I107" s="697"/>
      <c r="J107" s="697"/>
      <c r="K107" s="698"/>
      <c r="M107" s="566"/>
      <c r="N107" s="566"/>
      <c r="O107" s="566"/>
      <c r="P107" s="566"/>
      <c r="Q107" s="566"/>
      <c r="R107" s="697"/>
      <c r="S107" s="697"/>
      <c r="U107" s="566"/>
      <c r="V107" s="566"/>
      <c r="W107" s="566"/>
      <c r="X107" s="566"/>
      <c r="Y107" s="566"/>
      <c r="Z107" s="697"/>
      <c r="AA107" s="697"/>
      <c r="AC107" s="566"/>
      <c r="AD107" s="566"/>
      <c r="AE107" s="566"/>
      <c r="AF107" s="566"/>
      <c r="AG107" s="566"/>
      <c r="AH107" s="697"/>
      <c r="AI107" s="697"/>
      <c r="AK107" s="566"/>
      <c r="AL107" s="566"/>
      <c r="AM107" s="566"/>
      <c r="AN107" s="566"/>
      <c r="AO107" s="566"/>
      <c r="AP107" s="697"/>
      <c r="AQ107" s="697"/>
      <c r="AS107" s="566"/>
      <c r="AT107" s="566"/>
      <c r="AU107" s="566"/>
      <c r="AV107" s="566"/>
      <c r="AW107" s="566"/>
      <c r="AX107" s="697"/>
      <c r="AY107" s="697"/>
      <c r="BA107" s="566"/>
      <c r="BB107" s="566"/>
      <c r="BC107" s="566"/>
      <c r="BD107" s="566"/>
      <c r="BE107" s="566"/>
      <c r="BF107" s="697"/>
      <c r="BG107" s="697"/>
      <c r="BI107" s="566"/>
      <c r="BJ107" s="566"/>
      <c r="BK107" s="566"/>
      <c r="BL107" s="566"/>
      <c r="BM107" s="566"/>
      <c r="BN107" s="697"/>
      <c r="BO107" s="697"/>
      <c r="BQ107" s="566"/>
      <c r="BR107" s="566"/>
      <c r="BS107" s="566"/>
      <c r="BT107" s="566"/>
      <c r="BU107" s="566"/>
      <c r="BV107" s="697"/>
      <c r="BW107" s="697"/>
      <c r="BY107" s="566"/>
      <c r="BZ107" s="566"/>
      <c r="CA107" s="566"/>
      <c r="CB107" s="566"/>
      <c r="CC107" s="566"/>
      <c r="CD107" s="697"/>
      <c r="CE107" s="697"/>
      <c r="CG107" s="566"/>
      <c r="CH107" s="566"/>
      <c r="CI107" s="566"/>
      <c r="CJ107" s="566"/>
      <c r="CK107" s="566"/>
      <c r="CL107" s="697"/>
      <c r="CM107" s="697"/>
      <c r="CO107" s="566"/>
      <c r="CP107" s="566"/>
      <c r="CQ107" s="566"/>
      <c r="CR107" s="566"/>
      <c r="CS107" s="566"/>
      <c r="CT107" s="697"/>
      <c r="CU107" s="697"/>
      <c r="CW107" s="566"/>
      <c r="CX107" s="566"/>
      <c r="CY107" s="566"/>
      <c r="CZ107" s="566"/>
      <c r="DA107" s="566"/>
      <c r="DB107" s="697"/>
      <c r="DC107" s="697"/>
    </row>
    <row r="108" spans="1:117" s="673" customFormat="1" ht="36" customHeight="1">
      <c r="A108" s="690"/>
      <c r="B108" s="678" t="s">
        <v>458</v>
      </c>
      <c r="C108" s="690" t="s">
        <v>9</v>
      </c>
      <c r="D108" s="563">
        <v>18023.565714285716</v>
      </c>
      <c r="E108" s="563">
        <f>F108+G108</f>
        <v>4018.3981283018252</v>
      </c>
      <c r="F108" s="563">
        <v>1689.13215971605</v>
      </c>
      <c r="G108" s="563">
        <v>2329.2659685857752</v>
      </c>
      <c r="H108" s="563">
        <f>D108-F108-G108-I108</f>
        <v>13310.673021380569</v>
      </c>
      <c r="I108" s="563">
        <v>694.49456460332112</v>
      </c>
      <c r="J108" s="563"/>
      <c r="K108" s="679" t="s">
        <v>184</v>
      </c>
      <c r="M108" s="680">
        <f>(164454.54)/1000</f>
        <v>164.45454000000001</v>
      </c>
      <c r="N108" s="563">
        <f>O108+P108</f>
        <v>36.665542557039316</v>
      </c>
      <c r="O108" s="681">
        <f>$M$108*$O$3</f>
        <v>15.412347186391266</v>
      </c>
      <c r="P108" s="681">
        <f>$M$108*$P$3</f>
        <v>21.253195370648054</v>
      </c>
      <c r="Q108" s="681">
        <f>$M$108*$Q$3</f>
        <v>116.82730193410191</v>
      </c>
      <c r="R108" s="681">
        <f>$M$108*$R$3</f>
        <v>10.961695508858771</v>
      </c>
      <c r="S108" s="681">
        <f t="shared" ref="S108:S112" si="757">$M$16*$S$3</f>
        <v>0</v>
      </c>
      <c r="U108" s="680">
        <f>(164454.54)/1000</f>
        <v>164.45454000000001</v>
      </c>
      <c r="V108" s="563">
        <f>W108+X108</f>
        <v>36.665542557039316</v>
      </c>
      <c r="W108" s="681">
        <f t="shared" ref="W108:W111" si="758">U108*$W$3</f>
        <v>15.412347186391266</v>
      </c>
      <c r="X108" s="681">
        <f t="shared" ref="X108:X111" si="759">U108*$X$3</f>
        <v>21.253195370648054</v>
      </c>
      <c r="Y108" s="681">
        <f t="shared" ref="Y108:Y111" si="760">U108*$Y$3</f>
        <v>116.82730193410191</v>
      </c>
      <c r="Z108" s="681">
        <f t="shared" ref="Z108:Z111" si="761">U108*$Z$3</f>
        <v>10.961695508858771</v>
      </c>
      <c r="AA108" s="681">
        <f>U108*AA3</f>
        <v>0</v>
      </c>
      <c r="AC108" s="680">
        <f>(164455)/1000</f>
        <v>164.45500000000001</v>
      </c>
      <c r="AD108" s="563">
        <f>AE108+AF108</f>
        <v>36.665645115166178</v>
      </c>
      <c r="AE108" s="681">
        <f t="shared" ref="AE108:AE112" si="762">AC108*$AE$3</f>
        <v>15.412390296661775</v>
      </c>
      <c r="AF108" s="681">
        <f t="shared" ref="AF108:AF112" si="763">AC108*$AF$3</f>
        <v>21.253254818504406</v>
      </c>
      <c r="AG108" s="681">
        <f t="shared" ref="AG108:AG112" si="764">AC108*$AG$3</f>
        <v>116.82762871473619</v>
      </c>
      <c r="AH108" s="681">
        <f t="shared" ref="AH108:AH112" si="765">AC108*$AH$3</f>
        <v>10.961726170097641</v>
      </c>
      <c r="AI108" s="681">
        <f>AC108*AI3</f>
        <v>0</v>
      </c>
      <c r="AK108" s="680">
        <f>(164556)/1000</f>
        <v>164.55600000000001</v>
      </c>
      <c r="AL108" s="563">
        <f>AM108+AN108</f>
        <v>36.688163312585729</v>
      </c>
      <c r="AM108" s="681">
        <f t="shared" ref="AM108:AM111" si="766">AK108*$AM$3</f>
        <v>15.421855812577757</v>
      </c>
      <c r="AN108" s="681">
        <f t="shared" ref="AN108:AN111" si="767">AK108*$AN$3</f>
        <v>21.266307500007972</v>
      </c>
      <c r="AO108" s="681">
        <f t="shared" ref="AO108:AO111" si="768">AK108*$AO$3</f>
        <v>116.89937837573882</v>
      </c>
      <c r="AP108" s="681">
        <f t="shared" ref="AP108:AP111" si="769">AK108*$AP$3</f>
        <v>10.968458311675457</v>
      </c>
      <c r="AQ108" s="681">
        <f>AK108*AQ3</f>
        <v>0</v>
      </c>
      <c r="AS108" s="680">
        <f>(167833.02/1000)</f>
        <v>167.83301999999998</v>
      </c>
      <c r="AT108" s="563">
        <f>AU108+AV108</f>
        <v>37.418782949296684</v>
      </c>
      <c r="AU108" s="681">
        <f t="shared" ref="AU108:AU111" si="770">AS108*$AU$3</f>
        <v>15.728971505320246</v>
      </c>
      <c r="AV108" s="681">
        <f t="shared" ref="AV108:AV111" si="771">AS108*$AV$3</f>
        <v>21.689811443976442</v>
      </c>
      <c r="AW108" s="681">
        <f t="shared" ref="AW108:AW111" si="772">AS108*$AW$3</f>
        <v>119.22734940642053</v>
      </c>
      <c r="AX108" s="681">
        <f t="shared" ref="AX108:AX111" si="773">AS108*$AX$3</f>
        <v>11.186887644282754</v>
      </c>
      <c r="AY108" s="681">
        <f>AS108*AY3</f>
        <v>0</v>
      </c>
      <c r="BA108" s="680"/>
      <c r="BB108" s="563">
        <f>BC108+BD108</f>
        <v>0</v>
      </c>
      <c r="BC108" s="681">
        <f t="shared" ref="BC108:BC112" si="774">BA108*$BC$3</f>
        <v>0</v>
      </c>
      <c r="BD108" s="681">
        <f t="shared" ref="BD108:BD112" si="775">BA108*$BD$3</f>
        <v>0</v>
      </c>
      <c r="BE108" s="681">
        <f t="shared" ref="BE108:BE112" si="776">BA108*$BE$3</f>
        <v>0</v>
      </c>
      <c r="BF108" s="681">
        <f t="shared" ref="BF108:BF112" si="777">BA108*$BF$3</f>
        <v>0</v>
      </c>
      <c r="BG108" s="681">
        <f>BA108*BG3</f>
        <v>0</v>
      </c>
      <c r="BI108" s="680"/>
      <c r="BJ108" s="563">
        <f>BK108+BL108</f>
        <v>0</v>
      </c>
      <c r="BK108" s="681">
        <f t="shared" ref="BK108:BK109" si="778">BI108*$BK$3</f>
        <v>0</v>
      </c>
      <c r="BL108" s="681">
        <f t="shared" ref="BL108:BL109" si="779">BI108*$BL$3</f>
        <v>0</v>
      </c>
      <c r="BM108" s="681">
        <f t="shared" ref="BM108:BM109" si="780">BI108*$BM$3</f>
        <v>0</v>
      </c>
      <c r="BN108" s="681">
        <f t="shared" ref="BN108:BN109" si="781">BI108*$BN$3</f>
        <v>0</v>
      </c>
      <c r="BO108" s="681">
        <f>BI108*BO3</f>
        <v>0</v>
      </c>
      <c r="BQ108" s="680"/>
      <c r="BR108" s="563">
        <f>BS108+BT108</f>
        <v>0</v>
      </c>
      <c r="BS108" s="681">
        <f t="shared" ref="BS108:BS112" si="782">BQ108*$BS$3</f>
        <v>0</v>
      </c>
      <c r="BT108" s="681">
        <f t="shared" ref="BT108:BT112" si="783">BQ108*$BT$3</f>
        <v>0</v>
      </c>
      <c r="BU108" s="681">
        <f t="shared" ref="BU108:BU112" si="784">BQ108*$BU$3</f>
        <v>0</v>
      </c>
      <c r="BV108" s="681">
        <f t="shared" ref="BV108:BV112" si="785">BQ108*$BV$3</f>
        <v>0</v>
      </c>
      <c r="BW108" s="681">
        <f>BQ108*BW3</f>
        <v>0</v>
      </c>
      <c r="BX108" s="708"/>
      <c r="BY108" s="680"/>
      <c r="BZ108" s="563">
        <f>CA108+CB108</f>
        <v>0</v>
      </c>
      <c r="CA108" s="681">
        <f t="shared" ref="CA108:CA112" si="786">BY108*$CA$3</f>
        <v>0</v>
      </c>
      <c r="CB108" s="681">
        <f t="shared" ref="CB108:CB112" si="787">BY108*$CB$3</f>
        <v>0</v>
      </c>
      <c r="CC108" s="681">
        <f t="shared" ref="CC108:CC112" si="788">BY108*$CC$3</f>
        <v>0</v>
      </c>
      <c r="CD108" s="681">
        <f t="shared" ref="CD108:CD112" si="789">BY108*$CD$3</f>
        <v>0</v>
      </c>
      <c r="CE108" s="681">
        <f>BY108*CE3</f>
        <v>0</v>
      </c>
      <c r="CG108" s="680"/>
      <c r="CH108" s="560">
        <f t="shared" ref="CH108:CH112" si="790">CI108+CJ108</f>
        <v>0</v>
      </c>
      <c r="CI108" s="681">
        <f t="shared" ref="CI108:CI110" si="791">CG108*$CI$3</f>
        <v>0</v>
      </c>
      <c r="CJ108" s="681">
        <f t="shared" ref="CJ108:CJ112" si="792">CG108*$CJ$3</f>
        <v>0</v>
      </c>
      <c r="CK108" s="681">
        <f t="shared" ref="CK108:CK112" si="793">CG108*$CK$3</f>
        <v>0</v>
      </c>
      <c r="CL108" s="681">
        <f t="shared" ref="CL108:CL112" si="794">CG108*$CL$3</f>
        <v>0</v>
      </c>
      <c r="CM108" s="681">
        <f>CG108*CM3</f>
        <v>0</v>
      </c>
      <c r="CN108" s="708"/>
      <c r="CO108" s="680"/>
      <c r="CP108" s="560">
        <f t="shared" ref="CP108:CP112" si="795">CQ108+CR108</f>
        <v>0</v>
      </c>
      <c r="CQ108" s="681">
        <f t="shared" ref="CQ108:CQ112" si="796">CO108*$CQ$3</f>
        <v>0</v>
      </c>
      <c r="CR108" s="681">
        <f t="shared" ref="CR108:CR112" si="797">CO108*$CR$3</f>
        <v>0</v>
      </c>
      <c r="CS108" s="681">
        <f t="shared" ref="CS108:CS112" si="798">CO108*$CS$3</f>
        <v>0</v>
      </c>
      <c r="CT108" s="681">
        <f t="shared" ref="CT108:CT112" si="799">CO108*$CT$3</f>
        <v>0</v>
      </c>
      <c r="CU108" s="681">
        <f>CO108*CU3</f>
        <v>0</v>
      </c>
      <c r="CV108" s="708"/>
      <c r="CW108" s="680"/>
      <c r="CX108" s="560">
        <f t="shared" ref="CX108:CX112" si="800">CY108+CZ108</f>
        <v>0</v>
      </c>
      <c r="CY108" s="681">
        <f t="shared" ref="CY108:CY112" si="801">CW108*$CY$3</f>
        <v>0</v>
      </c>
      <c r="CZ108" s="681">
        <f t="shared" ref="CZ108:CZ112" si="802">CW108*$CZ$3</f>
        <v>0</v>
      </c>
      <c r="DA108" s="681">
        <f t="shared" ref="DA108:DA112" si="803">CW108*$DA$3</f>
        <v>0</v>
      </c>
      <c r="DB108" s="681">
        <f t="shared" ref="DB108:DB112" si="804">CW108*$DB$3</f>
        <v>0</v>
      </c>
      <c r="DC108" s="681">
        <f>CW108*DC3</f>
        <v>0</v>
      </c>
    </row>
    <row r="109" spans="1:117" s="673" customFormat="1" ht="20.25" customHeight="1">
      <c r="A109" s="690"/>
      <c r="B109" s="678" t="s">
        <v>459</v>
      </c>
      <c r="C109" s="690" t="s">
        <v>9</v>
      </c>
      <c r="D109" s="563">
        <v>4719.92</v>
      </c>
      <c r="E109" s="563">
        <f t="shared" ref="E109:E112" si="805">F109+G109</f>
        <v>1052.3177263809257</v>
      </c>
      <c r="F109" s="563">
        <v>442.34136516992385</v>
      </c>
      <c r="G109" s="563">
        <v>609.97636121100174</v>
      </c>
      <c r="H109" s="563">
        <f>D109-F109-G109-I109</f>
        <v>3485.7315585050083</v>
      </c>
      <c r="I109" s="563">
        <v>181.87071511406614</v>
      </c>
      <c r="J109" s="563"/>
      <c r="K109" s="679" t="s">
        <v>184</v>
      </c>
      <c r="M109" s="680">
        <f>181244.2/1000</f>
        <v>181.24420000000001</v>
      </c>
      <c r="N109" s="563">
        <f t="shared" ref="N109:N112" si="806">O109+P109</f>
        <v>40.408838383644166</v>
      </c>
      <c r="O109" s="681">
        <f>$M$109*$O$3</f>
        <v>16.985840195836101</v>
      </c>
      <c r="P109" s="681">
        <f>$M$109*$P$3</f>
        <v>23.422998187808069</v>
      </c>
      <c r="Q109" s="681">
        <f>$M$109*$Q$3</f>
        <v>128.75455355142373</v>
      </c>
      <c r="R109" s="681">
        <f>$M$109*$R$3</f>
        <v>12.080808064932114</v>
      </c>
      <c r="S109" s="681">
        <f t="shared" si="757"/>
        <v>0</v>
      </c>
      <c r="U109" s="680">
        <f>127705/1000</f>
        <v>127.705</v>
      </c>
      <c r="V109" s="563">
        <f t="shared" ref="V109:V112" si="807">W109+X109</f>
        <v>28.472142588746443</v>
      </c>
      <c r="W109" s="681">
        <f t="shared" si="758"/>
        <v>11.96825455495541</v>
      </c>
      <c r="X109" s="681">
        <f t="shared" si="759"/>
        <v>16.503888033791036</v>
      </c>
      <c r="Y109" s="681">
        <f t="shared" si="760"/>
        <v>90.72069760734172</v>
      </c>
      <c r="Z109" s="681">
        <f t="shared" si="761"/>
        <v>8.5121598039118247</v>
      </c>
      <c r="AA109" s="681">
        <f>U109*AA3</f>
        <v>0</v>
      </c>
      <c r="AC109" s="680">
        <f>131551/1000</f>
        <v>131.55099999999999</v>
      </c>
      <c r="AD109" s="563">
        <f t="shared" ref="AD109:AD112" si="808">AE109+AF109</f>
        <v>29.329617710286861</v>
      </c>
      <c r="AE109" s="681">
        <f t="shared" si="762"/>
        <v>12.328693903597658</v>
      </c>
      <c r="AF109" s="681">
        <f t="shared" si="763"/>
        <v>17.000923806689201</v>
      </c>
      <c r="AG109" s="681">
        <f t="shared" si="764"/>
        <v>93.452867866907411</v>
      </c>
      <c r="AH109" s="681">
        <f t="shared" si="765"/>
        <v>8.768514422805719</v>
      </c>
      <c r="AI109" s="681">
        <f>AC109*AI3</f>
        <v>0</v>
      </c>
      <c r="AK109" s="680">
        <f>168628/1000</f>
        <v>168.62799999999999</v>
      </c>
      <c r="AL109" s="563">
        <f t="shared" ref="AL109:AL112" si="809">AM109+AN109</f>
        <v>37.596025687758001</v>
      </c>
      <c r="AM109" s="681">
        <f t="shared" si="766"/>
        <v>15.803475424556757</v>
      </c>
      <c r="AN109" s="681">
        <f t="shared" si="767"/>
        <v>21.792550263201242</v>
      </c>
      <c r="AO109" s="681">
        <f t="shared" si="768"/>
        <v>119.79209738170643</v>
      </c>
      <c r="AP109" s="681">
        <f t="shared" si="769"/>
        <v>11.239876930535555</v>
      </c>
      <c r="AQ109" s="681">
        <f>AK109*AQ3</f>
        <v>0</v>
      </c>
      <c r="AS109" s="680">
        <f>369818.6/1000</f>
        <v>369.8186</v>
      </c>
      <c r="AT109" s="563">
        <f t="shared" ref="AT109:AT112" si="810">AU109+AV109</f>
        <v>82.451962814068253</v>
      </c>
      <c r="AU109" s="681">
        <f t="shared" si="770"/>
        <v>34.658651924022024</v>
      </c>
      <c r="AV109" s="681">
        <f t="shared" si="771"/>
        <v>47.793310890046236</v>
      </c>
      <c r="AW109" s="681">
        <f t="shared" si="772"/>
        <v>262.71642754919907</v>
      </c>
      <c r="AX109" s="681">
        <f t="shared" si="773"/>
        <v>24.650209636732669</v>
      </c>
      <c r="AY109" s="681">
        <f>AS109*AY3</f>
        <v>0</v>
      </c>
      <c r="BA109" s="680"/>
      <c r="BB109" s="563">
        <f t="shared" ref="BB109:BB112" si="811">BC109+BD109</f>
        <v>0</v>
      </c>
      <c r="BC109" s="681">
        <f t="shared" si="774"/>
        <v>0</v>
      </c>
      <c r="BD109" s="681">
        <f t="shared" si="775"/>
        <v>0</v>
      </c>
      <c r="BE109" s="681">
        <f t="shared" si="776"/>
        <v>0</v>
      </c>
      <c r="BF109" s="681">
        <f t="shared" si="777"/>
        <v>0</v>
      </c>
      <c r="BG109" s="681">
        <f>BA109*BG3</f>
        <v>0</v>
      </c>
      <c r="BI109" s="680"/>
      <c r="BJ109" s="563">
        <f t="shared" ref="BJ109:BJ112" si="812">BK109+BL109</f>
        <v>0</v>
      </c>
      <c r="BK109" s="681">
        <f t="shared" si="778"/>
        <v>0</v>
      </c>
      <c r="BL109" s="681">
        <f t="shared" si="779"/>
        <v>0</v>
      </c>
      <c r="BM109" s="681">
        <f t="shared" si="780"/>
        <v>0</v>
      </c>
      <c r="BN109" s="681">
        <f t="shared" si="781"/>
        <v>0</v>
      </c>
      <c r="BO109" s="681">
        <f>BI109*BO3</f>
        <v>0</v>
      </c>
      <c r="BQ109" s="680"/>
      <c r="BR109" s="563">
        <f t="shared" ref="BR109:BR112" si="813">BS109+BT109</f>
        <v>0</v>
      </c>
      <c r="BS109" s="681">
        <f t="shared" si="782"/>
        <v>0</v>
      </c>
      <c r="BT109" s="681">
        <f t="shared" si="783"/>
        <v>0</v>
      </c>
      <c r="BU109" s="681">
        <f t="shared" si="784"/>
        <v>0</v>
      </c>
      <c r="BV109" s="681">
        <f t="shared" si="785"/>
        <v>0</v>
      </c>
      <c r="BW109" s="681">
        <f>BQ109*BW3</f>
        <v>0</v>
      </c>
      <c r="BY109" s="680"/>
      <c r="BZ109" s="563">
        <f t="shared" ref="BZ109:BZ112" si="814">CA109+CB109</f>
        <v>0</v>
      </c>
      <c r="CA109" s="681">
        <f t="shared" si="786"/>
        <v>0</v>
      </c>
      <c r="CB109" s="681">
        <f t="shared" si="787"/>
        <v>0</v>
      </c>
      <c r="CC109" s="681">
        <f t="shared" si="788"/>
        <v>0</v>
      </c>
      <c r="CD109" s="681">
        <f t="shared" si="789"/>
        <v>0</v>
      </c>
      <c r="CE109" s="681">
        <f>BY109*CE3</f>
        <v>0</v>
      </c>
      <c r="CG109" s="680"/>
      <c r="CH109" s="560">
        <f t="shared" si="790"/>
        <v>0</v>
      </c>
      <c r="CI109" s="681">
        <f>CG109*$CI$3</f>
        <v>0</v>
      </c>
      <c r="CJ109" s="681">
        <f t="shared" si="792"/>
        <v>0</v>
      </c>
      <c r="CK109" s="681">
        <f t="shared" si="793"/>
        <v>0</v>
      </c>
      <c r="CL109" s="681">
        <f t="shared" si="794"/>
        <v>0</v>
      </c>
      <c r="CM109" s="681">
        <f>CG109*CM3</f>
        <v>0</v>
      </c>
      <c r="CN109" s="708"/>
      <c r="CO109" s="680"/>
      <c r="CP109" s="560">
        <f t="shared" si="795"/>
        <v>0</v>
      </c>
      <c r="CQ109" s="681">
        <f t="shared" si="796"/>
        <v>0</v>
      </c>
      <c r="CR109" s="681">
        <f t="shared" si="797"/>
        <v>0</v>
      </c>
      <c r="CS109" s="681">
        <f t="shared" si="798"/>
        <v>0</v>
      </c>
      <c r="CT109" s="681">
        <f t="shared" si="799"/>
        <v>0</v>
      </c>
      <c r="CU109" s="681">
        <f>CO109*CU3</f>
        <v>0</v>
      </c>
      <c r="CV109" s="708"/>
      <c r="CW109" s="680"/>
      <c r="CX109" s="560">
        <f t="shared" si="800"/>
        <v>0</v>
      </c>
      <c r="CY109" s="681">
        <f t="shared" si="801"/>
        <v>0</v>
      </c>
      <c r="CZ109" s="681">
        <f t="shared" si="802"/>
        <v>0</v>
      </c>
      <c r="DA109" s="681">
        <f t="shared" si="803"/>
        <v>0</v>
      </c>
      <c r="DB109" s="681">
        <f t="shared" si="804"/>
        <v>0</v>
      </c>
      <c r="DC109" s="681">
        <f>CW109*DC3</f>
        <v>0</v>
      </c>
    </row>
    <row r="110" spans="1:117" s="673" customFormat="1" ht="20.25" customHeight="1">
      <c r="A110" s="690"/>
      <c r="B110" s="678" t="s">
        <v>460</v>
      </c>
      <c r="C110" s="690" t="s">
        <v>9</v>
      </c>
      <c r="D110" s="563">
        <v>0</v>
      </c>
      <c r="E110" s="563">
        <f t="shared" si="805"/>
        <v>0</v>
      </c>
      <c r="F110" s="563">
        <v>0</v>
      </c>
      <c r="G110" s="563">
        <v>0</v>
      </c>
      <c r="H110" s="563">
        <f>D110-F110-G110-I110</f>
        <v>0</v>
      </c>
      <c r="I110" s="564"/>
      <c r="J110" s="564"/>
      <c r="K110" s="679" t="s">
        <v>184</v>
      </c>
      <c r="M110" s="680"/>
      <c r="N110" s="563">
        <f t="shared" si="806"/>
        <v>0</v>
      </c>
      <c r="O110" s="681">
        <f t="shared" ref="O110" si="815">M110*$O$3</f>
        <v>0</v>
      </c>
      <c r="P110" s="681">
        <f t="shared" ref="P110" si="816">M110*$P$3</f>
        <v>0</v>
      </c>
      <c r="Q110" s="681">
        <f t="shared" ref="Q110" si="817">M110*$Q$3</f>
        <v>0</v>
      </c>
      <c r="R110" s="681">
        <f t="shared" ref="R110" si="818">M110*$R$3</f>
        <v>0</v>
      </c>
      <c r="S110" s="681">
        <f t="shared" si="757"/>
        <v>0</v>
      </c>
      <c r="U110" s="680"/>
      <c r="V110" s="563">
        <f t="shared" si="807"/>
        <v>0</v>
      </c>
      <c r="W110" s="681">
        <f t="shared" si="758"/>
        <v>0</v>
      </c>
      <c r="X110" s="681">
        <f t="shared" si="759"/>
        <v>0</v>
      </c>
      <c r="Y110" s="681">
        <f t="shared" si="760"/>
        <v>0</v>
      </c>
      <c r="Z110" s="681">
        <f t="shared" si="761"/>
        <v>0</v>
      </c>
      <c r="AA110" s="681">
        <f>U110*AA3</f>
        <v>0</v>
      </c>
      <c r="AC110" s="680"/>
      <c r="AD110" s="563">
        <f t="shared" si="808"/>
        <v>0</v>
      </c>
      <c r="AE110" s="681">
        <f t="shared" si="762"/>
        <v>0</v>
      </c>
      <c r="AF110" s="681">
        <f t="shared" si="763"/>
        <v>0</v>
      </c>
      <c r="AG110" s="681">
        <f t="shared" si="764"/>
        <v>0</v>
      </c>
      <c r="AH110" s="681">
        <f t="shared" si="765"/>
        <v>0</v>
      </c>
      <c r="AI110" s="681">
        <f>AC110*AI3</f>
        <v>0</v>
      </c>
      <c r="AK110" s="680"/>
      <c r="AL110" s="563">
        <f t="shared" si="809"/>
        <v>0</v>
      </c>
      <c r="AM110" s="681">
        <f t="shared" si="766"/>
        <v>0</v>
      </c>
      <c r="AN110" s="681">
        <f t="shared" si="767"/>
        <v>0</v>
      </c>
      <c r="AO110" s="681">
        <f t="shared" si="768"/>
        <v>0</v>
      </c>
      <c r="AP110" s="681">
        <f t="shared" si="769"/>
        <v>0</v>
      </c>
      <c r="AQ110" s="681">
        <f>AK110*AQ3</f>
        <v>0</v>
      </c>
      <c r="AS110" s="680"/>
      <c r="AT110" s="563">
        <f t="shared" si="810"/>
        <v>0</v>
      </c>
      <c r="AU110" s="681">
        <f t="shared" si="770"/>
        <v>0</v>
      </c>
      <c r="AV110" s="681">
        <f t="shared" si="771"/>
        <v>0</v>
      </c>
      <c r="AW110" s="681">
        <f t="shared" si="772"/>
        <v>0</v>
      </c>
      <c r="AX110" s="681">
        <f t="shared" si="773"/>
        <v>0</v>
      </c>
      <c r="AY110" s="681">
        <f>AS110*AY3</f>
        <v>0</v>
      </c>
      <c r="BA110" s="680"/>
      <c r="BB110" s="563">
        <f t="shared" si="811"/>
        <v>0</v>
      </c>
      <c r="BC110" s="681">
        <f t="shared" si="774"/>
        <v>0</v>
      </c>
      <c r="BD110" s="681">
        <f t="shared" si="775"/>
        <v>0</v>
      </c>
      <c r="BE110" s="681">
        <f t="shared" si="776"/>
        <v>0</v>
      </c>
      <c r="BF110" s="681">
        <f t="shared" si="777"/>
        <v>0</v>
      </c>
      <c r="BG110" s="681">
        <f>BA110*BG3</f>
        <v>0</v>
      </c>
      <c r="BI110" s="680"/>
      <c r="BJ110" s="563">
        <f t="shared" si="812"/>
        <v>0</v>
      </c>
      <c r="BK110" s="681">
        <f t="shared" ref="BK110" si="819">BI110*$BC$3</f>
        <v>0</v>
      </c>
      <c r="BL110" s="681">
        <f t="shared" ref="BL110" si="820">BI110*$BD$3</f>
        <v>0</v>
      </c>
      <c r="BM110" s="681">
        <f t="shared" ref="BM110" si="821">BI110*$BE$3</f>
        <v>0</v>
      </c>
      <c r="BN110" s="681">
        <f t="shared" ref="BN110" si="822">BI110*$BF$3</f>
        <v>0</v>
      </c>
      <c r="BO110" s="681">
        <f>BI110*BO3</f>
        <v>0</v>
      </c>
      <c r="BQ110" s="680"/>
      <c r="BR110" s="563">
        <f t="shared" si="813"/>
        <v>0</v>
      </c>
      <c r="BS110" s="681">
        <f t="shared" si="782"/>
        <v>0</v>
      </c>
      <c r="BT110" s="681">
        <f t="shared" si="783"/>
        <v>0</v>
      </c>
      <c r="BU110" s="681">
        <f t="shared" si="784"/>
        <v>0</v>
      </c>
      <c r="BV110" s="681">
        <f t="shared" si="785"/>
        <v>0</v>
      </c>
      <c r="BW110" s="681">
        <f>BQ110*BW3</f>
        <v>0</v>
      </c>
      <c r="BY110" s="680"/>
      <c r="BZ110" s="563">
        <f t="shared" si="814"/>
        <v>0</v>
      </c>
      <c r="CA110" s="681">
        <f t="shared" si="786"/>
        <v>0</v>
      </c>
      <c r="CB110" s="681">
        <f t="shared" si="787"/>
        <v>0</v>
      </c>
      <c r="CC110" s="681">
        <f t="shared" si="788"/>
        <v>0</v>
      </c>
      <c r="CD110" s="681">
        <f t="shared" si="789"/>
        <v>0</v>
      </c>
      <c r="CE110" s="681">
        <f>BY110*CE3</f>
        <v>0</v>
      </c>
      <c r="CG110" s="680"/>
      <c r="CH110" s="560">
        <f t="shared" si="790"/>
        <v>0</v>
      </c>
      <c r="CI110" s="681">
        <f t="shared" si="791"/>
        <v>0</v>
      </c>
      <c r="CJ110" s="681">
        <f t="shared" si="792"/>
        <v>0</v>
      </c>
      <c r="CK110" s="681">
        <f t="shared" si="793"/>
        <v>0</v>
      </c>
      <c r="CL110" s="681">
        <f t="shared" si="794"/>
        <v>0</v>
      </c>
      <c r="CM110" s="681">
        <f>CG110*CM3</f>
        <v>0</v>
      </c>
      <c r="CN110" s="708"/>
      <c r="CO110" s="680"/>
      <c r="CP110" s="560">
        <f t="shared" si="795"/>
        <v>0</v>
      </c>
      <c r="CQ110" s="681">
        <f t="shared" si="796"/>
        <v>0</v>
      </c>
      <c r="CR110" s="681">
        <f t="shared" si="797"/>
        <v>0</v>
      </c>
      <c r="CS110" s="681">
        <f t="shared" si="798"/>
        <v>0</v>
      </c>
      <c r="CT110" s="681">
        <f t="shared" si="799"/>
        <v>0</v>
      </c>
      <c r="CU110" s="681">
        <f>CO110*CU3</f>
        <v>0</v>
      </c>
      <c r="CV110" s="708"/>
      <c r="CW110" s="680"/>
      <c r="CX110" s="560">
        <f t="shared" si="800"/>
        <v>0</v>
      </c>
      <c r="CY110" s="681">
        <f t="shared" si="801"/>
        <v>0</v>
      </c>
      <c r="CZ110" s="681">
        <f t="shared" si="802"/>
        <v>0</v>
      </c>
      <c r="DA110" s="681">
        <f t="shared" si="803"/>
        <v>0</v>
      </c>
      <c r="DB110" s="681">
        <f t="shared" si="804"/>
        <v>0</v>
      </c>
      <c r="DC110" s="681">
        <f>CW110*DC3</f>
        <v>0</v>
      </c>
    </row>
    <row r="111" spans="1:117" s="673" customFormat="1" ht="20.25" customHeight="1">
      <c r="A111" s="690"/>
      <c r="B111" s="678" t="s">
        <v>325</v>
      </c>
      <c r="C111" s="690" t="s">
        <v>9</v>
      </c>
      <c r="D111" s="563">
        <v>2845.3263474285718</v>
      </c>
      <c r="E111" s="563">
        <f t="shared" si="805"/>
        <v>634.3724793508743</v>
      </c>
      <c r="F111" s="563">
        <v>266.65823591830105</v>
      </c>
      <c r="G111" s="563">
        <v>367.7142434325732</v>
      </c>
      <c r="H111" s="563">
        <f>D111-F111-G111-I111</f>
        <v>2101.316090840005</v>
      </c>
      <c r="I111" s="563">
        <v>109.63777723769221</v>
      </c>
      <c r="J111" s="563"/>
      <c r="K111" s="679" t="s">
        <v>184</v>
      </c>
      <c r="M111" s="680">
        <f>107342/1000</f>
        <v>107.342</v>
      </c>
      <c r="N111" s="563">
        <f t="shared" si="806"/>
        <v>23.93216185553597</v>
      </c>
      <c r="O111" s="681">
        <f>$M$111*$O$3</f>
        <v>10.059875341122302</v>
      </c>
      <c r="P111" s="681">
        <f>$M$111*$P$3</f>
        <v>13.872286514413668</v>
      </c>
      <c r="Q111" s="681">
        <f>$M$111*$Q$3</f>
        <v>76.254971399454021</v>
      </c>
      <c r="R111" s="681">
        <f>$M$111*$R$3</f>
        <v>7.1548667450100076</v>
      </c>
      <c r="S111" s="681">
        <f t="shared" si="757"/>
        <v>0</v>
      </c>
      <c r="U111" s="680">
        <f>(39225-16713)/1000+71428.57/1000</f>
        <v>93.940570000000008</v>
      </c>
      <c r="V111" s="563">
        <f t="shared" si="807"/>
        <v>20.944280207573058</v>
      </c>
      <c r="W111" s="681">
        <f t="shared" si="758"/>
        <v>8.8039204009052714</v>
      </c>
      <c r="X111" s="681">
        <f t="shared" si="759"/>
        <v>12.140359806667785</v>
      </c>
      <c r="Y111" s="681">
        <f t="shared" si="760"/>
        <v>66.734693583112005</v>
      </c>
      <c r="Z111" s="681">
        <f t="shared" si="761"/>
        <v>6.2615962093149458</v>
      </c>
      <c r="AA111" s="681">
        <f>U111*AA3</f>
        <v>0</v>
      </c>
      <c r="AC111" s="680">
        <f>(45537-22886-1)/1000+71429/1000</f>
        <v>94.079000000000008</v>
      </c>
      <c r="AD111" s="563">
        <f t="shared" si="808"/>
        <v>20.975143515184818</v>
      </c>
      <c r="AE111" s="681">
        <f t="shared" si="762"/>
        <v>8.8168937807889272</v>
      </c>
      <c r="AF111" s="681">
        <f t="shared" si="763"/>
        <v>12.15824973439589</v>
      </c>
      <c r="AG111" s="681">
        <f t="shared" si="764"/>
        <v>66.833033242246614</v>
      </c>
      <c r="AH111" s="681">
        <f t="shared" si="765"/>
        <v>6.2708232425685813</v>
      </c>
      <c r="AI111" s="681">
        <f>AC111*AI3</f>
        <v>0</v>
      </c>
      <c r="AK111" s="680">
        <f>(42945-18677)/1000+(71429+42401.79)/1000</f>
        <v>138.09879000000001</v>
      </c>
      <c r="AL111" s="563">
        <f t="shared" si="809"/>
        <v>30.789463530898182</v>
      </c>
      <c r="AM111" s="681">
        <f t="shared" si="766"/>
        <v>12.942339551711607</v>
      </c>
      <c r="AN111" s="681">
        <f t="shared" si="767"/>
        <v>17.847123979186573</v>
      </c>
      <c r="AO111" s="681">
        <f t="shared" si="768"/>
        <v>98.104369974000932</v>
      </c>
      <c r="AP111" s="681">
        <f t="shared" si="769"/>
        <v>9.2049564951009</v>
      </c>
      <c r="AQ111" s="681">
        <f>AK111*AQ3</f>
        <v>0</v>
      </c>
      <c r="AS111" s="680">
        <f>(13172+6074+7054-1)/1000+(15625+88385)/1000</f>
        <v>130.309</v>
      </c>
      <c r="AT111" s="563">
        <f t="shared" si="810"/>
        <v>29.052710767761329</v>
      </c>
      <c r="AU111" s="681">
        <f t="shared" si="770"/>
        <v>12.212296173224889</v>
      </c>
      <c r="AV111" s="681">
        <f t="shared" si="771"/>
        <v>16.840414594536441</v>
      </c>
      <c r="AW111" s="681">
        <f t="shared" si="772"/>
        <v>92.570560154379962</v>
      </c>
      <c r="AX111" s="681">
        <f t="shared" si="773"/>
        <v>8.6857290778587046</v>
      </c>
      <c r="AY111" s="681">
        <f>AS111*AY3</f>
        <v>0</v>
      </c>
      <c r="BA111" s="680"/>
      <c r="BB111" s="563">
        <f t="shared" si="811"/>
        <v>0</v>
      </c>
      <c r="BC111" s="681">
        <f t="shared" si="774"/>
        <v>0</v>
      </c>
      <c r="BD111" s="681">
        <f t="shared" si="775"/>
        <v>0</v>
      </c>
      <c r="BE111" s="681">
        <f t="shared" si="776"/>
        <v>0</v>
      </c>
      <c r="BF111" s="681">
        <f t="shared" si="777"/>
        <v>0</v>
      </c>
      <c r="BG111" s="681">
        <f>BA111*BG3</f>
        <v>0</v>
      </c>
      <c r="BI111" s="680"/>
      <c r="BJ111" s="563">
        <f t="shared" si="812"/>
        <v>0</v>
      </c>
      <c r="BK111" s="681">
        <f t="shared" ref="BK111:BK112" si="823">BI111*$BK$3</f>
        <v>0</v>
      </c>
      <c r="BL111" s="681">
        <f t="shared" ref="BL111:BL112" si="824">BI111*$BL$3</f>
        <v>0</v>
      </c>
      <c r="BM111" s="681">
        <f t="shared" ref="BM111:BM112" si="825">BI111*$BM$3</f>
        <v>0</v>
      </c>
      <c r="BN111" s="681">
        <f t="shared" ref="BN111:BN112" si="826">BI111*$BN$3</f>
        <v>0</v>
      </c>
      <c r="BO111" s="681">
        <f>BI111*BO3</f>
        <v>0</v>
      </c>
      <c r="BQ111" s="680"/>
      <c r="BR111" s="563">
        <f t="shared" si="813"/>
        <v>0</v>
      </c>
      <c r="BS111" s="681">
        <f t="shared" si="782"/>
        <v>0</v>
      </c>
      <c r="BT111" s="681">
        <f t="shared" si="783"/>
        <v>0</v>
      </c>
      <c r="BU111" s="681">
        <f t="shared" si="784"/>
        <v>0</v>
      </c>
      <c r="BV111" s="681">
        <f t="shared" si="785"/>
        <v>0</v>
      </c>
      <c r="BW111" s="681">
        <f>BQ111*BW3</f>
        <v>0</v>
      </c>
      <c r="BY111" s="680"/>
      <c r="BZ111" s="563">
        <f t="shared" si="814"/>
        <v>0</v>
      </c>
      <c r="CA111" s="681">
        <f t="shared" si="786"/>
        <v>0</v>
      </c>
      <c r="CB111" s="681">
        <f t="shared" si="787"/>
        <v>0</v>
      </c>
      <c r="CC111" s="681">
        <f t="shared" si="788"/>
        <v>0</v>
      </c>
      <c r="CD111" s="681">
        <f t="shared" si="789"/>
        <v>0</v>
      </c>
      <c r="CE111" s="681">
        <f>BY111*CE3</f>
        <v>0</v>
      </c>
      <c r="CG111" s="680"/>
      <c r="CH111" s="560">
        <f t="shared" si="790"/>
        <v>0</v>
      </c>
      <c r="CI111" s="681">
        <f>CG111*$CI$3</f>
        <v>0</v>
      </c>
      <c r="CJ111" s="681">
        <f t="shared" si="792"/>
        <v>0</v>
      </c>
      <c r="CK111" s="681">
        <f t="shared" si="793"/>
        <v>0</v>
      </c>
      <c r="CL111" s="681">
        <f t="shared" si="794"/>
        <v>0</v>
      </c>
      <c r="CM111" s="681">
        <f>CG111*CM3</f>
        <v>0</v>
      </c>
      <c r="CN111" s="708"/>
      <c r="CO111" s="680"/>
      <c r="CP111" s="560">
        <f t="shared" si="795"/>
        <v>0</v>
      </c>
      <c r="CQ111" s="681">
        <f t="shared" si="796"/>
        <v>0</v>
      </c>
      <c r="CR111" s="681">
        <f t="shared" si="797"/>
        <v>0</v>
      </c>
      <c r="CS111" s="681">
        <f t="shared" si="798"/>
        <v>0</v>
      </c>
      <c r="CT111" s="681">
        <f t="shared" si="799"/>
        <v>0</v>
      </c>
      <c r="CU111" s="681">
        <f>CO111*CU3</f>
        <v>0</v>
      </c>
      <c r="CV111" s="708"/>
      <c r="CW111" s="680"/>
      <c r="CX111" s="560">
        <f t="shared" si="800"/>
        <v>0</v>
      </c>
      <c r="CY111" s="681">
        <f t="shared" si="801"/>
        <v>0</v>
      </c>
      <c r="CZ111" s="681">
        <f t="shared" si="802"/>
        <v>0</v>
      </c>
      <c r="DA111" s="681">
        <f t="shared" si="803"/>
        <v>0</v>
      </c>
      <c r="DB111" s="681">
        <f t="shared" si="804"/>
        <v>0</v>
      </c>
      <c r="DC111" s="681">
        <f>CW111*DC3</f>
        <v>0</v>
      </c>
      <c r="DM111" s="729"/>
    </row>
    <row r="112" spans="1:117" s="673" customFormat="1" ht="25.5" customHeight="1">
      <c r="A112" s="674" t="s">
        <v>55</v>
      </c>
      <c r="B112" s="675" t="s">
        <v>318</v>
      </c>
      <c r="C112" s="660" t="s">
        <v>9</v>
      </c>
      <c r="D112" s="566">
        <v>11410.545</v>
      </c>
      <c r="E112" s="557">
        <f t="shared" si="805"/>
        <v>2189</v>
      </c>
      <c r="F112" s="566">
        <v>835</v>
      </c>
      <c r="G112" s="566">
        <v>1354</v>
      </c>
      <c r="H112" s="566">
        <f>D112-F112-G112-I112</f>
        <v>8781.8672133020827</v>
      </c>
      <c r="I112" s="566">
        <v>439.67778669791687</v>
      </c>
      <c r="J112" s="566"/>
      <c r="K112" s="679" t="s">
        <v>184</v>
      </c>
      <c r="M112" s="691">
        <f>200110/1000</f>
        <v>200.11</v>
      </c>
      <c r="N112" s="557">
        <f t="shared" si="806"/>
        <v>44.615014709166061</v>
      </c>
      <c r="O112" s="699">
        <f>$M$112*$O$3</f>
        <v>18.753904850962194</v>
      </c>
      <c r="P112" s="699">
        <f>$M$112*$P$3</f>
        <v>25.861109858203868</v>
      </c>
      <c r="Q112" s="699">
        <f>$M$112*$Q$3</f>
        <v>142.15667983403276</v>
      </c>
      <c r="R112" s="699">
        <f>$M$112*$R$3</f>
        <v>13.338305456801185</v>
      </c>
      <c r="S112" s="681">
        <f t="shared" si="757"/>
        <v>0</v>
      </c>
      <c r="U112" s="691">
        <f>496273/1000</f>
        <v>496.27300000000002</v>
      </c>
      <c r="V112" s="557">
        <f t="shared" si="807"/>
        <v>110.64528106922177</v>
      </c>
      <c r="W112" s="699">
        <f>U112*$W$3</f>
        <v>46.509702773982113</v>
      </c>
      <c r="X112" s="699">
        <f>U112*$X$3</f>
        <v>64.135578295239654</v>
      </c>
      <c r="Y112" s="699">
        <f>U112*$Y$3</f>
        <v>352.54870806693788</v>
      </c>
      <c r="Z112" s="699">
        <f>U112*$Z$3</f>
        <v>33.079010863840359</v>
      </c>
      <c r="AA112" s="681">
        <f>U112*AA3</f>
        <v>0</v>
      </c>
      <c r="AC112" s="691">
        <f>341855/1000</f>
        <v>341.85500000000002</v>
      </c>
      <c r="AD112" s="557">
        <f t="shared" si="808"/>
        <v>76.217409691679393</v>
      </c>
      <c r="AE112" s="699">
        <f t="shared" si="762"/>
        <v>32.037959836218484</v>
      </c>
      <c r="AF112" s="699">
        <f t="shared" si="763"/>
        <v>44.179449855460909</v>
      </c>
      <c r="AG112" s="699">
        <f t="shared" si="764"/>
        <v>242.85129071342396</v>
      </c>
      <c r="AH112" s="699">
        <f t="shared" si="765"/>
        <v>22.786299594896651</v>
      </c>
      <c r="AI112" s="681">
        <f>AC112*AI3</f>
        <v>0</v>
      </c>
      <c r="AK112" s="691">
        <f>211111/1000</f>
        <v>211.11099999999999</v>
      </c>
      <c r="AL112" s="557">
        <f t="shared" si="809"/>
        <v>47.067714608299212</v>
      </c>
      <c r="AM112" s="699">
        <f>AK112*$AM$3</f>
        <v>19.784896341969315</v>
      </c>
      <c r="AN112" s="699">
        <f>AK112*$AN$3</f>
        <v>27.282818266329897</v>
      </c>
      <c r="AO112" s="699">
        <f>AK112*$AO$3</f>
        <v>149.97170974185443</v>
      </c>
      <c r="AP112" s="699">
        <f>AK112*$AP$3</f>
        <v>14.071575649846357</v>
      </c>
      <c r="AQ112" s="681">
        <f>AK112*AQ3</f>
        <v>0</v>
      </c>
      <c r="AS112" s="691">
        <f>180991/1000</f>
        <v>180.99100000000001</v>
      </c>
      <c r="AT112" s="557">
        <f t="shared" si="810"/>
        <v>40.352386823380513</v>
      </c>
      <c r="AU112" s="699">
        <f>AS112*$AU$3</f>
        <v>16.96211080346059</v>
      </c>
      <c r="AV112" s="699">
        <f>AS112*$AV$3</f>
        <v>23.390276019919924</v>
      </c>
      <c r="AW112" s="699">
        <f>AS112*$AW$3</f>
        <v>128.5746821240389</v>
      </c>
      <c r="AX112" s="699">
        <f>AS112*$AX$3</f>
        <v>12.063931052580598</v>
      </c>
      <c r="AY112" s="681">
        <f>AS112*AY3</f>
        <v>0</v>
      </c>
      <c r="BA112" s="691"/>
      <c r="BB112" s="557">
        <f t="shared" si="811"/>
        <v>0</v>
      </c>
      <c r="BC112" s="699">
        <f t="shared" si="774"/>
        <v>0</v>
      </c>
      <c r="BD112" s="699">
        <f t="shared" si="775"/>
        <v>0</v>
      </c>
      <c r="BE112" s="699">
        <f t="shared" si="776"/>
        <v>0</v>
      </c>
      <c r="BF112" s="699">
        <f t="shared" si="777"/>
        <v>0</v>
      </c>
      <c r="BG112" s="681">
        <f>BA112*BG3</f>
        <v>0</v>
      </c>
      <c r="BI112" s="691"/>
      <c r="BJ112" s="557">
        <f t="shared" si="812"/>
        <v>0</v>
      </c>
      <c r="BK112" s="699">
        <f t="shared" si="823"/>
        <v>0</v>
      </c>
      <c r="BL112" s="699">
        <f t="shared" si="824"/>
        <v>0</v>
      </c>
      <c r="BM112" s="699">
        <f t="shared" si="825"/>
        <v>0</v>
      </c>
      <c r="BN112" s="699">
        <f t="shared" si="826"/>
        <v>0</v>
      </c>
      <c r="BO112" s="681">
        <f>BI112*BO3</f>
        <v>0</v>
      </c>
      <c r="BQ112" s="691"/>
      <c r="BR112" s="557">
        <f t="shared" si="813"/>
        <v>0</v>
      </c>
      <c r="BS112" s="699">
        <f t="shared" si="782"/>
        <v>0</v>
      </c>
      <c r="BT112" s="699">
        <f t="shared" si="783"/>
        <v>0</v>
      </c>
      <c r="BU112" s="699">
        <f t="shared" si="784"/>
        <v>0</v>
      </c>
      <c r="BV112" s="699">
        <f t="shared" si="785"/>
        <v>0</v>
      </c>
      <c r="BW112" s="681">
        <f>BQ112*BW3</f>
        <v>0</v>
      </c>
      <c r="BY112" s="691"/>
      <c r="BZ112" s="557">
        <f t="shared" si="814"/>
        <v>0</v>
      </c>
      <c r="CA112" s="699">
        <f t="shared" si="786"/>
        <v>0</v>
      </c>
      <c r="CB112" s="699">
        <f t="shared" si="787"/>
        <v>0</v>
      </c>
      <c r="CC112" s="699">
        <f t="shared" si="788"/>
        <v>0</v>
      </c>
      <c r="CD112" s="699">
        <f t="shared" si="789"/>
        <v>0</v>
      </c>
      <c r="CE112" s="681">
        <f>BY112*CE3</f>
        <v>0</v>
      </c>
      <c r="CG112" s="691"/>
      <c r="CH112" s="557">
        <f t="shared" si="790"/>
        <v>0</v>
      </c>
      <c r="CI112" s="699">
        <f>CG112*$CI$3</f>
        <v>0</v>
      </c>
      <c r="CJ112" s="699">
        <f t="shared" si="792"/>
        <v>0</v>
      </c>
      <c r="CK112" s="699">
        <f t="shared" si="793"/>
        <v>0</v>
      </c>
      <c r="CL112" s="699">
        <f t="shared" si="794"/>
        <v>0</v>
      </c>
      <c r="CM112" s="681">
        <f>CG112*CM3</f>
        <v>0</v>
      </c>
      <c r="CO112" s="691"/>
      <c r="CP112" s="557">
        <f t="shared" si="795"/>
        <v>0</v>
      </c>
      <c r="CQ112" s="699">
        <f t="shared" si="796"/>
        <v>0</v>
      </c>
      <c r="CR112" s="699">
        <f t="shared" si="797"/>
        <v>0</v>
      </c>
      <c r="CS112" s="699">
        <f t="shared" si="798"/>
        <v>0</v>
      </c>
      <c r="CT112" s="699">
        <f t="shared" si="799"/>
        <v>0</v>
      </c>
      <c r="CU112" s="681">
        <f>CO112*CU3</f>
        <v>0</v>
      </c>
      <c r="CW112" s="691"/>
      <c r="CX112" s="557">
        <f t="shared" si="800"/>
        <v>0</v>
      </c>
      <c r="CY112" s="699">
        <f t="shared" si="801"/>
        <v>0</v>
      </c>
      <c r="CZ112" s="699">
        <f t="shared" si="802"/>
        <v>0</v>
      </c>
      <c r="DA112" s="699">
        <f t="shared" si="803"/>
        <v>0</v>
      </c>
      <c r="DB112" s="699">
        <f t="shared" si="804"/>
        <v>0</v>
      </c>
      <c r="DC112" s="681">
        <f>CW112*DC3</f>
        <v>0</v>
      </c>
    </row>
    <row r="113" spans="1:110" s="673" customFormat="1" ht="25.5" customHeight="1">
      <c r="A113" s="674" t="s">
        <v>57</v>
      </c>
      <c r="B113" s="675" t="s">
        <v>56</v>
      </c>
      <c r="C113" s="660" t="s">
        <v>9</v>
      </c>
      <c r="D113" s="566">
        <f>'[55]Свод АУП'!$C$23</f>
        <v>0</v>
      </c>
      <c r="E113" s="566"/>
      <c r="F113" s="566">
        <v>0</v>
      </c>
      <c r="G113" s="566">
        <v>0</v>
      </c>
      <c r="H113" s="566">
        <v>0</v>
      </c>
      <c r="I113" s="697">
        <v>0</v>
      </c>
      <c r="J113" s="697">
        <v>0</v>
      </c>
      <c r="K113" s="698"/>
      <c r="M113" s="566">
        <f>'[55]Свод АУП'!$C$23</f>
        <v>0</v>
      </c>
      <c r="N113" s="566"/>
      <c r="O113" s="566">
        <v>0</v>
      </c>
      <c r="P113" s="566">
        <v>0</v>
      </c>
      <c r="Q113" s="566">
        <v>0</v>
      </c>
      <c r="R113" s="697">
        <v>0</v>
      </c>
      <c r="S113" s="697"/>
      <c r="U113" s="566">
        <f>'[55]Свод АУП'!$C$23</f>
        <v>0</v>
      </c>
      <c r="V113" s="566"/>
      <c r="W113" s="566">
        <v>0</v>
      </c>
      <c r="X113" s="566">
        <v>0</v>
      </c>
      <c r="Y113" s="566">
        <v>0</v>
      </c>
      <c r="Z113" s="697">
        <v>0</v>
      </c>
      <c r="AA113" s="697"/>
      <c r="AC113" s="566"/>
      <c r="AD113" s="566"/>
      <c r="AE113" s="566">
        <v>0</v>
      </c>
      <c r="AF113" s="566">
        <v>0</v>
      </c>
      <c r="AG113" s="566">
        <v>0</v>
      </c>
      <c r="AH113" s="697">
        <v>0</v>
      </c>
      <c r="AI113" s="697"/>
      <c r="AK113" s="566">
        <f>'[55]Свод АУП'!$C$23</f>
        <v>0</v>
      </c>
      <c r="AL113" s="566"/>
      <c r="AM113" s="566">
        <v>0</v>
      </c>
      <c r="AN113" s="566">
        <v>0</v>
      </c>
      <c r="AO113" s="566">
        <v>0</v>
      </c>
      <c r="AP113" s="697">
        <v>0</v>
      </c>
      <c r="AQ113" s="697"/>
      <c r="AS113" s="566">
        <f>'[55]Свод АУП'!$C$23</f>
        <v>0</v>
      </c>
      <c r="AT113" s="566"/>
      <c r="AU113" s="566">
        <v>0</v>
      </c>
      <c r="AV113" s="566">
        <v>0</v>
      </c>
      <c r="AW113" s="566">
        <v>0</v>
      </c>
      <c r="AX113" s="697">
        <v>0</v>
      </c>
      <c r="AY113" s="697"/>
      <c r="BA113" s="566">
        <f>'[55]Свод АУП'!$C$23</f>
        <v>0</v>
      </c>
      <c r="BB113" s="566"/>
      <c r="BC113" s="566">
        <v>0</v>
      </c>
      <c r="BD113" s="566">
        <v>0</v>
      </c>
      <c r="BE113" s="566">
        <v>0</v>
      </c>
      <c r="BF113" s="697">
        <v>0</v>
      </c>
      <c r="BG113" s="697"/>
      <c r="BI113" s="566">
        <f>'[55]Свод АУП'!$C$23</f>
        <v>0</v>
      </c>
      <c r="BJ113" s="566"/>
      <c r="BK113" s="566">
        <v>0</v>
      </c>
      <c r="BL113" s="566">
        <v>0</v>
      </c>
      <c r="BM113" s="566">
        <v>0</v>
      </c>
      <c r="BN113" s="697">
        <v>0</v>
      </c>
      <c r="BO113" s="697"/>
      <c r="BQ113" s="566">
        <f>'[55]Свод АУП'!$C$23</f>
        <v>0</v>
      </c>
      <c r="BR113" s="566"/>
      <c r="BS113" s="566">
        <v>0</v>
      </c>
      <c r="BT113" s="566">
        <v>0</v>
      </c>
      <c r="BU113" s="566">
        <v>0</v>
      </c>
      <c r="BV113" s="697">
        <v>0</v>
      </c>
      <c r="BW113" s="697"/>
      <c r="BY113" s="566">
        <f>'[55]Свод АУП'!$C$23</f>
        <v>0</v>
      </c>
      <c r="BZ113" s="566"/>
      <c r="CA113" s="566">
        <v>0</v>
      </c>
      <c r="CB113" s="566">
        <v>0</v>
      </c>
      <c r="CC113" s="566">
        <v>0</v>
      </c>
      <c r="CD113" s="697">
        <v>0</v>
      </c>
      <c r="CE113" s="697"/>
      <c r="CG113" s="566">
        <f>'[55]Свод АУП'!$C$23</f>
        <v>0</v>
      </c>
      <c r="CH113" s="566"/>
      <c r="CI113" s="566">
        <v>0</v>
      </c>
      <c r="CJ113" s="566">
        <v>0</v>
      </c>
      <c r="CK113" s="566">
        <v>0</v>
      </c>
      <c r="CL113" s="697">
        <v>0</v>
      </c>
      <c r="CM113" s="697"/>
      <c r="CO113" s="566">
        <f>'[55]Свод АУП'!$C$23</f>
        <v>0</v>
      </c>
      <c r="CP113" s="566"/>
      <c r="CQ113" s="566">
        <v>0</v>
      </c>
      <c r="CR113" s="566">
        <v>0</v>
      </c>
      <c r="CS113" s="566">
        <v>0</v>
      </c>
      <c r="CT113" s="697">
        <v>0</v>
      </c>
      <c r="CU113" s="697"/>
      <c r="CW113" s="566">
        <f>'[55]Свод АУП'!$C$23</f>
        <v>0</v>
      </c>
      <c r="CX113" s="566"/>
      <c r="CY113" s="566">
        <v>0</v>
      </c>
      <c r="CZ113" s="566">
        <v>0</v>
      </c>
      <c r="DA113" s="566">
        <v>0</v>
      </c>
      <c r="DB113" s="697">
        <v>0</v>
      </c>
      <c r="DC113" s="697"/>
    </row>
    <row r="114" spans="1:110" s="673" customFormat="1" ht="25.5" customHeight="1">
      <c r="A114" s="674" t="s">
        <v>109</v>
      </c>
      <c r="B114" s="675" t="s">
        <v>445</v>
      </c>
      <c r="C114" s="660" t="s">
        <v>9</v>
      </c>
      <c r="D114" s="566">
        <f>F114+G114+H114+I114</f>
        <v>14.456618799999999</v>
      </c>
      <c r="E114" s="557">
        <f t="shared" ref="E114:E116" si="827">F114+G114</f>
        <v>11.142687388222775</v>
      </c>
      <c r="F114" s="566">
        <f>F115+F116</f>
        <v>6.3876974278588996</v>
      </c>
      <c r="G114" s="566">
        <f t="shared" ref="G114:J114" si="828">G115+G116</f>
        <v>4.7549899603638757</v>
      </c>
      <c r="H114" s="566">
        <f t="shared" si="828"/>
        <v>3.2596777601811997</v>
      </c>
      <c r="I114" s="730">
        <f t="shared" si="828"/>
        <v>5.4253651596024126E-2</v>
      </c>
      <c r="J114" s="730">
        <f t="shared" si="828"/>
        <v>0</v>
      </c>
      <c r="K114" s="731"/>
      <c r="M114" s="566">
        <f>O114+P114+Q114+R114</f>
        <v>0</v>
      </c>
      <c r="N114" s="557">
        <f t="shared" ref="N114:N116" si="829">O114+P114</f>
        <v>0</v>
      </c>
      <c r="O114" s="566">
        <f>O115+O116</f>
        <v>0</v>
      </c>
      <c r="P114" s="566">
        <f t="shared" ref="P114:S114" si="830">P115+P116</f>
        <v>0</v>
      </c>
      <c r="Q114" s="566">
        <f t="shared" si="830"/>
        <v>0</v>
      </c>
      <c r="R114" s="730">
        <f t="shared" si="830"/>
        <v>0</v>
      </c>
      <c r="S114" s="730">
        <f t="shared" si="830"/>
        <v>0</v>
      </c>
      <c r="U114" s="566">
        <f>W114+X114+Y114+Z114</f>
        <v>0</v>
      </c>
      <c r="V114" s="557">
        <f t="shared" ref="V114:V116" si="831">W114+X114</f>
        <v>0</v>
      </c>
      <c r="W114" s="566">
        <f>W115+W116</f>
        <v>0</v>
      </c>
      <c r="X114" s="566">
        <f t="shared" ref="X114:AA114" si="832">X115+X116</f>
        <v>0</v>
      </c>
      <c r="Y114" s="566">
        <f t="shared" si="832"/>
        <v>0</v>
      </c>
      <c r="Z114" s="730">
        <f t="shared" si="832"/>
        <v>0</v>
      </c>
      <c r="AA114" s="730">
        <f t="shared" si="832"/>
        <v>0</v>
      </c>
      <c r="AC114" s="566">
        <f>AE114+AF114+AG114+AH114</f>
        <v>0</v>
      </c>
      <c r="AD114" s="557">
        <f t="shared" ref="AD114:AD116" si="833">AE114+AF114</f>
        <v>0</v>
      </c>
      <c r="AE114" s="566">
        <f>AE115+AE116</f>
        <v>0</v>
      </c>
      <c r="AF114" s="566">
        <f t="shared" ref="AF114:AI114" si="834">AF115+AF116</f>
        <v>0</v>
      </c>
      <c r="AG114" s="566">
        <f t="shared" si="834"/>
        <v>0</v>
      </c>
      <c r="AH114" s="730">
        <f t="shared" si="834"/>
        <v>0</v>
      </c>
      <c r="AI114" s="730">
        <f t="shared" si="834"/>
        <v>0</v>
      </c>
      <c r="AK114" s="566">
        <f>AM114+AN114+AO114+AP114</f>
        <v>0</v>
      </c>
      <c r="AL114" s="557">
        <f t="shared" ref="AL114:AL116" si="835">AM114+AN114</f>
        <v>0</v>
      </c>
      <c r="AM114" s="566">
        <f>AM115+AM116</f>
        <v>0</v>
      </c>
      <c r="AN114" s="566">
        <f t="shared" ref="AN114:AQ114" si="836">AN115+AN116</f>
        <v>0</v>
      </c>
      <c r="AO114" s="566">
        <f t="shared" si="836"/>
        <v>0</v>
      </c>
      <c r="AP114" s="730">
        <f t="shared" si="836"/>
        <v>0</v>
      </c>
      <c r="AQ114" s="730">
        <f t="shared" si="836"/>
        <v>0</v>
      </c>
      <c r="AS114" s="566">
        <f>AU114+AV114+AW114+AX114</f>
        <v>4.4744999999999999</v>
      </c>
      <c r="AT114" s="557">
        <f t="shared" ref="AT114:AT116" si="837">AU114+AV114</f>
        <v>3.4819965410014975</v>
      </c>
      <c r="AU114" s="566">
        <f>AU115+AU116</f>
        <v>1.9770703327222447</v>
      </c>
      <c r="AV114" s="566">
        <f t="shared" ref="AV114:AY114" si="838">AV115+AV116</f>
        <v>1.5049262082792525</v>
      </c>
      <c r="AW114" s="566">
        <f t="shared" si="838"/>
        <v>0.90018338730064995</v>
      </c>
      <c r="AX114" s="730">
        <f t="shared" si="838"/>
        <v>9.2320071697852918E-2</v>
      </c>
      <c r="AY114" s="730">
        <f t="shared" si="838"/>
        <v>0</v>
      </c>
      <c r="BA114" s="566">
        <f>BC114+BD114+BE114+BF114</f>
        <v>0</v>
      </c>
      <c r="BB114" s="557">
        <f t="shared" ref="BB114:BB116" si="839">BC114+BD114</f>
        <v>0</v>
      </c>
      <c r="BC114" s="566">
        <f>BC115+BC116</f>
        <v>0</v>
      </c>
      <c r="BD114" s="566">
        <f t="shared" ref="BD114:BG114" si="840">BD115+BD116</f>
        <v>0</v>
      </c>
      <c r="BE114" s="566">
        <f t="shared" si="840"/>
        <v>0</v>
      </c>
      <c r="BF114" s="730">
        <f t="shared" si="840"/>
        <v>0</v>
      </c>
      <c r="BG114" s="730">
        <f t="shared" si="840"/>
        <v>0</v>
      </c>
      <c r="BI114" s="566">
        <f>BK114+BL114+BM114+BN114</f>
        <v>0</v>
      </c>
      <c r="BJ114" s="557">
        <f t="shared" ref="BJ114:BJ116" si="841">BK114+BL114</f>
        <v>0</v>
      </c>
      <c r="BK114" s="566">
        <f>BK115+BK116</f>
        <v>0</v>
      </c>
      <c r="BL114" s="566">
        <f t="shared" ref="BL114:BO114" si="842">BL115+BL116</f>
        <v>0</v>
      </c>
      <c r="BM114" s="566">
        <f t="shared" si="842"/>
        <v>0</v>
      </c>
      <c r="BN114" s="730">
        <f t="shared" si="842"/>
        <v>0</v>
      </c>
      <c r="BO114" s="730">
        <f t="shared" si="842"/>
        <v>0</v>
      </c>
      <c r="BQ114" s="566">
        <f>BS114+BT114+BU114+BV114</f>
        <v>0</v>
      </c>
      <c r="BR114" s="557">
        <f t="shared" ref="BR114:BR116" si="843">BS114+BT114</f>
        <v>0</v>
      </c>
      <c r="BS114" s="566">
        <f>BS115+BS116</f>
        <v>0</v>
      </c>
      <c r="BT114" s="566">
        <f t="shared" ref="BT114:BW114" si="844">BT115+BT116</f>
        <v>0</v>
      </c>
      <c r="BU114" s="566">
        <f t="shared" si="844"/>
        <v>0</v>
      </c>
      <c r="BV114" s="730">
        <f t="shared" si="844"/>
        <v>0</v>
      </c>
      <c r="BW114" s="730">
        <f t="shared" si="844"/>
        <v>0</v>
      </c>
      <c r="BY114" s="566">
        <f>CA114+CB114+CC114+CD114</f>
        <v>0</v>
      </c>
      <c r="BZ114" s="557">
        <f t="shared" ref="BZ114:BZ116" si="845">CA114+CB114</f>
        <v>0</v>
      </c>
      <c r="CA114" s="566">
        <f>CA115+CA116</f>
        <v>0</v>
      </c>
      <c r="CB114" s="566">
        <f t="shared" ref="CB114:CE114" si="846">CB115+CB116</f>
        <v>0</v>
      </c>
      <c r="CC114" s="566">
        <f t="shared" si="846"/>
        <v>0</v>
      </c>
      <c r="CD114" s="730">
        <f t="shared" si="846"/>
        <v>0</v>
      </c>
      <c r="CE114" s="730">
        <f t="shared" si="846"/>
        <v>0</v>
      </c>
      <c r="CG114" s="566">
        <f>CI114+CJ114+CK114+CL114</f>
        <v>0</v>
      </c>
      <c r="CH114" s="557">
        <f t="shared" ref="CH114:CH116" si="847">CI114+CJ114</f>
        <v>0</v>
      </c>
      <c r="CI114" s="566">
        <f>CI115+CI116</f>
        <v>0</v>
      </c>
      <c r="CJ114" s="566">
        <f t="shared" ref="CJ114:CM114" si="848">CJ115+CJ116</f>
        <v>0</v>
      </c>
      <c r="CK114" s="566">
        <f t="shared" si="848"/>
        <v>0</v>
      </c>
      <c r="CL114" s="730">
        <f t="shared" si="848"/>
        <v>0</v>
      </c>
      <c r="CM114" s="730">
        <f t="shared" si="848"/>
        <v>0</v>
      </c>
      <c r="CO114" s="566">
        <f>CQ114+CR114+CS114+CT114</f>
        <v>0</v>
      </c>
      <c r="CP114" s="557">
        <f t="shared" ref="CP114:CP116" si="849">CQ114+CR114</f>
        <v>0</v>
      </c>
      <c r="CQ114" s="566">
        <f>CQ115+CQ116</f>
        <v>0</v>
      </c>
      <c r="CR114" s="566">
        <f t="shared" ref="CR114:CU114" si="850">CR115+CR116</f>
        <v>0</v>
      </c>
      <c r="CS114" s="566">
        <f t="shared" si="850"/>
        <v>0</v>
      </c>
      <c r="CT114" s="730">
        <f t="shared" si="850"/>
        <v>0</v>
      </c>
      <c r="CU114" s="730">
        <f t="shared" si="850"/>
        <v>0</v>
      </c>
      <c r="CW114" s="566">
        <f>CY114+CZ114+DA114+DB114</f>
        <v>0</v>
      </c>
      <c r="CX114" s="557">
        <f t="shared" ref="CX114:CX116" si="851">CY114+CZ114</f>
        <v>0</v>
      </c>
      <c r="CY114" s="566">
        <f>CY115+CY116</f>
        <v>0</v>
      </c>
      <c r="CZ114" s="566">
        <f t="shared" ref="CZ114:DC114" si="852">CZ115+CZ116</f>
        <v>0</v>
      </c>
      <c r="DA114" s="566">
        <f t="shared" si="852"/>
        <v>0</v>
      </c>
      <c r="DB114" s="730">
        <f t="shared" si="852"/>
        <v>0</v>
      </c>
      <c r="DC114" s="730">
        <f t="shared" si="852"/>
        <v>0</v>
      </c>
    </row>
    <row r="115" spans="1:110" s="673" customFormat="1" ht="21" customHeight="1" outlineLevel="1">
      <c r="A115" s="674"/>
      <c r="B115" s="678" t="s">
        <v>112</v>
      </c>
      <c r="C115" s="671" t="s">
        <v>9</v>
      </c>
      <c r="D115" s="563">
        <v>6.3196188000000006</v>
      </c>
      <c r="E115" s="563">
        <f t="shared" si="827"/>
        <v>4.8473311925895421</v>
      </c>
      <c r="F115" s="732">
        <v>2.7923412322256671</v>
      </c>
      <c r="G115" s="732">
        <v>2.054989960363875</v>
      </c>
      <c r="H115" s="563">
        <f>D115-F115-G115-I115</f>
        <v>1.4485709692851672</v>
      </c>
      <c r="I115" s="732">
        <v>2.371663812529138E-2</v>
      </c>
      <c r="J115" s="732"/>
      <c r="K115" s="705" t="s">
        <v>446</v>
      </c>
      <c r="M115" s="680"/>
      <c r="N115" s="563">
        <f t="shared" si="829"/>
        <v>0</v>
      </c>
      <c r="O115" s="706">
        <f>$M$115*$O$5</f>
        <v>0</v>
      </c>
      <c r="P115" s="706">
        <f>$M$115*$P$5</f>
        <v>0</v>
      </c>
      <c r="Q115" s="706">
        <f>$M$115*$Q$5</f>
        <v>0</v>
      </c>
      <c r="R115" s="706">
        <f>$M$115*$R$5</f>
        <v>0</v>
      </c>
      <c r="S115" s="706">
        <f>$M$115*$S$5</f>
        <v>0</v>
      </c>
      <c r="U115" s="680"/>
      <c r="V115" s="563">
        <f t="shared" si="831"/>
        <v>0</v>
      </c>
      <c r="W115" s="707"/>
      <c r="X115" s="707"/>
      <c r="Y115" s="707"/>
      <c r="Z115" s="707"/>
      <c r="AA115" s="706">
        <f>U115*AA5</f>
        <v>0</v>
      </c>
      <c r="AC115" s="680"/>
      <c r="AD115" s="563">
        <f t="shared" si="833"/>
        <v>0</v>
      </c>
      <c r="AE115" s="707">
        <f>AC115*$AE$5</f>
        <v>0</v>
      </c>
      <c r="AF115" s="707">
        <f>AC115*$AF$5</f>
        <v>0</v>
      </c>
      <c r="AG115" s="707">
        <f>AC115*$AG$5</f>
        <v>0</v>
      </c>
      <c r="AH115" s="707">
        <f>AC115*$AH$5</f>
        <v>0</v>
      </c>
      <c r="AI115" s="706">
        <f>AC115*AI5</f>
        <v>0</v>
      </c>
      <c r="AK115" s="680"/>
      <c r="AL115" s="563">
        <f t="shared" si="835"/>
        <v>0</v>
      </c>
      <c r="AM115" s="707">
        <f t="shared" ref="AM115:AM116" si="853">AK115*$AM$5</f>
        <v>0</v>
      </c>
      <c r="AN115" s="707">
        <f t="shared" ref="AN115:AN116" si="854">AK115*$AN$5</f>
        <v>0</v>
      </c>
      <c r="AO115" s="707">
        <f t="shared" ref="AO115:AO116" si="855">AK115*$AO$5</f>
        <v>0</v>
      </c>
      <c r="AP115" s="707">
        <f t="shared" ref="AP115:AP116" si="856">AK115*$AP$5</f>
        <v>0</v>
      </c>
      <c r="AQ115" s="706">
        <f>AK115*AQ5</f>
        <v>0</v>
      </c>
      <c r="AS115" s="715">
        <f>1071/1000</f>
        <v>1.071</v>
      </c>
      <c r="AT115" s="563">
        <f t="shared" si="837"/>
        <v>0.8334379920466205</v>
      </c>
      <c r="AU115" s="733">
        <f t="shared" ref="AU115:AU116" si="857">AS115*$AU$5</f>
        <v>0.47322434380277661</v>
      </c>
      <c r="AV115" s="733">
        <f t="shared" ref="AV115:AV116" si="858">AS115*$AV$5</f>
        <v>0.36021364824384389</v>
      </c>
      <c r="AW115" s="733">
        <f t="shared" ref="AW115:AW116" si="859">AS115*$AW$5</f>
        <v>0.21546461231400069</v>
      </c>
      <c r="AX115" s="733">
        <f t="shared" ref="AX115:AX116" si="860">AS115*$AX$5</f>
        <v>2.2097395639378806E-2</v>
      </c>
      <c r="AY115" s="706">
        <f>AS115*AY5</f>
        <v>0</v>
      </c>
      <c r="BA115" s="680"/>
      <c r="BB115" s="563">
        <f t="shared" si="839"/>
        <v>0</v>
      </c>
      <c r="BC115" s="707">
        <f t="shared" ref="BC115:BC116" si="861">BA115*$BC$5</f>
        <v>0</v>
      </c>
      <c r="BD115" s="707">
        <f t="shared" ref="BD115:BD116" si="862">BA115*$BD$5</f>
        <v>0</v>
      </c>
      <c r="BE115" s="707">
        <f t="shared" ref="BE115:BE116" si="863">BA115*$BE$5</f>
        <v>0</v>
      </c>
      <c r="BF115" s="707">
        <f t="shared" ref="BF115:BF116" si="864">BA115*$BF$5</f>
        <v>0</v>
      </c>
      <c r="BG115" s="706">
        <f>BA115*BG5</f>
        <v>0</v>
      </c>
      <c r="BI115" s="680"/>
      <c r="BJ115" s="563">
        <f t="shared" si="841"/>
        <v>0</v>
      </c>
      <c r="BK115" s="707">
        <f t="shared" ref="BK115:BK116" si="865">BI115*$BK$5</f>
        <v>0</v>
      </c>
      <c r="BL115" s="707">
        <f t="shared" ref="BL115:BL116" si="866">BI115*$BL$5</f>
        <v>0</v>
      </c>
      <c r="BM115" s="707">
        <f t="shared" ref="BM115:BM116" si="867">BI115*$BM$5</f>
        <v>0</v>
      </c>
      <c r="BN115" s="707">
        <f t="shared" ref="BN115:BN116" si="868">BI115*$BN$5</f>
        <v>0</v>
      </c>
      <c r="BO115" s="706">
        <f>BI115*BO5</f>
        <v>0</v>
      </c>
      <c r="BQ115" s="680"/>
      <c r="BR115" s="563">
        <f t="shared" si="843"/>
        <v>0</v>
      </c>
      <c r="BS115" s="707">
        <f t="shared" ref="BS115:BS116" si="869">BQ115*$BS$5</f>
        <v>0</v>
      </c>
      <c r="BT115" s="707">
        <f t="shared" ref="BT115:BT116" si="870">BQ115*$BT$5</f>
        <v>0</v>
      </c>
      <c r="BU115" s="707">
        <f t="shared" ref="BU115:BU116" si="871">BQ115*$BU$5</f>
        <v>0</v>
      </c>
      <c r="BV115" s="707">
        <f t="shared" ref="BV115:BV116" si="872">BQ115*$BV$5</f>
        <v>0</v>
      </c>
      <c r="BW115" s="706">
        <f>BQ115*BW5</f>
        <v>0</v>
      </c>
      <c r="BY115" s="680"/>
      <c r="BZ115" s="563">
        <f t="shared" si="845"/>
        <v>0</v>
      </c>
      <c r="CA115" s="707">
        <f t="shared" ref="CA115:CA116" si="873">BY115*$CA$5</f>
        <v>0</v>
      </c>
      <c r="CB115" s="707">
        <f t="shared" ref="CB115:CB116" si="874">BY115*$CB$5</f>
        <v>0</v>
      </c>
      <c r="CC115" s="707">
        <f t="shared" ref="CC115:CC116" si="875">BY115*$CC$5</f>
        <v>0</v>
      </c>
      <c r="CD115" s="707">
        <f t="shared" ref="CD115:CD116" si="876">BY115*$CD$5</f>
        <v>0</v>
      </c>
      <c r="CE115" s="706">
        <f>BY115*CE5</f>
        <v>0</v>
      </c>
      <c r="CG115" s="680"/>
      <c r="CH115" s="563">
        <f t="shared" si="847"/>
        <v>0</v>
      </c>
      <c r="CI115" s="707">
        <f t="shared" ref="CI115:CI116" si="877">CG115*$CI$5</f>
        <v>0</v>
      </c>
      <c r="CJ115" s="707">
        <f t="shared" ref="CJ115:CJ116" si="878">CG115*$CJ$5</f>
        <v>0</v>
      </c>
      <c r="CK115" s="707">
        <f t="shared" ref="CK115:CK116" si="879">CG115*$CK$5</f>
        <v>0</v>
      </c>
      <c r="CL115" s="707">
        <f t="shared" ref="CL115:CL116" si="880">CG115*$CL$5</f>
        <v>0</v>
      </c>
      <c r="CM115" s="706">
        <f>CG115*CM5</f>
        <v>0</v>
      </c>
      <c r="CN115" s="708"/>
      <c r="CO115" s="709"/>
      <c r="CP115" s="560">
        <f t="shared" si="849"/>
        <v>0</v>
      </c>
      <c r="CQ115" s="707">
        <f t="shared" ref="CQ115:CQ116" si="881">CO115*$CQ$5</f>
        <v>0</v>
      </c>
      <c r="CR115" s="707">
        <f t="shared" ref="CR115:CR116" si="882">CO115*$CR$5</f>
        <v>0</v>
      </c>
      <c r="CS115" s="707">
        <f t="shared" ref="CS115:CS116" si="883">CO115*$CS$5</f>
        <v>0</v>
      </c>
      <c r="CT115" s="707">
        <f t="shared" ref="CT115:CT116" si="884">CO115*$CT$5</f>
        <v>0</v>
      </c>
      <c r="CU115" s="706">
        <f>CO115*CU5</f>
        <v>0</v>
      </c>
      <c r="CV115" s="708"/>
      <c r="CW115" s="709"/>
      <c r="CX115" s="560">
        <f t="shared" si="851"/>
        <v>0</v>
      </c>
      <c r="CY115" s="707">
        <f t="shared" ref="CY115:CY116" si="885">CW115*$CY$5</f>
        <v>0</v>
      </c>
      <c r="CZ115" s="707">
        <f t="shared" ref="CZ115:CZ116" si="886">CW115*$CZ$5</f>
        <v>0</v>
      </c>
      <c r="DA115" s="707">
        <f t="shared" ref="DA115:DA116" si="887">CW115*$DA$5</f>
        <v>0</v>
      </c>
      <c r="DB115" s="707">
        <f t="shared" ref="DB115:DB116" si="888">CW115*$DB$5</f>
        <v>0</v>
      </c>
      <c r="DC115" s="706">
        <f>CW115*DC5</f>
        <v>0</v>
      </c>
    </row>
    <row r="116" spans="1:110" s="673" customFormat="1" ht="21" customHeight="1" outlineLevel="1">
      <c r="A116" s="674"/>
      <c r="B116" s="678" t="s">
        <v>96</v>
      </c>
      <c r="C116" s="671" t="s">
        <v>9</v>
      </c>
      <c r="D116" s="563">
        <v>8.1369999999999987</v>
      </c>
      <c r="E116" s="563">
        <f t="shared" si="827"/>
        <v>6.2953561956332322</v>
      </c>
      <c r="F116" s="732">
        <v>3.5953561956332325</v>
      </c>
      <c r="G116" s="732">
        <v>2.7</v>
      </c>
      <c r="H116" s="563">
        <f>D116-F116-G116-I116</f>
        <v>1.8111067908960328</v>
      </c>
      <c r="I116" s="732">
        <v>3.0537013470732746E-2</v>
      </c>
      <c r="J116" s="732"/>
      <c r="K116" s="705" t="s">
        <v>446</v>
      </c>
      <c r="M116" s="680"/>
      <c r="N116" s="563">
        <f t="shared" si="829"/>
        <v>0</v>
      </c>
      <c r="O116" s="706">
        <f>$M$116*$O$5</f>
        <v>0</v>
      </c>
      <c r="P116" s="706">
        <f>$M$116*$P$5</f>
        <v>0</v>
      </c>
      <c r="Q116" s="706">
        <f>$M$116*$Q$5</f>
        <v>0</v>
      </c>
      <c r="R116" s="706">
        <f>$M$116*$R$5</f>
        <v>0</v>
      </c>
      <c r="S116" s="706">
        <f>$M$115*$S$5</f>
        <v>0</v>
      </c>
      <c r="U116" s="680"/>
      <c r="V116" s="563">
        <f t="shared" si="831"/>
        <v>0</v>
      </c>
      <c r="W116" s="707"/>
      <c r="X116" s="707"/>
      <c r="Y116" s="707">
        <f>U116</f>
        <v>0</v>
      </c>
      <c r="Z116" s="707"/>
      <c r="AA116" s="706">
        <f>U116*AA5</f>
        <v>0</v>
      </c>
      <c r="AC116" s="680"/>
      <c r="AD116" s="563">
        <f t="shared" si="833"/>
        <v>0</v>
      </c>
      <c r="AE116" s="707">
        <f>AC116*$AE$5</f>
        <v>0</v>
      </c>
      <c r="AF116" s="707">
        <f>AC116*$AF$5</f>
        <v>0</v>
      </c>
      <c r="AG116" s="707">
        <f>AC116*$AG$5</f>
        <v>0</v>
      </c>
      <c r="AH116" s="707">
        <f>AC116*$AH$5</f>
        <v>0</v>
      </c>
      <c r="AI116" s="706">
        <f>AC116*AI5</f>
        <v>0</v>
      </c>
      <c r="AK116" s="680"/>
      <c r="AL116" s="563">
        <f t="shared" si="835"/>
        <v>0</v>
      </c>
      <c r="AM116" s="707">
        <f t="shared" si="853"/>
        <v>0</v>
      </c>
      <c r="AN116" s="707">
        <f t="shared" si="854"/>
        <v>0</v>
      </c>
      <c r="AO116" s="707">
        <f t="shared" si="855"/>
        <v>0</v>
      </c>
      <c r="AP116" s="707">
        <f t="shared" si="856"/>
        <v>0</v>
      </c>
      <c r="AQ116" s="706">
        <f>AK116*AQ5</f>
        <v>0</v>
      </c>
      <c r="AS116" s="715">
        <f>3403.5/1000</f>
        <v>3.4035000000000002</v>
      </c>
      <c r="AT116" s="563">
        <f t="shared" si="837"/>
        <v>2.6485585489548766</v>
      </c>
      <c r="AU116" s="707">
        <f t="shared" si="857"/>
        <v>1.5038459889194682</v>
      </c>
      <c r="AV116" s="707">
        <f t="shared" si="858"/>
        <v>1.1447125600354087</v>
      </c>
      <c r="AW116" s="707">
        <f t="shared" si="859"/>
        <v>0.68471877498664924</v>
      </c>
      <c r="AX116" s="734">
        <f t="shared" si="860"/>
        <v>7.0222676058474112E-2</v>
      </c>
      <c r="AY116" s="706">
        <f>AS116*AY5</f>
        <v>0</v>
      </c>
      <c r="BA116" s="680"/>
      <c r="BB116" s="563">
        <f t="shared" si="839"/>
        <v>0</v>
      </c>
      <c r="BC116" s="707">
        <f t="shared" si="861"/>
        <v>0</v>
      </c>
      <c r="BD116" s="707">
        <f t="shared" si="862"/>
        <v>0</v>
      </c>
      <c r="BE116" s="707">
        <f t="shared" si="863"/>
        <v>0</v>
      </c>
      <c r="BF116" s="707">
        <f t="shared" si="864"/>
        <v>0</v>
      </c>
      <c r="BG116" s="706">
        <f>BA116*BG5</f>
        <v>0</v>
      </c>
      <c r="BI116" s="680"/>
      <c r="BJ116" s="563">
        <f t="shared" si="841"/>
        <v>0</v>
      </c>
      <c r="BK116" s="707">
        <f t="shared" si="865"/>
        <v>0</v>
      </c>
      <c r="BL116" s="707">
        <f t="shared" si="866"/>
        <v>0</v>
      </c>
      <c r="BM116" s="707">
        <f t="shared" si="867"/>
        <v>0</v>
      </c>
      <c r="BN116" s="707">
        <f t="shared" si="868"/>
        <v>0</v>
      </c>
      <c r="BO116" s="706">
        <f>BI116*BO5</f>
        <v>0</v>
      </c>
      <c r="BQ116" s="680"/>
      <c r="BR116" s="563">
        <f t="shared" si="843"/>
        <v>0</v>
      </c>
      <c r="BS116" s="707">
        <f t="shared" si="869"/>
        <v>0</v>
      </c>
      <c r="BT116" s="707">
        <f t="shared" si="870"/>
        <v>0</v>
      </c>
      <c r="BU116" s="707">
        <f t="shared" si="871"/>
        <v>0</v>
      </c>
      <c r="BV116" s="707">
        <f t="shared" si="872"/>
        <v>0</v>
      </c>
      <c r="BW116" s="706">
        <f>BQ116*BW5</f>
        <v>0</v>
      </c>
      <c r="BY116" s="680"/>
      <c r="BZ116" s="563">
        <f t="shared" si="845"/>
        <v>0</v>
      </c>
      <c r="CA116" s="707">
        <f t="shared" si="873"/>
        <v>0</v>
      </c>
      <c r="CB116" s="707">
        <f t="shared" si="874"/>
        <v>0</v>
      </c>
      <c r="CC116" s="707">
        <f t="shared" si="875"/>
        <v>0</v>
      </c>
      <c r="CD116" s="707">
        <f t="shared" si="876"/>
        <v>0</v>
      </c>
      <c r="CE116" s="706">
        <f>BY116*CE5</f>
        <v>0</v>
      </c>
      <c r="CG116" s="680"/>
      <c r="CH116" s="563">
        <f t="shared" si="847"/>
        <v>0</v>
      </c>
      <c r="CI116" s="707">
        <f t="shared" si="877"/>
        <v>0</v>
      </c>
      <c r="CJ116" s="707">
        <f t="shared" si="878"/>
        <v>0</v>
      </c>
      <c r="CK116" s="707">
        <f t="shared" si="879"/>
        <v>0</v>
      </c>
      <c r="CL116" s="707">
        <f t="shared" si="880"/>
        <v>0</v>
      </c>
      <c r="CM116" s="706">
        <f>CG116*CM5</f>
        <v>0</v>
      </c>
      <c r="CN116" s="708"/>
      <c r="CO116" s="709"/>
      <c r="CP116" s="560">
        <f t="shared" si="849"/>
        <v>0</v>
      </c>
      <c r="CQ116" s="707">
        <f t="shared" si="881"/>
        <v>0</v>
      </c>
      <c r="CR116" s="707">
        <f t="shared" si="882"/>
        <v>0</v>
      </c>
      <c r="CS116" s="707">
        <f t="shared" si="883"/>
        <v>0</v>
      </c>
      <c r="CT116" s="707">
        <f t="shared" si="884"/>
        <v>0</v>
      </c>
      <c r="CU116" s="706">
        <f>CO116*CU5</f>
        <v>0</v>
      </c>
      <c r="CV116" s="708"/>
      <c r="CW116" s="709"/>
      <c r="CX116" s="560">
        <f t="shared" si="851"/>
        <v>0</v>
      </c>
      <c r="CY116" s="707">
        <f t="shared" si="885"/>
        <v>0</v>
      </c>
      <c r="CZ116" s="707">
        <f t="shared" si="886"/>
        <v>0</v>
      </c>
      <c r="DA116" s="707">
        <f t="shared" si="887"/>
        <v>0</v>
      </c>
      <c r="DB116" s="707">
        <f t="shared" si="888"/>
        <v>0</v>
      </c>
      <c r="DC116" s="706">
        <f>CW116*DC5</f>
        <v>0</v>
      </c>
      <c r="DD116" s="735">
        <v>-108540</v>
      </c>
      <c r="DF116" s="680">
        <f>-108540/1000+3403.5/1000+1071/1000</f>
        <v>-104.06550000000001</v>
      </c>
    </row>
    <row r="117" spans="1:110" s="673" customFormat="1" ht="24.75" customHeight="1">
      <c r="A117" s="674" t="s">
        <v>58</v>
      </c>
      <c r="B117" s="675" t="s">
        <v>59</v>
      </c>
      <c r="C117" s="660" t="s">
        <v>9</v>
      </c>
      <c r="D117" s="566">
        <v>0</v>
      </c>
      <c r="E117" s="566"/>
      <c r="F117" s="566"/>
      <c r="G117" s="566"/>
      <c r="H117" s="566"/>
      <c r="I117" s="697"/>
      <c r="J117" s="697"/>
      <c r="K117" s="698"/>
      <c r="M117" s="691"/>
      <c r="N117" s="566"/>
      <c r="O117" s="566"/>
      <c r="P117" s="566"/>
      <c r="Q117" s="566"/>
      <c r="R117" s="697"/>
      <c r="S117" s="697"/>
      <c r="U117" s="691"/>
      <c r="V117" s="566"/>
      <c r="W117" s="566"/>
      <c r="X117" s="566"/>
      <c r="Y117" s="566"/>
      <c r="Z117" s="697"/>
      <c r="AA117" s="697"/>
      <c r="AC117" s="691"/>
      <c r="AD117" s="566"/>
      <c r="AE117" s="566"/>
      <c r="AF117" s="566"/>
      <c r="AG117" s="566"/>
      <c r="AH117" s="697"/>
      <c r="AI117" s="697"/>
      <c r="AK117" s="691"/>
      <c r="AL117" s="566"/>
      <c r="AM117" s="566"/>
      <c r="AN117" s="566"/>
      <c r="AO117" s="566"/>
      <c r="AP117" s="697"/>
      <c r="AQ117" s="697"/>
      <c r="AS117" s="691"/>
      <c r="AT117" s="566"/>
      <c r="AU117" s="566"/>
      <c r="AV117" s="566"/>
      <c r="AW117" s="566"/>
      <c r="AX117" s="697"/>
      <c r="AY117" s="697"/>
      <c r="BA117" s="691"/>
      <c r="BB117" s="566"/>
      <c r="BC117" s="566"/>
      <c r="BD117" s="566"/>
      <c r="BE117" s="566"/>
      <c r="BF117" s="697"/>
      <c r="BG117" s="697"/>
      <c r="BI117" s="691"/>
      <c r="BJ117" s="566"/>
      <c r="BK117" s="566"/>
      <c r="BL117" s="566"/>
      <c r="BM117" s="566"/>
      <c r="BN117" s="697"/>
      <c r="BO117" s="697"/>
      <c r="BQ117" s="691"/>
      <c r="BR117" s="566"/>
      <c r="BS117" s="566"/>
      <c r="BT117" s="566"/>
      <c r="BU117" s="566"/>
      <c r="BV117" s="697"/>
      <c r="BW117" s="697"/>
      <c r="BY117" s="691"/>
      <c r="BZ117" s="566"/>
      <c r="CA117" s="566"/>
      <c r="CB117" s="566"/>
      <c r="CC117" s="566"/>
      <c r="CD117" s="697"/>
      <c r="CE117" s="697"/>
      <c r="CG117" s="691"/>
      <c r="CH117" s="566"/>
      <c r="CI117" s="566"/>
      <c r="CJ117" s="566"/>
      <c r="CK117" s="566"/>
      <c r="CL117" s="697"/>
      <c r="CM117" s="697"/>
      <c r="CO117" s="691"/>
      <c r="CP117" s="566"/>
      <c r="CQ117" s="566"/>
      <c r="CR117" s="566"/>
      <c r="CS117" s="566"/>
      <c r="CT117" s="697"/>
      <c r="CU117" s="697"/>
      <c r="CW117" s="691"/>
      <c r="CX117" s="566"/>
      <c r="CY117" s="566"/>
      <c r="CZ117" s="566"/>
      <c r="DA117" s="566"/>
      <c r="DB117" s="697"/>
      <c r="DC117" s="697"/>
    </row>
    <row r="118" spans="1:110" s="673" customFormat="1" ht="25.5" customHeight="1">
      <c r="A118" s="674" t="s">
        <v>60</v>
      </c>
      <c r="B118" s="675" t="s">
        <v>329</v>
      </c>
      <c r="C118" s="660" t="s">
        <v>9</v>
      </c>
      <c r="D118" s="566">
        <v>903.125</v>
      </c>
      <c r="E118" s="557">
        <f t="shared" ref="E118:E137" si="889">F118+G118</f>
        <v>173.18006652709056</v>
      </c>
      <c r="F118" s="566">
        <v>65.980066527090543</v>
      </c>
      <c r="G118" s="566">
        <v>107.2</v>
      </c>
      <c r="H118" s="566">
        <f>D118-F118-G118-I118</f>
        <v>695.14519331049326</v>
      </c>
      <c r="I118" s="566">
        <v>34.7997401624161</v>
      </c>
      <c r="J118" s="566"/>
      <c r="K118" s="679" t="s">
        <v>184</v>
      </c>
      <c r="M118" s="691"/>
      <c r="N118" s="557">
        <f t="shared" ref="N118:N145" si="890">O118+P118</f>
        <v>0</v>
      </c>
      <c r="O118" s="699">
        <f>$M$118*$O$3</f>
        <v>0</v>
      </c>
      <c r="P118" s="699">
        <f>$M$118*$P$3</f>
        <v>0</v>
      </c>
      <c r="Q118" s="699">
        <f>$M$118*$Q$3</f>
        <v>0</v>
      </c>
      <c r="R118" s="699">
        <f>$M$118*$R$3</f>
        <v>0</v>
      </c>
      <c r="S118" s="681">
        <f>$M$16*$S$3</f>
        <v>0</v>
      </c>
      <c r="U118" s="691"/>
      <c r="V118" s="557">
        <f t="shared" ref="V118:V145" si="891">W118+X118</f>
        <v>0</v>
      </c>
      <c r="W118" s="699">
        <f>$M$118*$O$3</f>
        <v>0</v>
      </c>
      <c r="X118" s="699">
        <f>$M$118*$P$3</f>
        <v>0</v>
      </c>
      <c r="Y118" s="699">
        <f>$M$118*$Q$3</f>
        <v>0</v>
      </c>
      <c r="Z118" s="699">
        <f>$M$118*$R$3</f>
        <v>0</v>
      </c>
      <c r="AA118" s="681">
        <f>U118*AA3</f>
        <v>0</v>
      </c>
      <c r="AC118" s="691"/>
      <c r="AD118" s="557">
        <f t="shared" ref="AD118:AD145" si="892">AE118+AF118</f>
        <v>0</v>
      </c>
      <c r="AE118" s="699">
        <f t="shared" ref="AE118" si="893">AC118*$AE$3</f>
        <v>0</v>
      </c>
      <c r="AF118" s="699">
        <f t="shared" ref="AF118" si="894">AC118*$AF$3</f>
        <v>0</v>
      </c>
      <c r="AG118" s="699">
        <f t="shared" ref="AG118" si="895">AC118*$AG$3</f>
        <v>0</v>
      </c>
      <c r="AH118" s="699">
        <f t="shared" ref="AH118" si="896">AC118*$AH$3</f>
        <v>0</v>
      </c>
      <c r="AI118" s="681">
        <f>AC118*AI3</f>
        <v>0</v>
      </c>
      <c r="AK118" s="680">
        <f>44643/1000</f>
        <v>44.643000000000001</v>
      </c>
      <c r="AL118" s="557">
        <f t="shared" ref="AL118:AL145" si="897">AM118+AN118</f>
        <v>9.9532662118899609</v>
      </c>
      <c r="AM118" s="699">
        <f>AK118*$AM$3</f>
        <v>4.183851752843462</v>
      </c>
      <c r="AN118" s="699">
        <f>AK118*$AN$3</f>
        <v>5.7694144590464997</v>
      </c>
      <c r="AO118" s="699">
        <f>AK118*$AO$3</f>
        <v>31.714060555847905</v>
      </c>
      <c r="AP118" s="699">
        <f>AK118*$AP$3</f>
        <v>2.9756732322621322</v>
      </c>
      <c r="AQ118" s="681">
        <f>AK118*AQ3</f>
        <v>0</v>
      </c>
      <c r="AS118" s="691"/>
      <c r="AT118" s="557">
        <f t="shared" ref="AT118:AT145" si="898">AU118+AV118</f>
        <v>0</v>
      </c>
      <c r="AU118" s="699">
        <f>AS118*$AU$3</f>
        <v>0</v>
      </c>
      <c r="AV118" s="699">
        <f>AS118*$AV$3</f>
        <v>0</v>
      </c>
      <c r="AW118" s="699">
        <f>AS118*$AW$3</f>
        <v>0</v>
      </c>
      <c r="AX118" s="699">
        <f>AS118*$AX$3</f>
        <v>0</v>
      </c>
      <c r="AY118" s="681">
        <f>AS118*AY3</f>
        <v>0</v>
      </c>
      <c r="BA118" s="691"/>
      <c r="BB118" s="557">
        <f t="shared" ref="BB118:BB144" si="899">BC118+BD118</f>
        <v>0</v>
      </c>
      <c r="BC118" s="699">
        <f t="shared" ref="BC118" si="900">BA118*$BC$3</f>
        <v>0</v>
      </c>
      <c r="BD118" s="699">
        <f t="shared" ref="BD118" si="901">BA118*$BD$3</f>
        <v>0</v>
      </c>
      <c r="BE118" s="699">
        <f t="shared" ref="BE118" si="902">BA118*$BE$3</f>
        <v>0</v>
      </c>
      <c r="BF118" s="699">
        <f t="shared" ref="BF118" si="903">BA118*$BF$3</f>
        <v>0</v>
      </c>
      <c r="BG118" s="681">
        <f>BA118*BG3</f>
        <v>0</v>
      </c>
      <c r="BI118" s="691"/>
      <c r="BJ118" s="557">
        <f t="shared" ref="BJ118:BJ144" si="904">BK118+BL118</f>
        <v>0</v>
      </c>
      <c r="BK118" s="699">
        <f t="shared" ref="BK118" si="905">BI118*$BK$3</f>
        <v>0</v>
      </c>
      <c r="BL118" s="699">
        <f t="shared" ref="BL118" si="906">BI118*$BL$3</f>
        <v>0</v>
      </c>
      <c r="BM118" s="699">
        <f t="shared" ref="BM118" si="907">BI118*$BM$3</f>
        <v>0</v>
      </c>
      <c r="BN118" s="699">
        <f t="shared" ref="BN118" si="908">BI118*$BN$3</f>
        <v>0</v>
      </c>
      <c r="BO118" s="681">
        <f>BI118*BO3</f>
        <v>0</v>
      </c>
      <c r="BQ118" s="691"/>
      <c r="BR118" s="557">
        <f t="shared" ref="BR118:BR144" si="909">BS118+BT118</f>
        <v>0</v>
      </c>
      <c r="BS118" s="699">
        <f t="shared" ref="BS118" si="910">BQ118*$BS$3</f>
        <v>0</v>
      </c>
      <c r="BT118" s="699">
        <f t="shared" ref="BT118" si="911">BQ118*$BT$3</f>
        <v>0</v>
      </c>
      <c r="BU118" s="699">
        <f t="shared" ref="BU118" si="912">BQ118*$BU$3</f>
        <v>0</v>
      </c>
      <c r="BV118" s="699">
        <f t="shared" ref="BV118" si="913">BQ118*$BV$3</f>
        <v>0</v>
      </c>
      <c r="BW118" s="681">
        <f>BQ118*BW3</f>
        <v>0</v>
      </c>
      <c r="BY118" s="691"/>
      <c r="BZ118" s="557">
        <f t="shared" ref="BZ118:BZ144" si="914">CA118+CB118</f>
        <v>0</v>
      </c>
      <c r="CA118" s="699">
        <f t="shared" ref="CA118" si="915">BY118*$CA$3</f>
        <v>0</v>
      </c>
      <c r="CB118" s="699">
        <f t="shared" ref="CB118" si="916">BY118*$CB$3</f>
        <v>0</v>
      </c>
      <c r="CC118" s="699">
        <f t="shared" ref="CC118" si="917">BY118*$CC$3</f>
        <v>0</v>
      </c>
      <c r="CD118" s="699">
        <f t="shared" ref="CD118" si="918">BY118*$CD$3</f>
        <v>0</v>
      </c>
      <c r="CE118" s="681">
        <f>BY118*CE3</f>
        <v>0</v>
      </c>
      <c r="CG118" s="691"/>
      <c r="CH118" s="557">
        <f t="shared" ref="CH118:CH144" si="919">CI118+CJ118</f>
        <v>0</v>
      </c>
      <c r="CI118" s="699">
        <f>CG118*$CI$3</f>
        <v>0</v>
      </c>
      <c r="CJ118" s="699">
        <f t="shared" ref="CJ118" si="920">CG118*$CJ$3</f>
        <v>0</v>
      </c>
      <c r="CK118" s="699">
        <f t="shared" ref="CK118" si="921">CG118*$CK$3</f>
        <v>0</v>
      </c>
      <c r="CL118" s="699">
        <f t="shared" ref="CL118" si="922">CG118*$CL$3</f>
        <v>0</v>
      </c>
      <c r="CM118" s="681">
        <f>CG118*CM3</f>
        <v>0</v>
      </c>
      <c r="CO118" s="691"/>
      <c r="CP118" s="557">
        <f t="shared" ref="CP118:CP144" si="923">CQ118+CR118</f>
        <v>0</v>
      </c>
      <c r="CQ118" s="699">
        <f t="shared" ref="CQ118" si="924">CO118*$CQ$3</f>
        <v>0</v>
      </c>
      <c r="CR118" s="699">
        <f t="shared" ref="CR118" si="925">CO118*$CR$3</f>
        <v>0</v>
      </c>
      <c r="CS118" s="699">
        <f t="shared" ref="CS118" si="926">CO118*$CS$3</f>
        <v>0</v>
      </c>
      <c r="CT118" s="699">
        <f t="shared" ref="CT118" si="927">CO118*$CT$3</f>
        <v>0</v>
      </c>
      <c r="CU118" s="681">
        <f>CO118*CU3</f>
        <v>0</v>
      </c>
      <c r="CW118" s="691"/>
      <c r="CX118" s="557">
        <f t="shared" ref="CX118:CX144" si="928">CY118+CZ118</f>
        <v>0</v>
      </c>
      <c r="CY118" s="699">
        <f t="shared" ref="CY118" si="929">CW118*$CY$3</f>
        <v>0</v>
      </c>
      <c r="CZ118" s="699">
        <f t="shared" ref="CZ118" si="930">CW118*$CZ$3</f>
        <v>0</v>
      </c>
      <c r="DA118" s="699">
        <f t="shared" ref="DA118" si="931">CW118*$DA$3</f>
        <v>0</v>
      </c>
      <c r="DB118" s="699">
        <f t="shared" ref="DB118" si="932">CW118*$DB$3</f>
        <v>0</v>
      </c>
      <c r="DC118" s="681">
        <f>CW118*DC3</f>
        <v>0</v>
      </c>
    </row>
    <row r="119" spans="1:110" s="673" customFormat="1" ht="26.25" customHeight="1">
      <c r="A119" s="674" t="s">
        <v>61</v>
      </c>
      <c r="B119" s="675" t="s">
        <v>160</v>
      </c>
      <c r="C119" s="660" t="s">
        <v>9</v>
      </c>
      <c r="D119" s="566">
        <f>SUM(D120:D121)</f>
        <v>296.57707597200005</v>
      </c>
      <c r="E119" s="557">
        <f t="shared" si="889"/>
        <v>66.122585612374394</v>
      </c>
      <c r="F119" s="566">
        <f>SUM(F120:F121)</f>
        <v>27.794604286419837</v>
      </c>
      <c r="G119" s="566">
        <f>SUM(G120:G121)</f>
        <v>38.327981325954553</v>
      </c>
      <c r="H119" s="566">
        <f>SUM(H120:H121)</f>
        <v>219.02660918929516</v>
      </c>
      <c r="I119" s="566">
        <f>SUM(I120:I121)</f>
        <v>11.427881170330508</v>
      </c>
      <c r="J119" s="566">
        <f>SUM(J120:J121)</f>
        <v>0</v>
      </c>
      <c r="K119" s="689"/>
      <c r="M119" s="566">
        <f>SUM(M120:M121)</f>
        <v>13.84947</v>
      </c>
      <c r="N119" s="557">
        <f t="shared" si="890"/>
        <v>3.0877732635258308</v>
      </c>
      <c r="O119" s="566">
        <f>SUM(O120:O121)</f>
        <v>1.2979443436922462</v>
      </c>
      <c r="P119" s="566">
        <f>SUM(P120:P121)</f>
        <v>1.7898289198335848</v>
      </c>
      <c r="Q119" s="566">
        <f>SUM(Q120:Q121)</f>
        <v>9.8385621541204422</v>
      </c>
      <c r="R119" s="566">
        <f>SUM(R120:R121)</f>
        <v>0.92313458235372692</v>
      </c>
      <c r="S119" s="566">
        <f>SUM(S120:S121)</f>
        <v>0</v>
      </c>
      <c r="U119" s="566">
        <f>SUM(U120:U121)</f>
        <v>10.273</v>
      </c>
      <c r="V119" s="557">
        <f t="shared" si="891"/>
        <v>2.2903905157526507</v>
      </c>
      <c r="W119" s="566">
        <f>SUM(W120:W121)</f>
        <v>0.9627648020285573</v>
      </c>
      <c r="X119" s="566">
        <f>SUM(X120:X121)</f>
        <v>1.3276257137240932</v>
      </c>
      <c r="Y119" s="566">
        <f>SUM(Y120:Y121)</f>
        <v>7.2978640344561416</v>
      </c>
      <c r="Z119" s="566">
        <f>SUM(Z120:Z121)</f>
        <v>0.68474544979120766</v>
      </c>
      <c r="AA119" s="566">
        <f>SUM(AA120:AA121)</f>
        <v>0</v>
      </c>
      <c r="AC119" s="566">
        <f>SUM(AC120:AC121)</f>
        <v>2.427</v>
      </c>
      <c r="AD119" s="557">
        <f t="shared" si="892"/>
        <v>0.5411055954182501</v>
      </c>
      <c r="AE119" s="566">
        <f>SUM(AE120:AE121)</f>
        <v>0.22745353592166931</v>
      </c>
      <c r="AF119" s="566">
        <f>SUM(AF120:AF121)</f>
        <v>0.31365205949658076</v>
      </c>
      <c r="AG119" s="566">
        <f>SUM(AG120:AG121)</f>
        <v>1.7241230421128255</v>
      </c>
      <c r="AH119" s="566">
        <f>SUM(AH120:AH121)</f>
        <v>0.16177136246892446</v>
      </c>
      <c r="AI119" s="566">
        <f>SUM(AI120:AI121)</f>
        <v>0</v>
      </c>
      <c r="AK119" s="566">
        <f>SUM(AK120:AK121)</f>
        <v>20.672090000000001</v>
      </c>
      <c r="AL119" s="557">
        <f t="shared" si="897"/>
        <v>4.6088931058877849</v>
      </c>
      <c r="AM119" s="566">
        <f>SUM(AM120:AM121)</f>
        <v>1.9373465040753939</v>
      </c>
      <c r="AN119" s="566">
        <f>SUM(AN120:AN121)</f>
        <v>2.6715466018123908</v>
      </c>
      <c r="AO119" s="566">
        <f>SUM(AO120:AO121)</f>
        <v>14.685301482336264</v>
      </c>
      <c r="AP119" s="566">
        <f>SUM(AP120:AP121)</f>
        <v>1.377895411775949</v>
      </c>
      <c r="AQ119" s="566">
        <f>SUM(AQ120:AQ121)</f>
        <v>0</v>
      </c>
      <c r="AS119" s="566">
        <f>SUM(AS120:AS121)</f>
        <v>16.869019999999999</v>
      </c>
      <c r="AT119" s="557">
        <f t="shared" si="898"/>
        <v>3.7609893330129252</v>
      </c>
      <c r="AU119" s="566">
        <f>SUM(AU120:AU121)</f>
        <v>1.5809304682873333</v>
      </c>
      <c r="AV119" s="566">
        <f>SUM(AV120:AV121)</f>
        <v>2.1800588647255918</v>
      </c>
      <c r="AW119" s="566">
        <f>SUM(AW120:AW121)</f>
        <v>11.983628380660113</v>
      </c>
      <c r="AX119" s="566">
        <f>SUM(AX120:AX121)</f>
        <v>1.1244022863269616</v>
      </c>
      <c r="AY119" s="566">
        <f>SUM(AY120:AY121)</f>
        <v>0</v>
      </c>
      <c r="BA119" s="566">
        <f>SUM(BA120:BA121)</f>
        <v>0</v>
      </c>
      <c r="BB119" s="557">
        <f t="shared" si="899"/>
        <v>0</v>
      </c>
      <c r="BC119" s="566">
        <f>SUM(BC120:BC121)</f>
        <v>0</v>
      </c>
      <c r="BD119" s="566">
        <f>SUM(BD120:BD121)</f>
        <v>0</v>
      </c>
      <c r="BE119" s="566">
        <f>SUM(BE120:BE121)</f>
        <v>0</v>
      </c>
      <c r="BF119" s="566">
        <f>SUM(BF120:BF121)</f>
        <v>0</v>
      </c>
      <c r="BG119" s="566">
        <f>SUM(BG120:BG121)</f>
        <v>0</v>
      </c>
      <c r="BI119" s="566">
        <f>SUM(BI120:BI121)</f>
        <v>0</v>
      </c>
      <c r="BJ119" s="557">
        <f t="shared" si="904"/>
        <v>0</v>
      </c>
      <c r="BK119" s="566">
        <f>SUM(BK120:BK121)</f>
        <v>0</v>
      </c>
      <c r="BL119" s="566">
        <f>SUM(BL120:BL121)</f>
        <v>0</v>
      </c>
      <c r="BM119" s="566">
        <f>SUM(BM120:BM121)</f>
        <v>0</v>
      </c>
      <c r="BN119" s="566">
        <f>SUM(BN120:BN121)</f>
        <v>0</v>
      </c>
      <c r="BO119" s="566">
        <f>SUM(BO120:BO121)</f>
        <v>0</v>
      </c>
      <c r="BQ119" s="566">
        <f>SUM(BQ120:BQ121)</f>
        <v>0</v>
      </c>
      <c r="BR119" s="557">
        <f t="shared" si="909"/>
        <v>0</v>
      </c>
      <c r="BS119" s="566">
        <f>SUM(BS120:BS121)</f>
        <v>0</v>
      </c>
      <c r="BT119" s="566">
        <f>SUM(BT120:BT121)</f>
        <v>0</v>
      </c>
      <c r="BU119" s="566">
        <f>SUM(BU120:BU121)</f>
        <v>0</v>
      </c>
      <c r="BV119" s="566">
        <f>SUM(BV120:BV121)</f>
        <v>0</v>
      </c>
      <c r="BW119" s="566">
        <f>SUM(BW120:BW121)</f>
        <v>0</v>
      </c>
      <c r="BY119" s="566">
        <f>SUM(BY120:BY121)</f>
        <v>0</v>
      </c>
      <c r="BZ119" s="557">
        <f t="shared" si="914"/>
        <v>0</v>
      </c>
      <c r="CA119" s="566">
        <f>SUM(CA120:CA121)</f>
        <v>0</v>
      </c>
      <c r="CB119" s="566">
        <f>SUM(CB120:CB121)</f>
        <v>0</v>
      </c>
      <c r="CC119" s="566">
        <f>SUM(CC120:CC121)</f>
        <v>0</v>
      </c>
      <c r="CD119" s="566">
        <f>SUM(CD120:CD121)</f>
        <v>0</v>
      </c>
      <c r="CE119" s="566">
        <f>SUM(CE120:CE121)</f>
        <v>0</v>
      </c>
      <c r="CG119" s="566">
        <f>SUM(CG120:CG121)</f>
        <v>0</v>
      </c>
      <c r="CH119" s="557">
        <f t="shared" si="919"/>
        <v>0</v>
      </c>
      <c r="CI119" s="566">
        <f>SUM(CI120:CI121)</f>
        <v>0</v>
      </c>
      <c r="CJ119" s="566">
        <f>SUM(CJ120:CJ121)</f>
        <v>0</v>
      </c>
      <c r="CK119" s="566">
        <f>SUM(CK120:CK121)</f>
        <v>0</v>
      </c>
      <c r="CL119" s="566">
        <f>SUM(CL120:CL121)</f>
        <v>0</v>
      </c>
      <c r="CM119" s="566">
        <f>SUM(CM120:CM121)</f>
        <v>0</v>
      </c>
      <c r="CO119" s="566">
        <f>SUM(CO120:CO121)</f>
        <v>0</v>
      </c>
      <c r="CP119" s="557">
        <f t="shared" si="923"/>
        <v>0</v>
      </c>
      <c r="CQ119" s="566">
        <f>SUM(CQ120:CQ121)</f>
        <v>0</v>
      </c>
      <c r="CR119" s="566">
        <f>SUM(CR120:CR121)</f>
        <v>0</v>
      </c>
      <c r="CS119" s="566">
        <f>SUM(CS120:CS121)</f>
        <v>0</v>
      </c>
      <c r="CT119" s="566">
        <f>SUM(CT120:CT121)</f>
        <v>0</v>
      </c>
      <c r="CU119" s="566">
        <f>SUM(CU120:CU121)</f>
        <v>0</v>
      </c>
      <c r="CW119" s="566">
        <f>SUM(CW120:CW121)</f>
        <v>0</v>
      </c>
      <c r="CX119" s="557">
        <f t="shared" si="928"/>
        <v>0</v>
      </c>
      <c r="CY119" s="566">
        <f>SUM(CY120:CY121)</f>
        <v>0</v>
      </c>
      <c r="CZ119" s="566">
        <f>SUM(CZ120:CZ121)</f>
        <v>0</v>
      </c>
      <c r="DA119" s="566">
        <f>SUM(DA120:DA121)</f>
        <v>0</v>
      </c>
      <c r="DB119" s="566">
        <f>SUM(DB120:DB121)</f>
        <v>0</v>
      </c>
      <c r="DC119" s="566">
        <f>SUM(DC120:DC121)</f>
        <v>0</v>
      </c>
    </row>
    <row r="120" spans="1:110" s="673" customFormat="1" ht="20.25" customHeight="1" outlineLevel="1">
      <c r="A120" s="674"/>
      <c r="B120" s="678" t="s">
        <v>63</v>
      </c>
      <c r="C120" s="671" t="s">
        <v>9</v>
      </c>
      <c r="D120" s="563">
        <v>29.084922371999994</v>
      </c>
      <c r="E120" s="563">
        <f t="shared" si="889"/>
        <v>6.4845546921279933</v>
      </c>
      <c r="F120" s="563">
        <v>2.7257801547254488</v>
      </c>
      <c r="G120" s="563">
        <v>3.7587745374025445</v>
      </c>
      <c r="H120" s="563">
        <f>D120-F120-G120-I120</f>
        <v>21.479650457793504</v>
      </c>
      <c r="I120" s="563">
        <v>1.1207172220784971</v>
      </c>
      <c r="J120" s="563"/>
      <c r="K120" s="679" t="s">
        <v>184</v>
      </c>
      <c r="M120" s="680">
        <f>13849.47/1000</f>
        <v>13.84947</v>
      </c>
      <c r="N120" s="563">
        <f t="shared" si="890"/>
        <v>3.0877732635258308</v>
      </c>
      <c r="O120" s="681">
        <f>$M$120*$O$3</f>
        <v>1.2979443436922462</v>
      </c>
      <c r="P120" s="681">
        <f>$M$120*$P$3</f>
        <v>1.7898289198335848</v>
      </c>
      <c r="Q120" s="681">
        <f>$M$120*$Q$3</f>
        <v>9.8385621541204422</v>
      </c>
      <c r="R120" s="681">
        <f>$M$120*$R$3</f>
        <v>0.92313458235372692</v>
      </c>
      <c r="S120" s="681">
        <f t="shared" ref="S120:S121" si="933">$M$16*$S$3</f>
        <v>0</v>
      </c>
      <c r="U120" s="680">
        <f>10273/1000</f>
        <v>10.273</v>
      </c>
      <c r="V120" s="563">
        <f t="shared" si="891"/>
        <v>2.2903905157526507</v>
      </c>
      <c r="W120" s="681">
        <f t="shared" ref="W120:W121" si="934">U120*$W$3</f>
        <v>0.9627648020285573</v>
      </c>
      <c r="X120" s="681">
        <f t="shared" ref="X120:X121" si="935">U120*$X$3</f>
        <v>1.3276257137240932</v>
      </c>
      <c r="Y120" s="681">
        <f t="shared" ref="Y120:Y121" si="936">U120*$Y$3</f>
        <v>7.2978640344561416</v>
      </c>
      <c r="Z120" s="681">
        <f t="shared" ref="Z120:Z121" si="937">U120*$Z$3</f>
        <v>0.68474544979120766</v>
      </c>
      <c r="AA120" s="681">
        <f>U120*AA3</f>
        <v>0</v>
      </c>
      <c r="AC120" s="680">
        <f>2427/1000</f>
        <v>2.427</v>
      </c>
      <c r="AD120" s="563">
        <f t="shared" si="892"/>
        <v>0.5411055954182501</v>
      </c>
      <c r="AE120" s="681">
        <f t="shared" ref="AE120:AE121" si="938">AC120*$AE$3</f>
        <v>0.22745353592166931</v>
      </c>
      <c r="AF120" s="681">
        <f t="shared" ref="AF120:AF121" si="939">AC120*$AF$3</f>
        <v>0.31365205949658076</v>
      </c>
      <c r="AG120" s="681">
        <f t="shared" ref="AG120:AG121" si="940">AC120*$AG$3</f>
        <v>1.7241230421128255</v>
      </c>
      <c r="AH120" s="681">
        <f t="shared" ref="AH120:AH121" si="941">AC120*$AH$3</f>
        <v>0.16177136246892446</v>
      </c>
      <c r="AI120" s="681">
        <f>AC120*AI3</f>
        <v>0</v>
      </c>
      <c r="AK120" s="680">
        <f>2426.77/1000</f>
        <v>2.4267699999999999</v>
      </c>
      <c r="AL120" s="563">
        <f t="shared" si="897"/>
        <v>0.54105431635481938</v>
      </c>
      <c r="AM120" s="681">
        <f t="shared" ref="AM120:AM121" si="942">AK120*$AM$3</f>
        <v>0.22743198078641508</v>
      </c>
      <c r="AN120" s="681">
        <f t="shared" ref="AN120:AN121" si="943">AK120*$AN$3</f>
        <v>0.3136223355684043</v>
      </c>
      <c r="AO120" s="681">
        <f t="shared" ref="AO120:AO121" si="944">AK120*$AO$3</f>
        <v>1.7239596517956906</v>
      </c>
      <c r="AP120" s="681">
        <f t="shared" ref="AP120:AP121" si="945">AK120*$AP$3</f>
        <v>0.16175603184948983</v>
      </c>
      <c r="AQ120" s="681">
        <f>AK120*AQ3</f>
        <v>0</v>
      </c>
      <c r="AS120" s="680">
        <f>2426.77/1000</f>
        <v>2.4267699999999999</v>
      </c>
      <c r="AT120" s="563">
        <f t="shared" si="898"/>
        <v>0.54105431635481938</v>
      </c>
      <c r="AU120" s="681">
        <f t="shared" ref="AU120:AU121" si="946">AS120*$AU$3</f>
        <v>0.22743198078641508</v>
      </c>
      <c r="AV120" s="681">
        <f t="shared" ref="AV120:AV121" si="947">AS120*$AV$3</f>
        <v>0.3136223355684043</v>
      </c>
      <c r="AW120" s="681">
        <f t="shared" ref="AW120:AW121" si="948">AS120*$AW$3</f>
        <v>1.7239596517956906</v>
      </c>
      <c r="AX120" s="681">
        <f t="shared" ref="AX120:AX121" si="949">AS120*$AX$3</f>
        <v>0.16175603184948983</v>
      </c>
      <c r="AY120" s="681">
        <f>AS120*AY3</f>
        <v>0</v>
      </c>
      <c r="BA120" s="680"/>
      <c r="BB120" s="563">
        <f t="shared" si="899"/>
        <v>0</v>
      </c>
      <c r="BC120" s="681">
        <f t="shared" ref="BC120:BC121" si="950">BA120*$W$3</f>
        <v>0</v>
      </c>
      <c r="BD120" s="681">
        <f t="shared" ref="BD120:BD121" si="951">BA120*$X$3</f>
        <v>0</v>
      </c>
      <c r="BE120" s="681">
        <f t="shared" ref="BE120:BE121" si="952">BA120*$Y$3</f>
        <v>0</v>
      </c>
      <c r="BF120" s="681">
        <f t="shared" ref="BF120:BF121" si="953">BA120*$Z$3</f>
        <v>0</v>
      </c>
      <c r="BG120" s="681">
        <f>BA120*BG3</f>
        <v>0</v>
      </c>
      <c r="BI120" s="680"/>
      <c r="BJ120" s="563">
        <f t="shared" si="904"/>
        <v>0</v>
      </c>
      <c r="BK120" s="681">
        <f t="shared" ref="BK120:BK121" si="954">BI120*$BK$3</f>
        <v>0</v>
      </c>
      <c r="BL120" s="681">
        <f t="shared" ref="BL120:BL121" si="955">BI120*$BL$3</f>
        <v>0</v>
      </c>
      <c r="BM120" s="681">
        <f t="shared" ref="BM120:BM121" si="956">BI120*$BM$3</f>
        <v>0</v>
      </c>
      <c r="BN120" s="681">
        <f t="shared" ref="BN120:BN121" si="957">BI120*$BN$3</f>
        <v>0</v>
      </c>
      <c r="BO120" s="681">
        <f>BI120*BO3</f>
        <v>0</v>
      </c>
      <c r="BQ120" s="680"/>
      <c r="BR120" s="563">
        <f t="shared" si="909"/>
        <v>0</v>
      </c>
      <c r="BS120" s="681">
        <f t="shared" ref="BS120:BS121" si="958">BQ120*$BS$3</f>
        <v>0</v>
      </c>
      <c r="BT120" s="681">
        <f t="shared" ref="BT120:BT121" si="959">BQ120*$BT$3</f>
        <v>0</v>
      </c>
      <c r="BU120" s="681">
        <f t="shared" ref="BU120:BU121" si="960">BQ120*$BU$3</f>
        <v>0</v>
      </c>
      <c r="BV120" s="681">
        <f t="shared" ref="BV120:BV121" si="961">BQ120*$BV$3</f>
        <v>0</v>
      </c>
      <c r="BW120" s="681">
        <f>BQ120*BW3</f>
        <v>0</v>
      </c>
      <c r="BY120" s="680"/>
      <c r="BZ120" s="563">
        <f t="shared" si="914"/>
        <v>0</v>
      </c>
      <c r="CA120" s="681">
        <f t="shared" ref="CA120:CA121" si="962">BY120*$CA$3</f>
        <v>0</v>
      </c>
      <c r="CB120" s="681">
        <f t="shared" ref="CB120:CB121" si="963">BY120*$CB$3</f>
        <v>0</v>
      </c>
      <c r="CC120" s="681">
        <f t="shared" ref="CC120:CC121" si="964">BY120*$CC$3</f>
        <v>0</v>
      </c>
      <c r="CD120" s="681">
        <f t="shared" ref="CD120:CD121" si="965">BY120*$CD$3</f>
        <v>0</v>
      </c>
      <c r="CE120" s="681">
        <f>BY120*CE3</f>
        <v>0</v>
      </c>
      <c r="CG120" s="680"/>
      <c r="CH120" s="560">
        <f t="shared" si="919"/>
        <v>0</v>
      </c>
      <c r="CI120" s="681">
        <f>CG120*$CI$3</f>
        <v>0</v>
      </c>
      <c r="CJ120" s="681">
        <f t="shared" ref="CJ120:CJ121" si="966">CG120*$CJ$3</f>
        <v>0</v>
      </c>
      <c r="CK120" s="681">
        <f t="shared" ref="CK120:CK121" si="967">CG120*$CK$3</f>
        <v>0</v>
      </c>
      <c r="CL120" s="681">
        <f t="shared" ref="CL120:CL121" si="968">CG120*$CL$3</f>
        <v>0</v>
      </c>
      <c r="CM120" s="681">
        <f>CG120*CM3</f>
        <v>0</v>
      </c>
      <c r="CN120" s="708"/>
      <c r="CO120" s="680"/>
      <c r="CP120" s="560">
        <f t="shared" si="923"/>
        <v>0</v>
      </c>
      <c r="CQ120" s="681">
        <f t="shared" ref="CQ120:CQ121" si="969">CO120*$CQ$3</f>
        <v>0</v>
      </c>
      <c r="CR120" s="681">
        <f t="shared" ref="CR120:CR121" si="970">CO120*$CR$3</f>
        <v>0</v>
      </c>
      <c r="CS120" s="681">
        <f t="shared" ref="CS120:CS121" si="971">CO120*$CS$3</f>
        <v>0</v>
      </c>
      <c r="CT120" s="681">
        <f t="shared" ref="CT120:CT121" si="972">CO120*$CT$3</f>
        <v>0</v>
      </c>
      <c r="CU120" s="681">
        <f>CO120*CU3</f>
        <v>0</v>
      </c>
      <c r="CV120" s="708"/>
      <c r="CW120" s="680"/>
      <c r="CX120" s="560">
        <f t="shared" si="928"/>
        <v>0</v>
      </c>
      <c r="CY120" s="681">
        <f t="shared" ref="CY120:CY121" si="973">CW120*$CY$3</f>
        <v>0</v>
      </c>
      <c r="CZ120" s="681">
        <f t="shared" ref="CZ120:CZ121" si="974">CW120*$CZ$3</f>
        <v>0</v>
      </c>
      <c r="DA120" s="681">
        <f t="shared" ref="DA120:DA121" si="975">CW120*$DA$3</f>
        <v>0</v>
      </c>
      <c r="DB120" s="681">
        <f t="shared" ref="DB120:DB121" si="976">CW120*$DB$3</f>
        <v>0</v>
      </c>
      <c r="DC120" s="681">
        <f>CW120*DC3</f>
        <v>0</v>
      </c>
    </row>
    <row r="121" spans="1:110" s="673" customFormat="1" ht="20.25" customHeight="1" outlineLevel="1">
      <c r="A121" s="674"/>
      <c r="B121" s="678" t="s">
        <v>64</v>
      </c>
      <c r="C121" s="671" t="s">
        <v>9</v>
      </c>
      <c r="D121" s="563">
        <v>267.49215360000005</v>
      </c>
      <c r="E121" s="563">
        <f t="shared" si="889"/>
        <v>59.638030920246393</v>
      </c>
      <c r="F121" s="563">
        <v>25.068824131694388</v>
      </c>
      <c r="G121" s="563">
        <v>34.569206788552009</v>
      </c>
      <c r="H121" s="563">
        <f>D121-F121-G121-I121</f>
        <v>197.54695873150166</v>
      </c>
      <c r="I121" s="563">
        <v>10.307163948252011</v>
      </c>
      <c r="J121" s="563"/>
      <c r="K121" s="679" t="s">
        <v>184</v>
      </c>
      <c r="M121" s="680"/>
      <c r="N121" s="563">
        <f t="shared" si="890"/>
        <v>0</v>
      </c>
      <c r="O121" s="681">
        <f>$M$121*$O$3</f>
        <v>0</v>
      </c>
      <c r="P121" s="681">
        <f>$M$121*$P$3</f>
        <v>0</v>
      </c>
      <c r="Q121" s="681">
        <f>$M$121*$Q$3</f>
        <v>0</v>
      </c>
      <c r="R121" s="681">
        <f>$M$121*$R$3</f>
        <v>0</v>
      </c>
      <c r="S121" s="681">
        <f t="shared" si="933"/>
        <v>0</v>
      </c>
      <c r="U121" s="680"/>
      <c r="V121" s="563">
        <f t="shared" si="891"/>
        <v>0</v>
      </c>
      <c r="W121" s="681">
        <f t="shared" si="934"/>
        <v>0</v>
      </c>
      <c r="X121" s="681">
        <f t="shared" si="935"/>
        <v>0</v>
      </c>
      <c r="Y121" s="681">
        <f t="shared" si="936"/>
        <v>0</v>
      </c>
      <c r="Z121" s="681">
        <f t="shared" si="937"/>
        <v>0</v>
      </c>
      <c r="AA121" s="681">
        <f>U121*AA3</f>
        <v>0</v>
      </c>
      <c r="AC121" s="680"/>
      <c r="AD121" s="563">
        <f t="shared" si="892"/>
        <v>0</v>
      </c>
      <c r="AE121" s="681">
        <f t="shared" si="938"/>
        <v>0</v>
      </c>
      <c r="AF121" s="681">
        <f t="shared" si="939"/>
        <v>0</v>
      </c>
      <c r="AG121" s="681">
        <f t="shared" si="940"/>
        <v>0</v>
      </c>
      <c r="AH121" s="681">
        <f t="shared" si="941"/>
        <v>0</v>
      </c>
      <c r="AI121" s="681">
        <f>AC121*AI3</f>
        <v>0</v>
      </c>
      <c r="AK121" s="680">
        <f>18245.32/1000</f>
        <v>18.24532</v>
      </c>
      <c r="AL121" s="563">
        <f t="shared" si="897"/>
        <v>4.0678387895329653</v>
      </c>
      <c r="AM121" s="681">
        <f t="shared" si="942"/>
        <v>1.7099145232889787</v>
      </c>
      <c r="AN121" s="681">
        <f t="shared" si="943"/>
        <v>2.3579242662439865</v>
      </c>
      <c r="AO121" s="681">
        <f t="shared" si="944"/>
        <v>12.961341830540574</v>
      </c>
      <c r="AP121" s="681">
        <f t="shared" si="945"/>
        <v>1.2161393799264593</v>
      </c>
      <c r="AQ121" s="681">
        <f>AK121*AQ3</f>
        <v>0</v>
      </c>
      <c r="AS121" s="680">
        <f>14442.25/1000</f>
        <v>14.44225</v>
      </c>
      <c r="AT121" s="563">
        <f t="shared" si="898"/>
        <v>3.2199350166581056</v>
      </c>
      <c r="AU121" s="681">
        <f t="shared" si="946"/>
        <v>1.3534984875009182</v>
      </c>
      <c r="AV121" s="681">
        <f t="shared" si="947"/>
        <v>1.8664365291571874</v>
      </c>
      <c r="AW121" s="681">
        <f t="shared" si="948"/>
        <v>10.259668728864423</v>
      </c>
      <c r="AX121" s="681">
        <f t="shared" si="949"/>
        <v>0.96264625447747187</v>
      </c>
      <c r="AY121" s="681">
        <f>AS121*AY3</f>
        <v>0</v>
      </c>
      <c r="BA121" s="680"/>
      <c r="BB121" s="563">
        <f t="shared" si="899"/>
        <v>0</v>
      </c>
      <c r="BC121" s="681">
        <f t="shared" si="950"/>
        <v>0</v>
      </c>
      <c r="BD121" s="681">
        <f t="shared" si="951"/>
        <v>0</v>
      </c>
      <c r="BE121" s="681">
        <f t="shared" si="952"/>
        <v>0</v>
      </c>
      <c r="BF121" s="681">
        <f t="shared" si="953"/>
        <v>0</v>
      </c>
      <c r="BG121" s="681">
        <f>BA121*BG3</f>
        <v>0</v>
      </c>
      <c r="BI121" s="680"/>
      <c r="BJ121" s="563">
        <f t="shared" si="904"/>
        <v>0</v>
      </c>
      <c r="BK121" s="681">
        <f t="shared" si="954"/>
        <v>0</v>
      </c>
      <c r="BL121" s="681">
        <f t="shared" si="955"/>
        <v>0</v>
      </c>
      <c r="BM121" s="681">
        <f t="shared" si="956"/>
        <v>0</v>
      </c>
      <c r="BN121" s="681">
        <f t="shared" si="957"/>
        <v>0</v>
      </c>
      <c r="BO121" s="681">
        <f>BI121*BO3</f>
        <v>0</v>
      </c>
      <c r="BQ121" s="680"/>
      <c r="BR121" s="563">
        <f t="shared" si="909"/>
        <v>0</v>
      </c>
      <c r="BS121" s="681">
        <f t="shared" si="958"/>
        <v>0</v>
      </c>
      <c r="BT121" s="681">
        <f t="shared" si="959"/>
        <v>0</v>
      </c>
      <c r="BU121" s="681">
        <f t="shared" si="960"/>
        <v>0</v>
      </c>
      <c r="BV121" s="681">
        <f t="shared" si="961"/>
        <v>0</v>
      </c>
      <c r="BW121" s="681">
        <f>BQ121*BW3</f>
        <v>0</v>
      </c>
      <c r="BY121" s="680"/>
      <c r="BZ121" s="563">
        <f t="shared" si="914"/>
        <v>0</v>
      </c>
      <c r="CA121" s="681">
        <f t="shared" si="962"/>
        <v>0</v>
      </c>
      <c r="CB121" s="681">
        <f t="shared" si="963"/>
        <v>0</v>
      </c>
      <c r="CC121" s="681">
        <f t="shared" si="964"/>
        <v>0</v>
      </c>
      <c r="CD121" s="681">
        <f t="shared" si="965"/>
        <v>0</v>
      </c>
      <c r="CE121" s="681">
        <f>BY121*CE3</f>
        <v>0</v>
      </c>
      <c r="CG121" s="680"/>
      <c r="CH121" s="560">
        <f t="shared" si="919"/>
        <v>0</v>
      </c>
      <c r="CI121" s="681">
        <f>CG121*$CI$3</f>
        <v>0</v>
      </c>
      <c r="CJ121" s="681">
        <f t="shared" si="966"/>
        <v>0</v>
      </c>
      <c r="CK121" s="681">
        <f t="shared" si="967"/>
        <v>0</v>
      </c>
      <c r="CL121" s="681">
        <f t="shared" si="968"/>
        <v>0</v>
      </c>
      <c r="CM121" s="681">
        <f>CG121*CM3</f>
        <v>0</v>
      </c>
      <c r="CN121" s="708"/>
      <c r="CO121" s="680"/>
      <c r="CP121" s="560">
        <f t="shared" si="923"/>
        <v>0</v>
      </c>
      <c r="CQ121" s="681">
        <f t="shared" si="969"/>
        <v>0</v>
      </c>
      <c r="CR121" s="681">
        <f t="shared" si="970"/>
        <v>0</v>
      </c>
      <c r="CS121" s="681">
        <f t="shared" si="971"/>
        <v>0</v>
      </c>
      <c r="CT121" s="681">
        <f t="shared" si="972"/>
        <v>0</v>
      </c>
      <c r="CU121" s="681">
        <f>CO121*CU3</f>
        <v>0</v>
      </c>
      <c r="CV121" s="708"/>
      <c r="CW121" s="680"/>
      <c r="CX121" s="560">
        <f t="shared" si="928"/>
        <v>0</v>
      </c>
      <c r="CY121" s="681">
        <f t="shared" si="973"/>
        <v>0</v>
      </c>
      <c r="CZ121" s="681">
        <f t="shared" si="974"/>
        <v>0</v>
      </c>
      <c r="DA121" s="681">
        <f t="shared" si="975"/>
        <v>0</v>
      </c>
      <c r="DB121" s="681">
        <f t="shared" si="976"/>
        <v>0</v>
      </c>
      <c r="DC121" s="681">
        <f>CW121*DC3</f>
        <v>0</v>
      </c>
    </row>
    <row r="122" spans="1:110" s="673" customFormat="1" ht="27" customHeight="1">
      <c r="A122" s="674" t="s">
        <v>120</v>
      </c>
      <c r="B122" s="675" t="s">
        <v>461</v>
      </c>
      <c r="C122" s="671" t="s">
        <v>9</v>
      </c>
      <c r="D122" s="566">
        <f>SUM(D123:D139)</f>
        <v>16767.959742622967</v>
      </c>
      <c r="E122" s="557">
        <f t="shared" si="889"/>
        <v>3726.5358117850019</v>
      </c>
      <c r="F122" s="566">
        <f>SUM(F123:F139)</f>
        <v>1574.0092885226488</v>
      </c>
      <c r="G122" s="566">
        <f>SUM(G123:G139)</f>
        <v>2152.5265232623533</v>
      </c>
      <c r="H122" s="566">
        <f>SUM(H123:H139)</f>
        <v>12446.364916674036</v>
      </c>
      <c r="I122" s="566">
        <f>SUM(I123:I139)</f>
        <v>595.05901416393147</v>
      </c>
      <c r="J122" s="566">
        <f>SUM(J123:J139)</f>
        <v>0</v>
      </c>
      <c r="K122" s="689"/>
      <c r="M122" s="566">
        <f>SUM(M123:M139)</f>
        <v>169.87844000000001</v>
      </c>
      <c r="N122" s="557">
        <f t="shared" si="890"/>
        <v>73.468186167547174</v>
      </c>
      <c r="O122" s="566">
        <f>SUM(O123:O139)</f>
        <v>38.534559250386167</v>
      </c>
      <c r="P122" s="566">
        <f>SUM(P123:P139)</f>
        <v>34.933626917161</v>
      </c>
      <c r="Q122" s="566">
        <f>SUM(Q123:Q139)</f>
        <v>89.265450188114642</v>
      </c>
      <c r="R122" s="566">
        <f>SUM(R123:R139)</f>
        <v>7.1448036443381842</v>
      </c>
      <c r="S122" s="566">
        <f>SUM(S123:S139)</f>
        <v>0</v>
      </c>
      <c r="U122" s="566">
        <f>SUM(U123:U139)</f>
        <v>231.29408000000001</v>
      </c>
      <c r="V122" s="557">
        <f t="shared" si="891"/>
        <v>68.249476552079869</v>
      </c>
      <c r="W122" s="566">
        <f>SUM(W123:W139)</f>
        <v>32.275089930240505</v>
      </c>
      <c r="X122" s="566">
        <f>SUM(X123:X139)</f>
        <v>35.974386621839372</v>
      </c>
      <c r="Y122" s="566">
        <f>SUM(Y123:Y139)</f>
        <v>149.5860689448466</v>
      </c>
      <c r="Z122" s="566">
        <f>SUM(Z123:Z139)</f>
        <v>13.45853450307351</v>
      </c>
      <c r="AA122" s="566">
        <f>SUM(AA123:AA139)</f>
        <v>0</v>
      </c>
      <c r="AC122" s="566">
        <f>SUM(AC123:AC139)</f>
        <v>825.75207999999998</v>
      </c>
      <c r="AD122" s="557">
        <f t="shared" si="892"/>
        <v>202.19745205036858</v>
      </c>
      <c r="AE122" s="566">
        <f>SUM(AE123:AE139)</f>
        <v>88.883661393593457</v>
      </c>
      <c r="AF122" s="566">
        <f>SUM(AF123:AF139)</f>
        <v>113.31379065677513</v>
      </c>
      <c r="AG122" s="566">
        <f>SUM(AG123:AG139)</f>
        <v>570.6383464057327</v>
      </c>
      <c r="AH122" s="566">
        <f>SUM(AH123:AH139)</f>
        <v>52.916281543898691</v>
      </c>
      <c r="AI122" s="566">
        <f>SUM(AI123:AI139)</f>
        <v>0</v>
      </c>
      <c r="AK122" s="566">
        <f>SUM(AK123:AK139)</f>
        <v>318.48613999999998</v>
      </c>
      <c r="AL122" s="557">
        <f t="shared" si="897"/>
        <v>92.443885929334201</v>
      </c>
      <c r="AM122" s="566">
        <f>SUM(AM123:AM139)</f>
        <v>43.467421533363819</v>
      </c>
      <c r="AN122" s="566">
        <f>SUM(AN123:AN139)</f>
        <v>48.976464395970382</v>
      </c>
      <c r="AO122" s="566">
        <f>SUM(AO123:AO139)</f>
        <v>207.33011708103237</v>
      </c>
      <c r="AP122" s="566">
        <f>SUM(AP123:AP139)</f>
        <v>18.712136989633443</v>
      </c>
      <c r="AQ122" s="566">
        <f>SUM(AQ123:AQ139)</f>
        <v>0</v>
      </c>
      <c r="AS122" s="566">
        <f>SUM(AS123:AS139)</f>
        <v>850.10718999999995</v>
      </c>
      <c r="AT122" s="557">
        <f t="shared" si="898"/>
        <v>229.26072820309315</v>
      </c>
      <c r="AU122" s="566">
        <f>SUM(AU123:AU139)</f>
        <v>106.34861949023373</v>
      </c>
      <c r="AV122" s="566">
        <f>SUM(AV123:AV139)</f>
        <v>122.91210871285941</v>
      </c>
      <c r="AW122" s="566">
        <f>SUM(AW123:AW139)</f>
        <v>571.63122961425665</v>
      </c>
      <c r="AX122" s="566">
        <f>SUM(AX123:AX139)</f>
        <v>49.215232182650155</v>
      </c>
      <c r="AY122" s="566">
        <f>SUM(AY123:AY139)</f>
        <v>0</v>
      </c>
      <c r="BA122" s="566">
        <f>SUM(BA123:BA139)</f>
        <v>0</v>
      </c>
      <c r="BB122" s="557" t="e">
        <f t="shared" si="899"/>
        <v>#DIV/0!</v>
      </c>
      <c r="BC122" s="566" t="e">
        <f>SUM(BC123:BC139)</f>
        <v>#DIV/0!</v>
      </c>
      <c r="BD122" s="566" t="e">
        <f>SUM(BD123:BD139)</f>
        <v>#DIV/0!</v>
      </c>
      <c r="BE122" s="566" t="e">
        <f>SUM(BE123:BE139)</f>
        <v>#DIV/0!</v>
      </c>
      <c r="BF122" s="566" t="e">
        <f>SUM(BF123:BF139)</f>
        <v>#DIV/0!</v>
      </c>
      <c r="BG122" s="566" t="e">
        <f>SUM(BG123:BG139)</f>
        <v>#DIV/0!</v>
      </c>
      <c r="BI122" s="566">
        <f>SUM(BI123:BI139)</f>
        <v>0</v>
      </c>
      <c r="BJ122" s="557" t="e">
        <f t="shared" si="904"/>
        <v>#DIV/0!</v>
      </c>
      <c r="BK122" s="566" t="e">
        <f>SUM(BK123:BK139)</f>
        <v>#DIV/0!</v>
      </c>
      <c r="BL122" s="566" t="e">
        <f>SUM(BL123:BL139)</f>
        <v>#DIV/0!</v>
      </c>
      <c r="BM122" s="566" t="e">
        <f>SUM(BM123:BM139)</f>
        <v>#DIV/0!</v>
      </c>
      <c r="BN122" s="566" t="e">
        <f>SUM(BN123:BN139)</f>
        <v>#DIV/0!</v>
      </c>
      <c r="BO122" s="566" t="e">
        <f>SUM(BO123:BO139)</f>
        <v>#DIV/0!</v>
      </c>
      <c r="BQ122" s="566">
        <f>SUM(BQ123:BQ139)</f>
        <v>0</v>
      </c>
      <c r="BR122" s="557" t="e">
        <f t="shared" si="909"/>
        <v>#DIV/0!</v>
      </c>
      <c r="BS122" s="566" t="e">
        <f>SUM(BS123:BS139)</f>
        <v>#DIV/0!</v>
      </c>
      <c r="BT122" s="566" t="e">
        <f>SUM(BT123:BT139)</f>
        <v>#DIV/0!</v>
      </c>
      <c r="BU122" s="566" t="e">
        <f>SUM(BU123:BU139)</f>
        <v>#DIV/0!</v>
      </c>
      <c r="BV122" s="566" t="e">
        <f>SUM(BV123:BV139)</f>
        <v>#DIV/0!</v>
      </c>
      <c r="BW122" s="566" t="e">
        <f>SUM(BW123:BW139)</f>
        <v>#DIV/0!</v>
      </c>
      <c r="BY122" s="566">
        <f>SUM(BY123:BY139)</f>
        <v>0</v>
      </c>
      <c r="BZ122" s="557" t="e">
        <f t="shared" si="914"/>
        <v>#DIV/0!</v>
      </c>
      <c r="CA122" s="566" t="e">
        <f>SUM(CA123:CA139)</f>
        <v>#DIV/0!</v>
      </c>
      <c r="CB122" s="566" t="e">
        <f>SUM(CB123:CB139)</f>
        <v>#DIV/0!</v>
      </c>
      <c r="CC122" s="566" t="e">
        <f>SUM(CC123:CC139)</f>
        <v>#DIV/0!</v>
      </c>
      <c r="CD122" s="566" t="e">
        <f>SUM(CD123:CD139)</f>
        <v>#DIV/0!</v>
      </c>
      <c r="CE122" s="566" t="e">
        <f>SUM(CE123:CE139)</f>
        <v>#DIV/0!</v>
      </c>
      <c r="CG122" s="566">
        <f>SUM(CG123:CG139)</f>
        <v>0</v>
      </c>
      <c r="CH122" s="557" t="e">
        <f t="shared" si="919"/>
        <v>#DIV/0!</v>
      </c>
      <c r="CI122" s="566" t="e">
        <f>SUM(CI123:CI139)</f>
        <v>#DIV/0!</v>
      </c>
      <c r="CJ122" s="566" t="e">
        <f>SUM(CJ123:CJ139)</f>
        <v>#DIV/0!</v>
      </c>
      <c r="CK122" s="566" t="e">
        <f>SUM(CK123:CK139)</f>
        <v>#DIV/0!</v>
      </c>
      <c r="CL122" s="566" t="e">
        <f>SUM(CL123:CL139)</f>
        <v>#DIV/0!</v>
      </c>
      <c r="CM122" s="566" t="e">
        <f>SUM(CM123:CM139)</f>
        <v>#DIV/0!</v>
      </c>
      <c r="CO122" s="566">
        <f>SUM(CO123:CO139)</f>
        <v>0</v>
      </c>
      <c r="CP122" s="557" t="e">
        <f t="shared" si="923"/>
        <v>#DIV/0!</v>
      </c>
      <c r="CQ122" s="566" t="e">
        <f>SUM(CQ123:CQ139)</f>
        <v>#DIV/0!</v>
      </c>
      <c r="CR122" s="566" t="e">
        <f>SUM(CR123:CR139)</f>
        <v>#DIV/0!</v>
      </c>
      <c r="CS122" s="566" t="e">
        <f>SUM(CS123:CS139)</f>
        <v>#DIV/0!</v>
      </c>
      <c r="CT122" s="566" t="e">
        <f>SUM(CT123:CT139)</f>
        <v>#DIV/0!</v>
      </c>
      <c r="CU122" s="566" t="e">
        <f>SUM(CU123:CU139)</f>
        <v>#DIV/0!</v>
      </c>
      <c r="CW122" s="566">
        <f>SUM(CW123:CW139)</f>
        <v>0</v>
      </c>
      <c r="CX122" s="557" t="e">
        <f t="shared" si="928"/>
        <v>#DIV/0!</v>
      </c>
      <c r="CY122" s="566" t="e">
        <f>SUM(CY123:CY139)</f>
        <v>#DIV/0!</v>
      </c>
      <c r="CZ122" s="566" t="e">
        <f>SUM(CZ123:CZ139)</f>
        <v>#DIV/0!</v>
      </c>
      <c r="DA122" s="566" t="e">
        <f>SUM(DA123:DA139)</f>
        <v>#DIV/0!</v>
      </c>
      <c r="DB122" s="566" t="e">
        <f>SUM(DB123:DB139)</f>
        <v>#DIV/0!</v>
      </c>
      <c r="DC122" s="566" t="e">
        <f>SUM(DC123:DC139)</f>
        <v>#DIV/0!</v>
      </c>
    </row>
    <row r="123" spans="1:110" s="673" customFormat="1" ht="19.5" customHeight="1" outlineLevel="1">
      <c r="A123" s="674"/>
      <c r="B123" s="678" t="s">
        <v>297</v>
      </c>
      <c r="C123" s="671" t="s">
        <v>9</v>
      </c>
      <c r="D123" s="563">
        <v>1089.1200000000001</v>
      </c>
      <c r="E123" s="563">
        <f t="shared" si="889"/>
        <v>242.82197201562607</v>
      </c>
      <c r="F123" s="563">
        <v>102.07012568727171</v>
      </c>
      <c r="G123" s="563">
        <v>140.75184632835436</v>
      </c>
      <c r="H123" s="563">
        <f t="shared" ref="H123:H137" si="977">D123-F123-G123-I123</f>
        <v>804.3314198119831</v>
      </c>
      <c r="I123" s="563">
        <v>41.966608172391005</v>
      </c>
      <c r="J123" s="563"/>
      <c r="K123" s="679" t="s">
        <v>184</v>
      </c>
      <c r="M123" s="680">
        <f>2316/1000</f>
        <v>2.3159999999999998</v>
      </c>
      <c r="N123" s="563">
        <f t="shared" si="890"/>
        <v>0.51635787350171691</v>
      </c>
      <c r="O123" s="681">
        <f>$M$123*$O$3</f>
        <v>0.21705084021202559</v>
      </c>
      <c r="P123" s="681">
        <f>$M$123*$P$3</f>
        <v>0.29930703328969138</v>
      </c>
      <c r="Q123" s="681">
        <f>$M$123*$Q$3</f>
        <v>1.6452694542782462</v>
      </c>
      <c r="R123" s="681">
        <f>$M$123*$R$3</f>
        <v>0.15437267222003667</v>
      </c>
      <c r="S123" s="681">
        <f t="shared" ref="S123:S126" si="978">$M$16*$S$3</f>
        <v>0</v>
      </c>
      <c r="U123" s="680">
        <f>8538/1000</f>
        <v>8.5380000000000003</v>
      </c>
      <c r="V123" s="563">
        <f t="shared" si="891"/>
        <v>1.9035680155257597</v>
      </c>
      <c r="W123" s="681">
        <f t="shared" ref="W123:W126" si="979">U123*$W$3</f>
        <v>0.80016410782827052</v>
      </c>
      <c r="X123" s="681">
        <f t="shared" ref="X123:X126" si="980">U123*$X$3</f>
        <v>1.1034039076974893</v>
      </c>
      <c r="Y123" s="681">
        <f t="shared" ref="Y123:Y126" si="981">U123*$Y$3</f>
        <v>6.0653327291138455</v>
      </c>
      <c r="Z123" s="681">
        <f t="shared" ref="Z123:Z126" si="982">U123*$Z$3</f>
        <v>0.56909925536039441</v>
      </c>
      <c r="AA123" s="681">
        <f>U123*AA3</f>
        <v>0</v>
      </c>
      <c r="AC123" s="680"/>
      <c r="AD123" s="563">
        <f t="shared" si="892"/>
        <v>0</v>
      </c>
      <c r="AE123" s="681">
        <f t="shared" ref="AE123:AE126" si="983">AC123*$AE$3</f>
        <v>0</v>
      </c>
      <c r="AF123" s="681">
        <f t="shared" ref="AF123:AF126" si="984">AC123*$AF$3</f>
        <v>0</v>
      </c>
      <c r="AG123" s="681">
        <f t="shared" ref="AG123:AG126" si="985">AC123*$AG$3</f>
        <v>0</v>
      </c>
      <c r="AH123" s="681">
        <f t="shared" ref="AH123:AH126" si="986">AC123*$AH$3</f>
        <v>0</v>
      </c>
      <c r="AI123" s="681">
        <f>AC123*AI3</f>
        <v>0</v>
      </c>
      <c r="AK123" s="680"/>
      <c r="AL123" s="563">
        <f t="shared" si="897"/>
        <v>0</v>
      </c>
      <c r="AM123" s="681">
        <f t="shared" ref="AM123:AM126" si="987">AK123*$AM$3</f>
        <v>0</v>
      </c>
      <c r="AN123" s="681">
        <f t="shared" ref="AN123:AN126" si="988">AK123*$AN$3</f>
        <v>0</v>
      </c>
      <c r="AO123" s="681">
        <f t="shared" ref="AO123:AO126" si="989">AK123*$AO$3</f>
        <v>0</v>
      </c>
      <c r="AP123" s="681">
        <f t="shared" ref="AP123:AP126" si="990">AK123*$AP$3</f>
        <v>0</v>
      </c>
      <c r="AQ123" s="681">
        <f>AK123*AQ3</f>
        <v>0</v>
      </c>
      <c r="AS123" s="680">
        <f>68990/1000</f>
        <v>68.989999999999995</v>
      </c>
      <c r="AT123" s="563">
        <f t="shared" si="898"/>
        <v>15.381489504699246</v>
      </c>
      <c r="AU123" s="681">
        <f t="shared" ref="AU123:AU126" si="991">AS123*$AU$3</f>
        <v>6.4656033964713489</v>
      </c>
      <c r="AV123" s="681">
        <f t="shared" ref="AV123:AV126" si="992">AS123*$AV$3</f>
        <v>8.9158861082278964</v>
      </c>
      <c r="AW123" s="681">
        <f t="shared" ref="AW123:AW126" si="993">AS123*$AW$3</f>
        <v>49.009991213582126</v>
      </c>
      <c r="AX123" s="681">
        <f t="shared" ref="AX123:AX126" si="994">AS123*$AX$3</f>
        <v>4.5985192817186231</v>
      </c>
      <c r="AY123" s="681">
        <f>AS123*AY3</f>
        <v>0</v>
      </c>
      <c r="BA123" s="680"/>
      <c r="BB123" s="563">
        <f t="shared" si="899"/>
        <v>0</v>
      </c>
      <c r="BC123" s="681">
        <f t="shared" ref="BC123:BC126" si="995">BA123*$BC$3</f>
        <v>0</v>
      </c>
      <c r="BD123" s="681">
        <f t="shared" ref="BD123:BD126" si="996">BA123*$BD$3</f>
        <v>0</v>
      </c>
      <c r="BE123" s="681">
        <f t="shared" ref="BE123:BE126" si="997">BA123*$BE$3</f>
        <v>0</v>
      </c>
      <c r="BF123" s="681">
        <f t="shared" ref="BF123:BF126" si="998">BA123*$BF$3</f>
        <v>0</v>
      </c>
      <c r="BG123" s="681">
        <f>BA123*BG3</f>
        <v>0</v>
      </c>
      <c r="BI123" s="680"/>
      <c r="BJ123" s="563">
        <f t="shared" si="904"/>
        <v>0</v>
      </c>
      <c r="BK123" s="681">
        <f t="shared" ref="BK123:BK126" si="999">BI123*$BK$3</f>
        <v>0</v>
      </c>
      <c r="BL123" s="681">
        <f t="shared" ref="BL123:BL126" si="1000">BI123*$BL$3</f>
        <v>0</v>
      </c>
      <c r="BM123" s="681">
        <f t="shared" ref="BM123:BM126" si="1001">BI123*$BM$3</f>
        <v>0</v>
      </c>
      <c r="BN123" s="681">
        <f t="shared" ref="BN123:BN126" si="1002">BI123*$BN$3</f>
        <v>0</v>
      </c>
      <c r="BO123" s="681">
        <f>BI123*BO3</f>
        <v>0</v>
      </c>
      <c r="BQ123" s="680"/>
      <c r="BR123" s="563">
        <f t="shared" si="909"/>
        <v>0</v>
      </c>
      <c r="BS123" s="681">
        <f t="shared" ref="BS123:BS126" si="1003">BQ123*$BS$3</f>
        <v>0</v>
      </c>
      <c r="BT123" s="681">
        <f t="shared" ref="BT123:BT126" si="1004">BQ123*$BT$3</f>
        <v>0</v>
      </c>
      <c r="BU123" s="681">
        <f t="shared" ref="BU123:BU126" si="1005">BQ123*$BU$3</f>
        <v>0</v>
      </c>
      <c r="BV123" s="681">
        <f t="shared" ref="BV123:BV126" si="1006">BQ123*$BV$3</f>
        <v>0</v>
      </c>
      <c r="BW123" s="681">
        <f>BQ123*BW3</f>
        <v>0</v>
      </c>
      <c r="BY123" s="680"/>
      <c r="BZ123" s="563">
        <f t="shared" si="914"/>
        <v>0</v>
      </c>
      <c r="CA123" s="681">
        <f t="shared" ref="CA123:CA126" si="1007">BY123*$CA$3</f>
        <v>0</v>
      </c>
      <c r="CB123" s="681">
        <f t="shared" ref="CB123:CB126" si="1008">BY123*$CB$3</f>
        <v>0</v>
      </c>
      <c r="CC123" s="681">
        <f t="shared" ref="CC123:CC126" si="1009">BY123*$CC$3</f>
        <v>0</v>
      </c>
      <c r="CD123" s="681">
        <f t="shared" ref="CD123:CD126" si="1010">BY123*$CD$3</f>
        <v>0</v>
      </c>
      <c r="CE123" s="681">
        <f>BY123*CE3</f>
        <v>0</v>
      </c>
      <c r="CG123" s="680"/>
      <c r="CH123" s="560">
        <f t="shared" si="919"/>
        <v>0</v>
      </c>
      <c r="CI123" s="681">
        <f t="shared" ref="CI123:CI126" si="1011">CG123*$CI$3</f>
        <v>0</v>
      </c>
      <c r="CJ123" s="681">
        <f t="shared" ref="CJ123:CJ126" si="1012">CG123*$CJ$3</f>
        <v>0</v>
      </c>
      <c r="CK123" s="681">
        <f t="shared" ref="CK123:CK126" si="1013">CG123*$CK$3</f>
        <v>0</v>
      </c>
      <c r="CL123" s="681">
        <f t="shared" ref="CL123:CL126" si="1014">CG123*$CL$3</f>
        <v>0</v>
      </c>
      <c r="CM123" s="681">
        <f>CG123*CM3</f>
        <v>0</v>
      </c>
      <c r="CN123" s="708"/>
      <c r="CO123" s="680"/>
      <c r="CP123" s="560">
        <f t="shared" si="923"/>
        <v>0</v>
      </c>
      <c r="CQ123" s="681">
        <f t="shared" ref="CQ123:CQ126" si="1015">CO123*$CQ$3</f>
        <v>0</v>
      </c>
      <c r="CR123" s="681">
        <f t="shared" ref="CR123:CR126" si="1016">CO123*$CR$3</f>
        <v>0</v>
      </c>
      <c r="CS123" s="681">
        <f t="shared" ref="CS123:CS126" si="1017">CO123*$CS$3</f>
        <v>0</v>
      </c>
      <c r="CT123" s="681">
        <f t="shared" ref="CT123:CT126" si="1018">CO123*$CT$3</f>
        <v>0</v>
      </c>
      <c r="CU123" s="681">
        <f>CO123*CU3</f>
        <v>0</v>
      </c>
      <c r="CV123" s="708"/>
      <c r="CW123" s="680"/>
      <c r="CX123" s="560">
        <f t="shared" si="928"/>
        <v>0</v>
      </c>
      <c r="CY123" s="681">
        <f t="shared" ref="CY123:CY126" si="1019">CW123*$CY$3</f>
        <v>0</v>
      </c>
      <c r="CZ123" s="681">
        <f t="shared" ref="CZ123:CZ126" si="1020">CW123*$CZ$3</f>
        <v>0</v>
      </c>
      <c r="DA123" s="681">
        <f t="shared" ref="DA123:DA126" si="1021">CW123*$DA$3</f>
        <v>0</v>
      </c>
      <c r="DB123" s="681">
        <f t="shared" ref="DB123:DB126" si="1022">CW123*$DB$3</f>
        <v>0</v>
      </c>
      <c r="DC123" s="681">
        <f>CW123*DC3</f>
        <v>0</v>
      </c>
    </row>
    <row r="124" spans="1:110" s="673" customFormat="1" ht="22.5" customHeight="1" outlineLevel="1">
      <c r="A124" s="674"/>
      <c r="B124" s="678" t="s">
        <v>402</v>
      </c>
      <c r="C124" s="671" t="s">
        <v>9</v>
      </c>
      <c r="D124" s="563">
        <v>158</v>
      </c>
      <c r="E124" s="563">
        <f t="shared" si="889"/>
        <v>35.226487052362387</v>
      </c>
      <c r="F124" s="563">
        <v>14.807440739853213</v>
      </c>
      <c r="G124" s="563">
        <v>20.419046312509174</v>
      </c>
      <c r="H124" s="563">
        <f t="shared" si="977"/>
        <v>116.68536463410211</v>
      </c>
      <c r="I124" s="563">
        <v>6.0881483135354957</v>
      </c>
      <c r="J124" s="563"/>
      <c r="K124" s="679" t="s">
        <v>184</v>
      </c>
      <c r="M124" s="680"/>
      <c r="N124" s="563">
        <f t="shared" si="890"/>
        <v>0</v>
      </c>
      <c r="O124" s="681">
        <f>$M$124*$O$3</f>
        <v>0</v>
      </c>
      <c r="P124" s="681">
        <f>$M$124*$P$3</f>
        <v>0</v>
      </c>
      <c r="Q124" s="681">
        <f>$M$124*$Q$3</f>
        <v>0</v>
      </c>
      <c r="R124" s="681">
        <f>$M$124*$R$3</f>
        <v>0</v>
      </c>
      <c r="S124" s="681">
        <f t="shared" si="978"/>
        <v>0</v>
      </c>
      <c r="U124" s="680"/>
      <c r="V124" s="563">
        <f t="shared" si="891"/>
        <v>0</v>
      </c>
      <c r="W124" s="681">
        <f>U124*$W$3</f>
        <v>0</v>
      </c>
      <c r="X124" s="681">
        <f t="shared" si="980"/>
        <v>0</v>
      </c>
      <c r="Y124" s="681">
        <f t="shared" si="981"/>
        <v>0</v>
      </c>
      <c r="Z124" s="681">
        <f t="shared" si="982"/>
        <v>0</v>
      </c>
      <c r="AA124" s="681">
        <f>U124*AA3</f>
        <v>0</v>
      </c>
      <c r="AC124" s="680"/>
      <c r="AD124" s="563">
        <f t="shared" si="892"/>
        <v>0</v>
      </c>
      <c r="AE124" s="681">
        <f t="shared" si="983"/>
        <v>0</v>
      </c>
      <c r="AF124" s="681">
        <f t="shared" si="984"/>
        <v>0</v>
      </c>
      <c r="AG124" s="681">
        <f t="shared" si="985"/>
        <v>0</v>
      </c>
      <c r="AH124" s="681">
        <f t="shared" si="986"/>
        <v>0</v>
      </c>
      <c r="AI124" s="681">
        <f>AC124*AI3</f>
        <v>0</v>
      </c>
      <c r="AK124" s="680"/>
      <c r="AL124" s="563">
        <f t="shared" si="897"/>
        <v>0</v>
      </c>
      <c r="AM124" s="681">
        <f t="shared" si="987"/>
        <v>0</v>
      </c>
      <c r="AN124" s="681">
        <f t="shared" si="988"/>
        <v>0</v>
      </c>
      <c r="AO124" s="681">
        <f t="shared" si="989"/>
        <v>0</v>
      </c>
      <c r="AP124" s="681">
        <f t="shared" si="990"/>
        <v>0</v>
      </c>
      <c r="AQ124" s="681">
        <f>AK124*AQ3</f>
        <v>0</v>
      </c>
      <c r="AS124" s="680">
        <f>51786/1000</f>
        <v>51.786000000000001</v>
      </c>
      <c r="AT124" s="563">
        <f t="shared" si="898"/>
        <v>11.54581556008632</v>
      </c>
      <c r="AU124" s="681">
        <f t="shared" si="991"/>
        <v>4.8532792794559398</v>
      </c>
      <c r="AV124" s="681">
        <f t="shared" si="992"/>
        <v>6.6925362806303799</v>
      </c>
      <c r="AW124" s="681">
        <f t="shared" si="993"/>
        <v>36.788395491905554</v>
      </c>
      <c r="AX124" s="681">
        <f t="shared" si="994"/>
        <v>3.4517889480081263</v>
      </c>
      <c r="AY124" s="681">
        <f>AS124*AY3</f>
        <v>0</v>
      </c>
      <c r="BA124" s="680"/>
      <c r="BB124" s="563">
        <f t="shared" si="899"/>
        <v>0</v>
      </c>
      <c r="BC124" s="681">
        <f t="shared" si="995"/>
        <v>0</v>
      </c>
      <c r="BD124" s="681">
        <f t="shared" si="996"/>
        <v>0</v>
      </c>
      <c r="BE124" s="681">
        <f t="shared" si="997"/>
        <v>0</v>
      </c>
      <c r="BF124" s="681">
        <f t="shared" si="998"/>
        <v>0</v>
      </c>
      <c r="BG124" s="681">
        <f>BA124*BG3</f>
        <v>0</v>
      </c>
      <c r="BI124" s="680"/>
      <c r="BJ124" s="563">
        <f t="shared" si="904"/>
        <v>0</v>
      </c>
      <c r="BK124" s="681">
        <f t="shared" si="999"/>
        <v>0</v>
      </c>
      <c r="BL124" s="681">
        <f t="shared" si="1000"/>
        <v>0</v>
      </c>
      <c r="BM124" s="681">
        <f t="shared" si="1001"/>
        <v>0</v>
      </c>
      <c r="BN124" s="681">
        <f t="shared" si="1002"/>
        <v>0</v>
      </c>
      <c r="BO124" s="681">
        <f>BI124*BO3</f>
        <v>0</v>
      </c>
      <c r="BQ124" s="680"/>
      <c r="BR124" s="563">
        <f t="shared" si="909"/>
        <v>0</v>
      </c>
      <c r="BS124" s="681">
        <f t="shared" si="1003"/>
        <v>0</v>
      </c>
      <c r="BT124" s="681">
        <f t="shared" si="1004"/>
        <v>0</v>
      </c>
      <c r="BU124" s="681">
        <f t="shared" si="1005"/>
        <v>0</v>
      </c>
      <c r="BV124" s="681">
        <f t="shared" si="1006"/>
        <v>0</v>
      </c>
      <c r="BW124" s="681">
        <f>BQ124*BW3</f>
        <v>0</v>
      </c>
      <c r="BY124" s="680"/>
      <c r="BZ124" s="563">
        <f t="shared" si="914"/>
        <v>0</v>
      </c>
      <c r="CA124" s="681">
        <f t="shared" si="1007"/>
        <v>0</v>
      </c>
      <c r="CB124" s="681">
        <f t="shared" si="1008"/>
        <v>0</v>
      </c>
      <c r="CC124" s="681">
        <f t="shared" si="1009"/>
        <v>0</v>
      </c>
      <c r="CD124" s="681">
        <f t="shared" si="1010"/>
        <v>0</v>
      </c>
      <c r="CE124" s="681">
        <f>BY124*CE3</f>
        <v>0</v>
      </c>
      <c r="CG124" s="680"/>
      <c r="CH124" s="560">
        <f t="shared" si="919"/>
        <v>0</v>
      </c>
      <c r="CI124" s="681">
        <f t="shared" si="1011"/>
        <v>0</v>
      </c>
      <c r="CJ124" s="681">
        <f t="shared" si="1012"/>
        <v>0</v>
      </c>
      <c r="CK124" s="681">
        <f t="shared" si="1013"/>
        <v>0</v>
      </c>
      <c r="CL124" s="681">
        <f t="shared" si="1014"/>
        <v>0</v>
      </c>
      <c r="CM124" s="681">
        <f>CG124*CM3</f>
        <v>0</v>
      </c>
      <c r="CN124" s="708"/>
      <c r="CO124" s="680"/>
      <c r="CP124" s="560">
        <f t="shared" si="923"/>
        <v>0</v>
      </c>
      <c r="CQ124" s="681">
        <f t="shared" si="1015"/>
        <v>0</v>
      </c>
      <c r="CR124" s="681">
        <f t="shared" si="1016"/>
        <v>0</v>
      </c>
      <c r="CS124" s="681">
        <f t="shared" si="1017"/>
        <v>0</v>
      </c>
      <c r="CT124" s="681">
        <f t="shared" si="1018"/>
        <v>0</v>
      </c>
      <c r="CU124" s="681">
        <f>CO124*CU3</f>
        <v>0</v>
      </c>
      <c r="CV124" s="708"/>
      <c r="CW124" s="680"/>
      <c r="CX124" s="560">
        <f t="shared" si="928"/>
        <v>0</v>
      </c>
      <c r="CY124" s="681">
        <f t="shared" si="1019"/>
        <v>0</v>
      </c>
      <c r="CZ124" s="681">
        <f t="shared" si="1020"/>
        <v>0</v>
      </c>
      <c r="DA124" s="681">
        <f t="shared" si="1021"/>
        <v>0</v>
      </c>
      <c r="DB124" s="681">
        <f t="shared" si="1022"/>
        <v>0</v>
      </c>
      <c r="DC124" s="681">
        <f>CW124*DC3</f>
        <v>0</v>
      </c>
    </row>
    <row r="125" spans="1:110" s="673" customFormat="1" ht="19.5" customHeight="1" outlineLevel="1">
      <c r="A125" s="674"/>
      <c r="B125" s="678" t="s">
        <v>162</v>
      </c>
      <c r="C125" s="671" t="s">
        <v>9</v>
      </c>
      <c r="D125" s="563">
        <v>463.51599999999996</v>
      </c>
      <c r="E125" s="563">
        <f t="shared" si="889"/>
        <v>103.34202767444813</v>
      </c>
      <c r="F125" s="563">
        <v>43.439782923884827</v>
      </c>
      <c r="G125" s="563">
        <v>59.902244750563305</v>
      </c>
      <c r="H125" s="563">
        <f t="shared" si="977"/>
        <v>342.31350299835742</v>
      </c>
      <c r="I125" s="563">
        <v>17.860469327194419</v>
      </c>
      <c r="J125" s="563"/>
      <c r="K125" s="679" t="s">
        <v>184</v>
      </c>
      <c r="M125" s="680"/>
      <c r="N125" s="563">
        <f t="shared" si="890"/>
        <v>0</v>
      </c>
      <c r="O125" s="681">
        <f>$M$125*$O$3</f>
        <v>0</v>
      </c>
      <c r="P125" s="681">
        <f>$M$125*$P$3</f>
        <v>0</v>
      </c>
      <c r="Q125" s="681">
        <f>$M$125*$Q$3</f>
        <v>0</v>
      </c>
      <c r="R125" s="681">
        <f>$M$125*$R$3</f>
        <v>0</v>
      </c>
      <c r="S125" s="681">
        <f>$M$16*$S$3</f>
        <v>0</v>
      </c>
      <c r="U125" s="680"/>
      <c r="V125" s="563">
        <f t="shared" si="891"/>
        <v>0</v>
      </c>
      <c r="W125" s="681">
        <f t="shared" si="979"/>
        <v>0</v>
      </c>
      <c r="X125" s="681">
        <f t="shared" si="980"/>
        <v>0</v>
      </c>
      <c r="Y125" s="681">
        <f t="shared" si="981"/>
        <v>0</v>
      </c>
      <c r="Z125" s="681">
        <f t="shared" si="982"/>
        <v>0</v>
      </c>
      <c r="AA125" s="681">
        <f>U125*AA3</f>
        <v>0</v>
      </c>
      <c r="AC125" s="680"/>
      <c r="AD125" s="563">
        <f t="shared" si="892"/>
        <v>0</v>
      </c>
      <c r="AE125" s="681">
        <f t="shared" si="983"/>
        <v>0</v>
      </c>
      <c r="AF125" s="681">
        <f t="shared" si="984"/>
        <v>0</v>
      </c>
      <c r="AG125" s="681">
        <f t="shared" si="985"/>
        <v>0</v>
      </c>
      <c r="AH125" s="681">
        <f t="shared" si="986"/>
        <v>0</v>
      </c>
      <c r="AI125" s="681">
        <f>AC125*AI3</f>
        <v>0</v>
      </c>
      <c r="AK125" s="680"/>
      <c r="AL125" s="563">
        <f t="shared" si="897"/>
        <v>0</v>
      </c>
      <c r="AM125" s="681">
        <f t="shared" si="987"/>
        <v>0</v>
      </c>
      <c r="AN125" s="681">
        <f t="shared" si="988"/>
        <v>0</v>
      </c>
      <c r="AO125" s="681">
        <f t="shared" si="989"/>
        <v>0</v>
      </c>
      <c r="AP125" s="681">
        <f t="shared" si="990"/>
        <v>0</v>
      </c>
      <c r="AQ125" s="681">
        <f>AK125*AQ3</f>
        <v>0</v>
      </c>
      <c r="AS125" s="680">
        <f>207916.6/1000</f>
        <v>207.91660000000002</v>
      </c>
      <c r="AT125" s="563">
        <f t="shared" si="898"/>
        <v>46.35551530298234</v>
      </c>
      <c r="AU125" s="681">
        <f t="shared" si="991"/>
        <v>19.485523628682056</v>
      </c>
      <c r="AV125" s="681">
        <f t="shared" si="992"/>
        <v>26.869991674300284</v>
      </c>
      <c r="AW125" s="681">
        <f t="shared" si="993"/>
        <v>147.70243135465822</v>
      </c>
      <c r="AX125" s="681">
        <f t="shared" si="994"/>
        <v>13.85865334235945</v>
      </c>
      <c r="AY125" s="681">
        <f>AS125*AY3</f>
        <v>0</v>
      </c>
      <c r="BA125" s="680"/>
      <c r="BB125" s="563">
        <f t="shared" si="899"/>
        <v>0</v>
      </c>
      <c r="BC125" s="681">
        <f t="shared" si="995"/>
        <v>0</v>
      </c>
      <c r="BD125" s="681">
        <f t="shared" si="996"/>
        <v>0</v>
      </c>
      <c r="BE125" s="681">
        <f t="shared" si="997"/>
        <v>0</v>
      </c>
      <c r="BF125" s="681">
        <f t="shared" si="998"/>
        <v>0</v>
      </c>
      <c r="BG125" s="681">
        <f>BA125*BG3</f>
        <v>0</v>
      </c>
      <c r="BI125" s="680"/>
      <c r="BJ125" s="563">
        <f t="shared" si="904"/>
        <v>0</v>
      </c>
      <c r="BK125" s="681">
        <f t="shared" si="999"/>
        <v>0</v>
      </c>
      <c r="BL125" s="681">
        <f t="shared" si="1000"/>
        <v>0</v>
      </c>
      <c r="BM125" s="681">
        <f t="shared" si="1001"/>
        <v>0</v>
      </c>
      <c r="BN125" s="681">
        <f t="shared" si="1002"/>
        <v>0</v>
      </c>
      <c r="BO125" s="681">
        <f>BI125*BO3</f>
        <v>0</v>
      </c>
      <c r="BQ125" s="680"/>
      <c r="BR125" s="563">
        <f t="shared" si="909"/>
        <v>0</v>
      </c>
      <c r="BS125" s="681">
        <f t="shared" si="1003"/>
        <v>0</v>
      </c>
      <c r="BT125" s="681">
        <f t="shared" si="1004"/>
        <v>0</v>
      </c>
      <c r="BU125" s="681">
        <f t="shared" si="1005"/>
        <v>0</v>
      </c>
      <c r="BV125" s="681">
        <f t="shared" si="1006"/>
        <v>0</v>
      </c>
      <c r="BW125" s="681">
        <f>BQ125*BW3</f>
        <v>0</v>
      </c>
      <c r="BY125" s="680"/>
      <c r="BZ125" s="563">
        <f t="shared" si="914"/>
        <v>0</v>
      </c>
      <c r="CA125" s="681">
        <f t="shared" si="1007"/>
        <v>0</v>
      </c>
      <c r="CB125" s="681">
        <f t="shared" si="1008"/>
        <v>0</v>
      </c>
      <c r="CC125" s="681">
        <f t="shared" si="1009"/>
        <v>0</v>
      </c>
      <c r="CD125" s="681">
        <f t="shared" si="1010"/>
        <v>0</v>
      </c>
      <c r="CE125" s="681">
        <f>BY125*CE3</f>
        <v>0</v>
      </c>
      <c r="CG125" s="680"/>
      <c r="CH125" s="560">
        <f t="shared" si="919"/>
        <v>0</v>
      </c>
      <c r="CI125" s="681">
        <f t="shared" si="1011"/>
        <v>0</v>
      </c>
      <c r="CJ125" s="681">
        <f t="shared" si="1012"/>
        <v>0</v>
      </c>
      <c r="CK125" s="681">
        <f t="shared" si="1013"/>
        <v>0</v>
      </c>
      <c r="CL125" s="681">
        <f t="shared" si="1014"/>
        <v>0</v>
      </c>
      <c r="CM125" s="681">
        <f>CG125*CM3</f>
        <v>0</v>
      </c>
      <c r="CN125" s="708"/>
      <c r="CO125" s="680"/>
      <c r="CP125" s="560">
        <f t="shared" si="923"/>
        <v>0</v>
      </c>
      <c r="CQ125" s="681">
        <f t="shared" si="1015"/>
        <v>0</v>
      </c>
      <c r="CR125" s="681">
        <f t="shared" si="1016"/>
        <v>0</v>
      </c>
      <c r="CS125" s="681">
        <f t="shared" si="1017"/>
        <v>0</v>
      </c>
      <c r="CT125" s="681">
        <f t="shared" si="1018"/>
        <v>0</v>
      </c>
      <c r="CU125" s="681">
        <f>CO125*CU3</f>
        <v>0</v>
      </c>
      <c r="CV125" s="708"/>
      <c r="CW125" s="680"/>
      <c r="CX125" s="560">
        <f t="shared" si="928"/>
        <v>0</v>
      </c>
      <c r="CY125" s="681">
        <f t="shared" si="1019"/>
        <v>0</v>
      </c>
      <c r="CZ125" s="681">
        <f t="shared" si="1020"/>
        <v>0</v>
      </c>
      <c r="DA125" s="681">
        <f t="shared" si="1021"/>
        <v>0</v>
      </c>
      <c r="DB125" s="681">
        <f t="shared" si="1022"/>
        <v>0</v>
      </c>
      <c r="DC125" s="681">
        <f>CW125*DC3</f>
        <v>0</v>
      </c>
    </row>
    <row r="126" spans="1:110" s="673" customFormat="1" ht="21" customHeight="1" outlineLevel="1">
      <c r="A126" s="674"/>
      <c r="B126" s="678" t="s">
        <v>403</v>
      </c>
      <c r="C126" s="671" t="s">
        <v>9</v>
      </c>
      <c r="D126" s="563">
        <v>2749.6089285714284</v>
      </c>
      <c r="E126" s="563">
        <f t="shared" si="889"/>
        <v>613.0320463378572</v>
      </c>
      <c r="F126" s="563">
        <v>257.68779283286528</v>
      </c>
      <c r="G126" s="563">
        <v>355.34425350499191</v>
      </c>
      <c r="H126" s="563">
        <f t="shared" si="977"/>
        <v>2030.6273445034176</v>
      </c>
      <c r="I126" s="563">
        <v>105.94953773015366</v>
      </c>
      <c r="J126" s="563"/>
      <c r="K126" s="679" t="s">
        <v>184</v>
      </c>
      <c r="M126" s="680">
        <f>32096.53/1000</f>
        <v>32.096530000000001</v>
      </c>
      <c r="N126" s="563">
        <f t="shared" si="890"/>
        <v>7.1559999903212717</v>
      </c>
      <c r="O126" s="681">
        <f>$M$126*$O$3</f>
        <v>3.008021936265322</v>
      </c>
      <c r="P126" s="681">
        <f>$M$126*$P$3</f>
        <v>4.1479780540559501</v>
      </c>
      <c r="Q126" s="681">
        <f>$M$126*$Q$3</f>
        <v>22.801140067929776</v>
      </c>
      <c r="R126" s="681">
        <f>$M$126*$R$3</f>
        <v>2.1393899417489526</v>
      </c>
      <c r="S126" s="681">
        <f t="shared" si="978"/>
        <v>0</v>
      </c>
      <c r="U126" s="680">
        <f>29774.08/1000</f>
        <v>29.774080000000001</v>
      </c>
      <c r="V126" s="563">
        <f t="shared" si="891"/>
        <v>6.6382040735189989</v>
      </c>
      <c r="W126" s="681">
        <f t="shared" si="979"/>
        <v>2.7903666150863846</v>
      </c>
      <c r="X126" s="681">
        <f t="shared" si="980"/>
        <v>3.8478374584326147</v>
      </c>
      <c r="Y126" s="681">
        <f t="shared" si="981"/>
        <v>21.151288580844927</v>
      </c>
      <c r="Z126" s="681">
        <f t="shared" si="982"/>
        <v>1.9845873456360752</v>
      </c>
      <c r="AA126" s="681">
        <f>U126*AA3</f>
        <v>0</v>
      </c>
      <c r="AC126" s="680">
        <f>65896/1000</f>
        <v>65.896000000000001</v>
      </c>
      <c r="AD126" s="563">
        <f t="shared" si="892"/>
        <v>14.691674625332102</v>
      </c>
      <c r="AE126" s="681">
        <f t="shared" si="983"/>
        <v>6.1756399683124519</v>
      </c>
      <c r="AF126" s="681">
        <f t="shared" si="984"/>
        <v>8.5160346570196488</v>
      </c>
      <c r="AG126" s="681">
        <f t="shared" si="985"/>
        <v>46.812036251778636</v>
      </c>
      <c r="AH126" s="681">
        <f t="shared" si="986"/>
        <v>4.3922891228892649</v>
      </c>
      <c r="AI126" s="681">
        <f>AC126*AI3</f>
        <v>0</v>
      </c>
      <c r="AK126" s="736">
        <f>17780.14/1000</f>
        <v>17.780139999999999</v>
      </c>
      <c r="AL126" s="737">
        <f t="shared" si="897"/>
        <v>3.9641257689822189</v>
      </c>
      <c r="AM126" s="738">
        <f t="shared" si="987"/>
        <v>1.6663187936474286</v>
      </c>
      <c r="AN126" s="738">
        <f t="shared" si="988"/>
        <v>2.2978069753347903</v>
      </c>
      <c r="AO126" s="738">
        <f t="shared" si="989"/>
        <v>12.6308813621722</v>
      </c>
      <c r="AP126" s="738">
        <f t="shared" si="990"/>
        <v>1.18513286884558</v>
      </c>
      <c r="AQ126" s="716">
        <f>AK126*AQ3</f>
        <v>0</v>
      </c>
      <c r="AS126" s="680">
        <f>28000.67/1000</f>
        <v>28.00067</v>
      </c>
      <c r="AT126" s="563">
        <f t="shared" si="898"/>
        <v>6.242817969699189</v>
      </c>
      <c r="AU126" s="681">
        <f t="shared" si="991"/>
        <v>2.6241662132986434</v>
      </c>
      <c r="AV126" s="681">
        <f t="shared" si="992"/>
        <v>3.6186517564005456</v>
      </c>
      <c r="AW126" s="681">
        <f t="shared" si="993"/>
        <v>19.891471092541131</v>
      </c>
      <c r="AX126" s="681">
        <f t="shared" si="994"/>
        <v>1.8663809377596783</v>
      </c>
      <c r="AY126" s="681">
        <f>AS126*AY3</f>
        <v>0</v>
      </c>
      <c r="BA126" s="680"/>
      <c r="BB126" s="563">
        <f t="shared" si="899"/>
        <v>0</v>
      </c>
      <c r="BC126" s="681">
        <f t="shared" si="995"/>
        <v>0</v>
      </c>
      <c r="BD126" s="681">
        <f t="shared" si="996"/>
        <v>0</v>
      </c>
      <c r="BE126" s="681">
        <f t="shared" si="997"/>
        <v>0</v>
      </c>
      <c r="BF126" s="681">
        <f t="shared" si="998"/>
        <v>0</v>
      </c>
      <c r="BG126" s="681">
        <f>BA126*BG3</f>
        <v>0</v>
      </c>
      <c r="BI126" s="680"/>
      <c r="BJ126" s="563">
        <f t="shared" si="904"/>
        <v>0</v>
      </c>
      <c r="BK126" s="681">
        <f t="shared" si="999"/>
        <v>0</v>
      </c>
      <c r="BL126" s="681">
        <f t="shared" si="1000"/>
        <v>0</v>
      </c>
      <c r="BM126" s="681">
        <f t="shared" si="1001"/>
        <v>0</v>
      </c>
      <c r="BN126" s="681">
        <f t="shared" si="1002"/>
        <v>0</v>
      </c>
      <c r="BO126" s="681">
        <f>BI126*BO3</f>
        <v>0</v>
      </c>
      <c r="BQ126" s="680"/>
      <c r="BR126" s="563">
        <f t="shared" si="909"/>
        <v>0</v>
      </c>
      <c r="BS126" s="681">
        <f t="shared" si="1003"/>
        <v>0</v>
      </c>
      <c r="BT126" s="681">
        <f t="shared" si="1004"/>
        <v>0</v>
      </c>
      <c r="BU126" s="681">
        <f t="shared" si="1005"/>
        <v>0</v>
      </c>
      <c r="BV126" s="681">
        <f t="shared" si="1006"/>
        <v>0</v>
      </c>
      <c r="BW126" s="681">
        <f>BQ126*BW3</f>
        <v>0</v>
      </c>
      <c r="BY126" s="680"/>
      <c r="BZ126" s="563">
        <f t="shared" si="914"/>
        <v>0</v>
      </c>
      <c r="CA126" s="681">
        <f t="shared" si="1007"/>
        <v>0</v>
      </c>
      <c r="CB126" s="681">
        <f t="shared" si="1008"/>
        <v>0</v>
      </c>
      <c r="CC126" s="681">
        <f t="shared" si="1009"/>
        <v>0</v>
      </c>
      <c r="CD126" s="681">
        <f t="shared" si="1010"/>
        <v>0</v>
      </c>
      <c r="CE126" s="681">
        <f>BY126*CE3</f>
        <v>0</v>
      </c>
      <c r="CG126" s="680"/>
      <c r="CH126" s="560">
        <f t="shared" si="919"/>
        <v>0</v>
      </c>
      <c r="CI126" s="681">
        <f t="shared" si="1011"/>
        <v>0</v>
      </c>
      <c r="CJ126" s="681">
        <f t="shared" si="1012"/>
        <v>0</v>
      </c>
      <c r="CK126" s="681">
        <f t="shared" si="1013"/>
        <v>0</v>
      </c>
      <c r="CL126" s="681">
        <f t="shared" si="1014"/>
        <v>0</v>
      </c>
      <c r="CM126" s="681">
        <f>CG126*CM3</f>
        <v>0</v>
      </c>
      <c r="CN126" s="708"/>
      <c r="CO126" s="680"/>
      <c r="CP126" s="560">
        <f t="shared" si="923"/>
        <v>0</v>
      </c>
      <c r="CQ126" s="681">
        <f t="shared" si="1015"/>
        <v>0</v>
      </c>
      <c r="CR126" s="681">
        <f t="shared" si="1016"/>
        <v>0</v>
      </c>
      <c r="CS126" s="681">
        <f t="shared" si="1017"/>
        <v>0</v>
      </c>
      <c r="CT126" s="681">
        <f t="shared" si="1018"/>
        <v>0</v>
      </c>
      <c r="CU126" s="681">
        <f>CO126*CU3</f>
        <v>0</v>
      </c>
      <c r="CV126" s="708"/>
      <c r="CW126" s="680"/>
      <c r="CX126" s="560">
        <f t="shared" si="928"/>
        <v>0</v>
      </c>
      <c r="CY126" s="681">
        <f t="shared" si="1019"/>
        <v>0</v>
      </c>
      <c r="CZ126" s="681">
        <f t="shared" si="1020"/>
        <v>0</v>
      </c>
      <c r="DA126" s="681">
        <f t="shared" si="1021"/>
        <v>0</v>
      </c>
      <c r="DB126" s="681">
        <f t="shared" si="1022"/>
        <v>0</v>
      </c>
      <c r="DC126" s="681">
        <f>CW126*DC3</f>
        <v>0</v>
      </c>
    </row>
    <row r="127" spans="1:110" s="673" customFormat="1" ht="19.5" customHeight="1" outlineLevel="1">
      <c r="A127" s="674"/>
      <c r="B127" s="678" t="s">
        <v>95</v>
      </c>
      <c r="C127" s="671" t="s">
        <v>9</v>
      </c>
      <c r="D127" s="563">
        <v>69.399999999999991</v>
      </c>
      <c r="E127" s="563">
        <f t="shared" si="889"/>
        <v>21.940131024190826</v>
      </c>
      <c r="F127" s="563">
        <v>11.158977475419155</v>
      </c>
      <c r="G127" s="563">
        <v>10.781153548771671</v>
      </c>
      <c r="H127" s="563">
        <f t="shared" si="977"/>
        <v>46.666346719502883</v>
      </c>
      <c r="I127" s="563">
        <v>0.79352225630628381</v>
      </c>
      <c r="J127" s="563"/>
      <c r="K127" s="739" t="s">
        <v>185</v>
      </c>
      <c r="M127" s="680"/>
      <c r="N127" s="563">
        <f t="shared" si="890"/>
        <v>0</v>
      </c>
      <c r="O127" s="740">
        <f>$M$127*$O$4</f>
        <v>0</v>
      </c>
      <c r="P127" s="740">
        <f>$M$127*$P$4</f>
        <v>0</v>
      </c>
      <c r="Q127" s="740">
        <f>$M$127*$Q$4</f>
        <v>0</v>
      </c>
      <c r="R127" s="740">
        <f>$M$127*$R$4</f>
        <v>0</v>
      </c>
      <c r="S127" s="740">
        <f>$M$137*$S$4</f>
        <v>0</v>
      </c>
      <c r="U127" s="680"/>
      <c r="V127" s="563">
        <f t="shared" si="891"/>
        <v>0</v>
      </c>
      <c r="W127" s="740">
        <f>U127*$W$4</f>
        <v>0</v>
      </c>
      <c r="X127" s="740">
        <f>U127*$X$4</f>
        <v>0</v>
      </c>
      <c r="Y127" s="740">
        <f>U127*$Y$4</f>
        <v>0</v>
      </c>
      <c r="Z127" s="740">
        <f>U127*$Z$4</f>
        <v>0</v>
      </c>
      <c r="AA127" s="740">
        <f>U127*AA4</f>
        <v>0</v>
      </c>
      <c r="AC127" s="680"/>
      <c r="AD127" s="563">
        <f t="shared" si="892"/>
        <v>0</v>
      </c>
      <c r="AE127" s="740">
        <f>AC127*$AE$4</f>
        <v>0</v>
      </c>
      <c r="AF127" s="740">
        <f>AC127*$AF$4</f>
        <v>0</v>
      </c>
      <c r="AG127" s="740">
        <f>AC127*$AG$4</f>
        <v>0</v>
      </c>
      <c r="AH127" s="740">
        <f>AC127*$AH$4</f>
        <v>0</v>
      </c>
      <c r="AI127" s="740">
        <f>AC127*AI4</f>
        <v>0</v>
      </c>
      <c r="AK127" s="680"/>
      <c r="AL127" s="563">
        <f t="shared" si="897"/>
        <v>0</v>
      </c>
      <c r="AM127" s="740">
        <f>AK127*$AM$4</f>
        <v>0</v>
      </c>
      <c r="AN127" s="740">
        <f>AK127*$AN$4</f>
        <v>0</v>
      </c>
      <c r="AO127" s="740">
        <f>AK127*$AO$4</f>
        <v>0</v>
      </c>
      <c r="AP127" s="740">
        <f>AK127*$AP$4</f>
        <v>0</v>
      </c>
      <c r="AQ127" s="740">
        <f>AK127*AQ4</f>
        <v>0</v>
      </c>
      <c r="AS127" s="680"/>
      <c r="AT127" s="563">
        <f t="shared" si="898"/>
        <v>0</v>
      </c>
      <c r="AU127" s="740">
        <f>AS127*$AU$4</f>
        <v>0</v>
      </c>
      <c r="AV127" s="740">
        <f>AS127*$AV$4</f>
        <v>0</v>
      </c>
      <c r="AW127" s="740">
        <f>AS127*$AW$4</f>
        <v>0</v>
      </c>
      <c r="AX127" s="740">
        <f>AS127*$AX$4</f>
        <v>0</v>
      </c>
      <c r="AY127" s="740">
        <f>AS127*AY4</f>
        <v>0</v>
      </c>
      <c r="BA127" s="680"/>
      <c r="BB127" s="563" t="e">
        <f t="shared" si="899"/>
        <v>#DIV/0!</v>
      </c>
      <c r="BC127" s="740" t="e">
        <f>BA127*$BC$4</f>
        <v>#DIV/0!</v>
      </c>
      <c r="BD127" s="740" t="e">
        <f>BA127*$BD$4</f>
        <v>#DIV/0!</v>
      </c>
      <c r="BE127" s="740" t="e">
        <f>BA127*$BE$4</f>
        <v>#DIV/0!</v>
      </c>
      <c r="BF127" s="740" t="e">
        <f>BA127*$BF$4</f>
        <v>#DIV/0!</v>
      </c>
      <c r="BG127" s="740" t="e">
        <f>BA127*BG4</f>
        <v>#DIV/0!</v>
      </c>
      <c r="BI127" s="680"/>
      <c r="BJ127" s="563" t="e">
        <f t="shared" si="904"/>
        <v>#DIV/0!</v>
      </c>
      <c r="BK127" s="740" t="e">
        <f>BI127*$BK$4</f>
        <v>#DIV/0!</v>
      </c>
      <c r="BL127" s="740" t="e">
        <f>BI127*$BL$4</f>
        <v>#DIV/0!</v>
      </c>
      <c r="BM127" s="740" t="e">
        <f>BI127*$BM$4</f>
        <v>#DIV/0!</v>
      </c>
      <c r="BN127" s="740" t="e">
        <f>BI127*$BN$4</f>
        <v>#DIV/0!</v>
      </c>
      <c r="BO127" s="740" t="e">
        <f>BI127*BO4</f>
        <v>#DIV/0!</v>
      </c>
      <c r="BQ127" s="680"/>
      <c r="BR127" s="563" t="e">
        <f t="shared" si="909"/>
        <v>#DIV/0!</v>
      </c>
      <c r="BS127" s="740" t="e">
        <f>BQ127*$BS$4</f>
        <v>#DIV/0!</v>
      </c>
      <c r="BT127" s="740" t="e">
        <f>BQ127*$BT$4</f>
        <v>#DIV/0!</v>
      </c>
      <c r="BU127" s="740" t="e">
        <f>BQ127*$BU$4</f>
        <v>#DIV/0!</v>
      </c>
      <c r="BV127" s="740" t="e">
        <f>BQ127*$BV$4</f>
        <v>#DIV/0!</v>
      </c>
      <c r="BW127" s="740" t="e">
        <f>BQ127*BW4</f>
        <v>#DIV/0!</v>
      </c>
      <c r="BY127" s="680"/>
      <c r="BZ127" s="563" t="e">
        <f t="shared" si="914"/>
        <v>#DIV/0!</v>
      </c>
      <c r="CA127" s="740" t="e">
        <f>BY127*$CA$4</f>
        <v>#DIV/0!</v>
      </c>
      <c r="CB127" s="740" t="e">
        <f>BY127*$CB$4</f>
        <v>#DIV/0!</v>
      </c>
      <c r="CC127" s="740" t="e">
        <f>BY127*$CC$4</f>
        <v>#DIV/0!</v>
      </c>
      <c r="CD127" s="740" t="e">
        <f>BY127*$CD$4</f>
        <v>#DIV/0!</v>
      </c>
      <c r="CE127" s="740" t="e">
        <f>BY127*CE4</f>
        <v>#DIV/0!</v>
      </c>
      <c r="CG127" s="680"/>
      <c r="CH127" s="563" t="e">
        <f t="shared" si="919"/>
        <v>#DIV/0!</v>
      </c>
      <c r="CI127" s="740" t="e">
        <f>CG127*$CI$4</f>
        <v>#DIV/0!</v>
      </c>
      <c r="CJ127" s="740" t="e">
        <f>CG127*$CJ$4</f>
        <v>#DIV/0!</v>
      </c>
      <c r="CK127" s="740" t="e">
        <f>CG127*CK$4</f>
        <v>#DIV/0!</v>
      </c>
      <c r="CL127" s="740" t="e">
        <f>CG127*$CL$4</f>
        <v>#DIV/0!</v>
      </c>
      <c r="CM127" s="740" t="e">
        <f>CG127*CM4</f>
        <v>#DIV/0!</v>
      </c>
      <c r="CO127" s="680"/>
      <c r="CP127" s="563" t="e">
        <f t="shared" si="923"/>
        <v>#DIV/0!</v>
      </c>
      <c r="CQ127" s="740" t="e">
        <f>CO127*$CQ$4</f>
        <v>#DIV/0!</v>
      </c>
      <c r="CR127" s="740" t="e">
        <f>CO127*$CR$4</f>
        <v>#DIV/0!</v>
      </c>
      <c r="CS127" s="740" t="e">
        <f>CO127*$CS$4</f>
        <v>#DIV/0!</v>
      </c>
      <c r="CT127" s="740" t="e">
        <f>CO127*$CT$4</f>
        <v>#DIV/0!</v>
      </c>
      <c r="CU127" s="740" t="e">
        <f>CO127*CU4</f>
        <v>#DIV/0!</v>
      </c>
      <c r="CW127" s="680"/>
      <c r="CX127" s="563" t="e">
        <f t="shared" si="928"/>
        <v>#DIV/0!</v>
      </c>
      <c r="CY127" s="740" t="e">
        <f>CW127*$CY$4</f>
        <v>#DIV/0!</v>
      </c>
      <c r="CZ127" s="740" t="e">
        <f>CW127*$CZ$4</f>
        <v>#DIV/0!</v>
      </c>
      <c r="DA127" s="740" t="e">
        <f>CW127*$DA$4</f>
        <v>#DIV/0!</v>
      </c>
      <c r="DB127" s="740" t="e">
        <f>CW127*$DB$4</f>
        <v>#DIV/0!</v>
      </c>
      <c r="DC127" s="740" t="e">
        <f>CW127*DC4</f>
        <v>#DIV/0!</v>
      </c>
    </row>
    <row r="128" spans="1:110" s="673" customFormat="1" ht="19.5" customHeight="1" outlineLevel="1">
      <c r="A128" s="674"/>
      <c r="B128" s="678" t="s">
        <v>121</v>
      </c>
      <c r="C128" s="671" t="s">
        <v>9</v>
      </c>
      <c r="D128" s="563">
        <v>1457.6374999999998</v>
      </c>
      <c r="E128" s="563">
        <f t="shared" si="889"/>
        <v>324.98385139739162</v>
      </c>
      <c r="F128" s="563">
        <v>136.60684114834044</v>
      </c>
      <c r="G128" s="563">
        <v>188.37701024905121</v>
      </c>
      <c r="H128" s="563">
        <f t="shared" si="977"/>
        <v>1076.4871088091202</v>
      </c>
      <c r="I128" s="563">
        <v>56.166539793487935</v>
      </c>
      <c r="J128" s="563"/>
      <c r="K128" s="679" t="s">
        <v>184</v>
      </c>
      <c r="M128" s="680"/>
      <c r="N128" s="563">
        <f t="shared" si="890"/>
        <v>0</v>
      </c>
      <c r="O128" s="681">
        <f>$M$128*$O$3</f>
        <v>0</v>
      </c>
      <c r="P128" s="681">
        <f>$M$128*$P$3</f>
        <v>0</v>
      </c>
      <c r="Q128" s="681">
        <f>$M$128*$Q$3</f>
        <v>0</v>
      </c>
      <c r="R128" s="681">
        <f>$M$128*$R$3</f>
        <v>0</v>
      </c>
      <c r="S128" s="681">
        <f t="shared" ref="S128:S133" si="1023">$M$16*$S$3</f>
        <v>0</v>
      </c>
      <c r="U128" s="680"/>
      <c r="V128" s="563">
        <f t="shared" si="891"/>
        <v>0</v>
      </c>
      <c r="W128" s="681">
        <f t="shared" ref="W128:W133" si="1024">U128*$W$3</f>
        <v>0</v>
      </c>
      <c r="X128" s="681">
        <f t="shared" ref="X128:X133" si="1025">U128*$X$3</f>
        <v>0</v>
      </c>
      <c r="Y128" s="681">
        <f t="shared" ref="Y128:Y133" si="1026">U128*$Y$3</f>
        <v>0</v>
      </c>
      <c r="Z128" s="681">
        <f t="shared" ref="Z128:Z133" si="1027">U128*$Z$3</f>
        <v>0</v>
      </c>
      <c r="AA128" s="681">
        <f>U128*AA3</f>
        <v>0</v>
      </c>
      <c r="AC128" s="680">
        <f>365186.08/1000</f>
        <v>365.18608</v>
      </c>
      <c r="AD128" s="563">
        <f t="shared" si="892"/>
        <v>81.419131131790976</v>
      </c>
      <c r="AE128" s="681">
        <f t="shared" ref="AE128:AE133" si="1028">AC128*$AE$3</f>
        <v>34.2245015102487</v>
      </c>
      <c r="AF128" s="681">
        <f t="shared" ref="AF128:AF133" si="1029">AC128*$AF$3</f>
        <v>47.194629621542276</v>
      </c>
      <c r="AG128" s="681">
        <f t="shared" ref="AG128:AG133" si="1030">AC128*$AG$3</f>
        <v>259.42551923644731</v>
      </c>
      <c r="AH128" s="681">
        <f t="shared" ref="AH128:AH133" si="1031">AC128*$AH$3</f>
        <v>24.341429631761702</v>
      </c>
      <c r="AI128" s="681">
        <f>AC128*AI3</f>
        <v>0</v>
      </c>
      <c r="AK128" s="680"/>
      <c r="AL128" s="563">
        <f t="shared" si="897"/>
        <v>0</v>
      </c>
      <c r="AM128" s="681">
        <f t="shared" ref="AM128:AM133" si="1032">AK128*$AM$3</f>
        <v>0</v>
      </c>
      <c r="AN128" s="681">
        <f t="shared" ref="AN128:AN133" si="1033">AK128*$AN$3</f>
        <v>0</v>
      </c>
      <c r="AO128" s="681">
        <f t="shared" ref="AO128:AO133" si="1034">AK128*$AO$3</f>
        <v>0</v>
      </c>
      <c r="AP128" s="681">
        <f t="shared" ref="AP128:AP133" si="1035">AK128*$AP$3</f>
        <v>0</v>
      </c>
      <c r="AQ128" s="681">
        <f>AK128*AQ3</f>
        <v>0</v>
      </c>
      <c r="AS128" s="680">
        <f>35058.03/1000</f>
        <v>35.058030000000002</v>
      </c>
      <c r="AT128" s="563">
        <f t="shared" si="898"/>
        <v>7.8162736701033682</v>
      </c>
      <c r="AU128" s="681">
        <f t="shared" ref="AU128:AU133" si="1036">AS128*$AU$3</f>
        <v>3.2855677321582037</v>
      </c>
      <c r="AV128" s="681">
        <f t="shared" ref="AV128:AV133" si="1037">AS128*$AV$3</f>
        <v>4.5307059379451644</v>
      </c>
      <c r="AW128" s="681">
        <f t="shared" ref="AW128:AW133" si="1038">AS128*$AW$3</f>
        <v>24.904967999210012</v>
      </c>
      <c r="AX128" s="681">
        <f t="shared" ref="AX128:AX133" si="1039">AS128*$AX$3</f>
        <v>2.3367883306866206</v>
      </c>
      <c r="AY128" s="681">
        <f>AS128*AY3</f>
        <v>0</v>
      </c>
      <c r="BA128" s="680"/>
      <c r="BB128" s="563">
        <f t="shared" si="899"/>
        <v>0</v>
      </c>
      <c r="BC128" s="681">
        <f t="shared" ref="BC128:BC133" si="1040">BA128*$BC$3</f>
        <v>0</v>
      </c>
      <c r="BD128" s="681">
        <f t="shared" ref="BD128:BD133" si="1041">BA128*$BD$3</f>
        <v>0</v>
      </c>
      <c r="BE128" s="681">
        <f t="shared" ref="BE128:BE133" si="1042">BA128*$BE$3</f>
        <v>0</v>
      </c>
      <c r="BF128" s="681">
        <f t="shared" ref="BF128:BF133" si="1043">BA128*$BF$3</f>
        <v>0</v>
      </c>
      <c r="BG128" s="681">
        <f>BA128*BG3</f>
        <v>0</v>
      </c>
      <c r="BI128" s="680"/>
      <c r="BJ128" s="563">
        <f t="shared" si="904"/>
        <v>0</v>
      </c>
      <c r="BK128" s="681">
        <f t="shared" ref="BK128:BK133" si="1044">BI128*$BK$3</f>
        <v>0</v>
      </c>
      <c r="BL128" s="681">
        <f t="shared" ref="BL128:BL133" si="1045">BI128*$BL$3</f>
        <v>0</v>
      </c>
      <c r="BM128" s="681">
        <f t="shared" ref="BM128:BM133" si="1046">BI128*$BM$3</f>
        <v>0</v>
      </c>
      <c r="BN128" s="681">
        <f t="shared" ref="BN128:BN133" si="1047">BI128*$BN$3</f>
        <v>0</v>
      </c>
      <c r="BO128" s="681">
        <f>BI128*BO3</f>
        <v>0</v>
      </c>
      <c r="BQ128" s="680"/>
      <c r="BR128" s="563">
        <f t="shared" si="909"/>
        <v>0</v>
      </c>
      <c r="BS128" s="681">
        <f t="shared" ref="BS128:BS133" si="1048">BQ128*$BS$3</f>
        <v>0</v>
      </c>
      <c r="BT128" s="681">
        <f t="shared" ref="BT128:BT133" si="1049">BQ128*$BT$3</f>
        <v>0</v>
      </c>
      <c r="BU128" s="681">
        <f t="shared" ref="BU128:BU133" si="1050">BQ128*$BU$3</f>
        <v>0</v>
      </c>
      <c r="BV128" s="681">
        <f t="shared" ref="BV128:BV133" si="1051">BQ128*$BV$3</f>
        <v>0</v>
      </c>
      <c r="BW128" s="681">
        <f>BQ128*BW3</f>
        <v>0</v>
      </c>
      <c r="BY128" s="680"/>
      <c r="BZ128" s="563">
        <f t="shared" si="914"/>
        <v>0</v>
      </c>
      <c r="CA128" s="681">
        <f t="shared" ref="CA128:CA133" si="1052">BY128*$CA$3</f>
        <v>0</v>
      </c>
      <c r="CB128" s="681">
        <f t="shared" ref="CB128:CB133" si="1053">BY128*$CB$3</f>
        <v>0</v>
      </c>
      <c r="CC128" s="681">
        <f t="shared" ref="CC128:CC133" si="1054">BY128*$CC$3</f>
        <v>0</v>
      </c>
      <c r="CD128" s="681">
        <f t="shared" ref="CD128:CD133" si="1055">BY128*$CD$3</f>
        <v>0</v>
      </c>
      <c r="CE128" s="681">
        <f>BY128*CE3</f>
        <v>0</v>
      </c>
      <c r="CG128" s="680"/>
      <c r="CH128" s="560">
        <f t="shared" si="919"/>
        <v>0</v>
      </c>
      <c r="CI128" s="681">
        <f t="shared" ref="CI128:CI133" si="1056">CG128*$CI$3</f>
        <v>0</v>
      </c>
      <c r="CJ128" s="681">
        <f t="shared" ref="CJ128:CJ133" si="1057">CG128*$CJ$3</f>
        <v>0</v>
      </c>
      <c r="CK128" s="681">
        <f t="shared" ref="CK128:CK133" si="1058">CG128*$CK$3</f>
        <v>0</v>
      </c>
      <c r="CL128" s="681">
        <f t="shared" ref="CL128:CL133" si="1059">CG128*$CL$3</f>
        <v>0</v>
      </c>
      <c r="CM128" s="681">
        <f>CG128*CM3</f>
        <v>0</v>
      </c>
      <c r="CN128" s="708"/>
      <c r="CO128" s="680"/>
      <c r="CP128" s="560">
        <f t="shared" si="923"/>
        <v>0</v>
      </c>
      <c r="CQ128" s="681">
        <f t="shared" ref="CQ128:CQ133" si="1060">CO128*$CQ$3</f>
        <v>0</v>
      </c>
      <c r="CR128" s="681">
        <f t="shared" ref="CR128:CR133" si="1061">CO128*$CR$3</f>
        <v>0</v>
      </c>
      <c r="CS128" s="681">
        <f t="shared" ref="CS128:CS133" si="1062">CO128*$CS$3</f>
        <v>0</v>
      </c>
      <c r="CT128" s="681">
        <f t="shared" ref="CT128:CT133" si="1063">CO128*$CT$3</f>
        <v>0</v>
      </c>
      <c r="CU128" s="681">
        <f>CO128*CU3</f>
        <v>0</v>
      </c>
      <c r="CV128" s="708"/>
      <c r="CW128" s="680"/>
      <c r="CX128" s="560">
        <f t="shared" si="928"/>
        <v>0</v>
      </c>
      <c r="CY128" s="681">
        <f t="shared" ref="CY128:CY133" si="1064">CW128*$CY$3</f>
        <v>0</v>
      </c>
      <c r="CZ128" s="681">
        <f t="shared" ref="CZ128:CZ133" si="1065">CW128*$CZ$3</f>
        <v>0</v>
      </c>
      <c r="DA128" s="681">
        <f t="shared" ref="DA128:DA133" si="1066">CW128*$DA$3</f>
        <v>0</v>
      </c>
      <c r="DB128" s="681">
        <f t="shared" ref="DB128:DB133" si="1067">CW128*$DB$3</f>
        <v>0</v>
      </c>
      <c r="DC128" s="681">
        <f>CW128*DC3</f>
        <v>0</v>
      </c>
    </row>
    <row r="129" spans="1:117" s="673" customFormat="1" ht="19.5" customHeight="1" outlineLevel="1">
      <c r="A129" s="674"/>
      <c r="B129" s="678" t="s">
        <v>101</v>
      </c>
      <c r="C129" s="671" t="s">
        <v>9</v>
      </c>
      <c r="D129" s="563">
        <v>438.8703999999999</v>
      </c>
      <c r="E129" s="563">
        <f t="shared" si="889"/>
        <v>97.847230780158867</v>
      </c>
      <c r="F129" s="563">
        <v>41.130047091618202</v>
      </c>
      <c r="G129" s="563">
        <v>56.717183688540672</v>
      </c>
      <c r="H129" s="563">
        <f t="shared" si="977"/>
        <v>324.1123585513559</v>
      </c>
      <c r="I129" s="563">
        <v>16.910810668485109</v>
      </c>
      <c r="J129" s="563"/>
      <c r="K129" s="679" t="s">
        <v>184</v>
      </c>
      <c r="M129" s="680"/>
      <c r="N129" s="563">
        <f t="shared" si="890"/>
        <v>0</v>
      </c>
      <c r="O129" s="681">
        <f>$M$129*$O$3</f>
        <v>0</v>
      </c>
      <c r="P129" s="681">
        <f>$M$129*$P$3</f>
        <v>0</v>
      </c>
      <c r="Q129" s="681">
        <f>$M$129*$Q$3</f>
        <v>0</v>
      </c>
      <c r="R129" s="681">
        <f>$M$129*$R$3</f>
        <v>0</v>
      </c>
      <c r="S129" s="681">
        <f t="shared" si="1023"/>
        <v>0</v>
      </c>
      <c r="U129" s="680"/>
      <c r="V129" s="563">
        <f t="shared" si="891"/>
        <v>0</v>
      </c>
      <c r="W129" s="681">
        <f t="shared" si="1024"/>
        <v>0</v>
      </c>
      <c r="X129" s="681">
        <f t="shared" si="1025"/>
        <v>0</v>
      </c>
      <c r="Y129" s="681">
        <f t="shared" si="1026"/>
        <v>0</v>
      </c>
      <c r="Z129" s="681">
        <f t="shared" si="1027"/>
        <v>0</v>
      </c>
      <c r="AA129" s="681">
        <f>U129*AA3</f>
        <v>0</v>
      </c>
      <c r="AC129" s="680"/>
      <c r="AD129" s="563">
        <f t="shared" si="892"/>
        <v>0</v>
      </c>
      <c r="AE129" s="681">
        <f t="shared" si="1028"/>
        <v>0</v>
      </c>
      <c r="AF129" s="681">
        <f t="shared" si="1029"/>
        <v>0</v>
      </c>
      <c r="AG129" s="681">
        <f t="shared" si="1030"/>
        <v>0</v>
      </c>
      <c r="AH129" s="681">
        <f t="shared" si="1031"/>
        <v>0</v>
      </c>
      <c r="AI129" s="681">
        <f>AC129*AI3</f>
        <v>0</v>
      </c>
      <c r="AK129" s="680"/>
      <c r="AL129" s="563">
        <f t="shared" si="897"/>
        <v>0</v>
      </c>
      <c r="AM129" s="681">
        <f t="shared" si="1032"/>
        <v>0</v>
      </c>
      <c r="AN129" s="681">
        <f t="shared" si="1033"/>
        <v>0</v>
      </c>
      <c r="AO129" s="681">
        <f t="shared" si="1034"/>
        <v>0</v>
      </c>
      <c r="AP129" s="681">
        <f t="shared" si="1035"/>
        <v>0</v>
      </c>
      <c r="AQ129" s="681">
        <f>AK129*AQ3</f>
        <v>0</v>
      </c>
      <c r="AS129" s="680"/>
      <c r="AT129" s="563">
        <f t="shared" si="898"/>
        <v>0</v>
      </c>
      <c r="AU129" s="681">
        <f t="shared" si="1036"/>
        <v>0</v>
      </c>
      <c r="AV129" s="681">
        <f t="shared" si="1037"/>
        <v>0</v>
      </c>
      <c r="AW129" s="681">
        <f t="shared" si="1038"/>
        <v>0</v>
      </c>
      <c r="AX129" s="681">
        <f t="shared" si="1039"/>
        <v>0</v>
      </c>
      <c r="AY129" s="681">
        <f>AS129*AY3</f>
        <v>0</v>
      </c>
      <c r="BA129" s="680"/>
      <c r="BB129" s="563">
        <f t="shared" si="899"/>
        <v>0</v>
      </c>
      <c r="BC129" s="681">
        <f t="shared" si="1040"/>
        <v>0</v>
      </c>
      <c r="BD129" s="681">
        <f t="shared" si="1041"/>
        <v>0</v>
      </c>
      <c r="BE129" s="681">
        <f t="shared" si="1042"/>
        <v>0</v>
      </c>
      <c r="BF129" s="681">
        <f t="shared" si="1043"/>
        <v>0</v>
      </c>
      <c r="BG129" s="681">
        <f>BA129*BG3</f>
        <v>0</v>
      </c>
      <c r="BI129" s="680"/>
      <c r="BJ129" s="563">
        <f t="shared" si="904"/>
        <v>0</v>
      </c>
      <c r="BK129" s="681">
        <f t="shared" si="1044"/>
        <v>0</v>
      </c>
      <c r="BL129" s="681">
        <f t="shared" si="1045"/>
        <v>0</v>
      </c>
      <c r="BM129" s="681">
        <f t="shared" si="1046"/>
        <v>0</v>
      </c>
      <c r="BN129" s="681">
        <f t="shared" si="1047"/>
        <v>0</v>
      </c>
      <c r="BO129" s="681">
        <f>BI129*BO3</f>
        <v>0</v>
      </c>
      <c r="BQ129" s="680"/>
      <c r="BR129" s="563">
        <f t="shared" si="909"/>
        <v>0</v>
      </c>
      <c r="BS129" s="681">
        <f t="shared" si="1048"/>
        <v>0</v>
      </c>
      <c r="BT129" s="681">
        <f t="shared" si="1049"/>
        <v>0</v>
      </c>
      <c r="BU129" s="681">
        <f t="shared" si="1050"/>
        <v>0</v>
      </c>
      <c r="BV129" s="681">
        <f t="shared" si="1051"/>
        <v>0</v>
      </c>
      <c r="BW129" s="681">
        <f>BQ129*BW3</f>
        <v>0</v>
      </c>
      <c r="BY129" s="680"/>
      <c r="BZ129" s="563">
        <f t="shared" si="914"/>
        <v>0</v>
      </c>
      <c r="CA129" s="681">
        <f t="shared" si="1052"/>
        <v>0</v>
      </c>
      <c r="CB129" s="681">
        <f t="shared" si="1053"/>
        <v>0</v>
      </c>
      <c r="CC129" s="681">
        <f t="shared" si="1054"/>
        <v>0</v>
      </c>
      <c r="CD129" s="681">
        <f t="shared" si="1055"/>
        <v>0</v>
      </c>
      <c r="CE129" s="681">
        <f>BY129*CE3</f>
        <v>0</v>
      </c>
      <c r="CG129" s="680"/>
      <c r="CH129" s="560">
        <f t="shared" si="919"/>
        <v>0</v>
      </c>
      <c r="CI129" s="681">
        <f t="shared" si="1056"/>
        <v>0</v>
      </c>
      <c r="CJ129" s="681">
        <f t="shared" si="1057"/>
        <v>0</v>
      </c>
      <c r="CK129" s="681">
        <f t="shared" si="1058"/>
        <v>0</v>
      </c>
      <c r="CL129" s="681">
        <f t="shared" si="1059"/>
        <v>0</v>
      </c>
      <c r="CM129" s="681">
        <f>CG129*CM3</f>
        <v>0</v>
      </c>
      <c r="CN129" s="708"/>
      <c r="CO129" s="680"/>
      <c r="CP129" s="560">
        <f t="shared" si="923"/>
        <v>0</v>
      </c>
      <c r="CQ129" s="681">
        <f t="shared" si="1060"/>
        <v>0</v>
      </c>
      <c r="CR129" s="681">
        <f t="shared" si="1061"/>
        <v>0</v>
      </c>
      <c r="CS129" s="681">
        <f t="shared" si="1062"/>
        <v>0</v>
      </c>
      <c r="CT129" s="681">
        <f t="shared" si="1063"/>
        <v>0</v>
      </c>
      <c r="CU129" s="681">
        <f>CO129*CU3</f>
        <v>0</v>
      </c>
      <c r="CV129" s="708"/>
      <c r="CW129" s="680"/>
      <c r="CX129" s="560">
        <f t="shared" si="928"/>
        <v>0</v>
      </c>
      <c r="CY129" s="681">
        <f t="shared" si="1064"/>
        <v>0</v>
      </c>
      <c r="CZ129" s="681">
        <f t="shared" si="1065"/>
        <v>0</v>
      </c>
      <c r="DA129" s="681">
        <f t="shared" si="1066"/>
        <v>0</v>
      </c>
      <c r="DB129" s="681">
        <f t="shared" si="1067"/>
        <v>0</v>
      </c>
      <c r="DC129" s="681">
        <f>CW129*DC3</f>
        <v>0</v>
      </c>
    </row>
    <row r="130" spans="1:117" s="673" customFormat="1" ht="19.5" customHeight="1" outlineLevel="1">
      <c r="A130" s="674"/>
      <c r="B130" s="678" t="s">
        <v>102</v>
      </c>
      <c r="C130" s="671" t="s">
        <v>9</v>
      </c>
      <c r="D130" s="563">
        <v>1899.876</v>
      </c>
      <c r="E130" s="563">
        <f t="shared" si="889"/>
        <v>423.58200832337997</v>
      </c>
      <c r="F130" s="563">
        <v>178.05253976626179</v>
      </c>
      <c r="G130" s="563">
        <v>245.52946855711818</v>
      </c>
      <c r="H130" s="563">
        <f t="shared" si="977"/>
        <v>1403.086859617591</v>
      </c>
      <c r="I130" s="563">
        <v>73.207132059028865</v>
      </c>
      <c r="J130" s="563"/>
      <c r="K130" s="679" t="s">
        <v>184</v>
      </c>
      <c r="M130" s="680">
        <f>42803.95/1000</f>
        <v>42.80395</v>
      </c>
      <c r="N130" s="563">
        <f t="shared" si="890"/>
        <v>9.5432455092719426</v>
      </c>
      <c r="O130" s="681">
        <f>$M$130*$O$3</f>
        <v>4.0114997028901263</v>
      </c>
      <c r="P130" s="681">
        <f>$M$130*$P$3</f>
        <v>5.5317458063818163</v>
      </c>
      <c r="Q130" s="681">
        <f>$M$130*$Q$3</f>
        <v>30.40761289181923</v>
      </c>
      <c r="R130" s="681">
        <f>$M$130*$R$3</f>
        <v>2.8530915989088252</v>
      </c>
      <c r="S130" s="681">
        <f t="shared" si="1023"/>
        <v>0</v>
      </c>
      <c r="U130" s="680">
        <f>58840/1000</f>
        <v>58.84</v>
      </c>
      <c r="V130" s="563">
        <f t="shared" si="891"/>
        <v>13.118522140259511</v>
      </c>
      <c r="W130" s="681">
        <f>U130*$W$3</f>
        <v>5.51436590590483</v>
      </c>
      <c r="X130" s="681">
        <f t="shared" si="1025"/>
        <v>7.604156234354682</v>
      </c>
      <c r="Y130" s="681">
        <f t="shared" si="1026"/>
        <v>41.799505479158903</v>
      </c>
      <c r="Z130" s="681">
        <f t="shared" si="1027"/>
        <v>3.9219723805815887</v>
      </c>
      <c r="AA130" s="681">
        <f>U130*AA3</f>
        <v>0</v>
      </c>
      <c r="AC130" s="680">
        <f>(58440+10325)/1000</f>
        <v>68.765000000000001</v>
      </c>
      <c r="AD130" s="563">
        <f t="shared" si="892"/>
        <v>15.331325203517085</v>
      </c>
      <c r="AE130" s="681">
        <f t="shared" si="1028"/>
        <v>6.4445168511139634</v>
      </c>
      <c r="AF130" s="681">
        <f t="shared" si="1029"/>
        <v>8.8868083524031221</v>
      </c>
      <c r="AG130" s="681">
        <f t="shared" si="1030"/>
        <v>48.850152859863385</v>
      </c>
      <c r="AH130" s="681">
        <f t="shared" si="1031"/>
        <v>4.5835219366195261</v>
      </c>
      <c r="AI130" s="681">
        <f>AC130*AI3</f>
        <v>0</v>
      </c>
      <c r="AK130" s="680">
        <f>(41299+55948)/1000</f>
        <v>97.247</v>
      </c>
      <c r="AL130" s="563">
        <f t="shared" si="897"/>
        <v>21.681456875829653</v>
      </c>
      <c r="AM130" s="681">
        <f t="shared" si="1032"/>
        <v>9.1137923394209217</v>
      </c>
      <c r="AN130" s="681">
        <f t="shared" si="1033"/>
        <v>12.567664536408731</v>
      </c>
      <c r="AO130" s="681">
        <f t="shared" si="1034"/>
        <v>69.083557262606476</v>
      </c>
      <c r="AP130" s="681">
        <f t="shared" si="1035"/>
        <v>6.4819858615638637</v>
      </c>
      <c r="AQ130" s="681">
        <f>AK130*AQ3</f>
        <v>0</v>
      </c>
      <c r="AS130" s="680">
        <f>131662.18/1000</f>
        <v>131.66218000000001</v>
      </c>
      <c r="AT130" s="563">
        <f t="shared" si="898"/>
        <v>29.354405563644342</v>
      </c>
      <c r="AU130" s="681">
        <f t="shared" si="1036"/>
        <v>12.339113468543589</v>
      </c>
      <c r="AV130" s="681">
        <f t="shared" si="1037"/>
        <v>17.015292095100754</v>
      </c>
      <c r="AW130" s="681">
        <f t="shared" si="1038"/>
        <v>93.531849325424972</v>
      </c>
      <c r="AX130" s="681">
        <f t="shared" si="1039"/>
        <v>8.7759251109306877</v>
      </c>
      <c r="AY130" s="681">
        <f>AS130*AY3</f>
        <v>0</v>
      </c>
      <c r="BA130" s="680"/>
      <c r="BB130" s="563">
        <f t="shared" si="899"/>
        <v>0</v>
      </c>
      <c r="BC130" s="681">
        <f t="shared" si="1040"/>
        <v>0</v>
      </c>
      <c r="BD130" s="681">
        <f t="shared" si="1041"/>
        <v>0</v>
      </c>
      <c r="BE130" s="681">
        <f t="shared" si="1042"/>
        <v>0</v>
      </c>
      <c r="BF130" s="681">
        <f t="shared" si="1043"/>
        <v>0</v>
      </c>
      <c r="BG130" s="681">
        <f>BA130*BG3</f>
        <v>0</v>
      </c>
      <c r="BI130" s="680"/>
      <c r="BJ130" s="563">
        <f t="shared" si="904"/>
        <v>0</v>
      </c>
      <c r="BK130" s="681">
        <f t="shared" si="1044"/>
        <v>0</v>
      </c>
      <c r="BL130" s="681">
        <f t="shared" si="1045"/>
        <v>0</v>
      </c>
      <c r="BM130" s="681">
        <f t="shared" si="1046"/>
        <v>0</v>
      </c>
      <c r="BN130" s="681">
        <f t="shared" si="1047"/>
        <v>0</v>
      </c>
      <c r="BO130" s="681">
        <f>BI130*BO3</f>
        <v>0</v>
      </c>
      <c r="BQ130" s="680"/>
      <c r="BR130" s="563">
        <f t="shared" si="909"/>
        <v>0</v>
      </c>
      <c r="BS130" s="681">
        <f t="shared" si="1048"/>
        <v>0</v>
      </c>
      <c r="BT130" s="681">
        <f t="shared" si="1049"/>
        <v>0</v>
      </c>
      <c r="BU130" s="681">
        <f t="shared" si="1050"/>
        <v>0</v>
      </c>
      <c r="BV130" s="681">
        <f t="shared" si="1051"/>
        <v>0</v>
      </c>
      <c r="BW130" s="681">
        <f>BQ130*BW3</f>
        <v>0</v>
      </c>
      <c r="BY130" s="680"/>
      <c r="BZ130" s="563">
        <f t="shared" si="914"/>
        <v>0</v>
      </c>
      <c r="CA130" s="681">
        <f t="shared" si="1052"/>
        <v>0</v>
      </c>
      <c r="CB130" s="681">
        <f t="shared" si="1053"/>
        <v>0</v>
      </c>
      <c r="CC130" s="681">
        <f t="shared" si="1054"/>
        <v>0</v>
      </c>
      <c r="CD130" s="681">
        <f t="shared" si="1055"/>
        <v>0</v>
      </c>
      <c r="CE130" s="681">
        <f>BY130*CE3</f>
        <v>0</v>
      </c>
      <c r="CG130" s="680"/>
      <c r="CH130" s="560">
        <f t="shared" si="919"/>
        <v>0</v>
      </c>
      <c r="CI130" s="681">
        <f t="shared" si="1056"/>
        <v>0</v>
      </c>
      <c r="CJ130" s="681">
        <f t="shared" si="1057"/>
        <v>0</v>
      </c>
      <c r="CK130" s="681">
        <f t="shared" si="1058"/>
        <v>0</v>
      </c>
      <c r="CL130" s="681">
        <f t="shared" si="1059"/>
        <v>0</v>
      </c>
      <c r="CM130" s="681">
        <f>CG130*CM3</f>
        <v>0</v>
      </c>
      <c r="CN130" s="708"/>
      <c r="CO130" s="680"/>
      <c r="CP130" s="560">
        <f t="shared" si="923"/>
        <v>0</v>
      </c>
      <c r="CQ130" s="681">
        <f t="shared" si="1060"/>
        <v>0</v>
      </c>
      <c r="CR130" s="681">
        <f t="shared" si="1061"/>
        <v>0</v>
      </c>
      <c r="CS130" s="681">
        <f t="shared" si="1062"/>
        <v>0</v>
      </c>
      <c r="CT130" s="681">
        <f t="shared" si="1063"/>
        <v>0</v>
      </c>
      <c r="CU130" s="681">
        <f>CO130*CU3</f>
        <v>0</v>
      </c>
      <c r="CV130" s="708"/>
      <c r="CW130" s="680"/>
      <c r="CX130" s="560">
        <f t="shared" si="928"/>
        <v>0</v>
      </c>
      <c r="CY130" s="681">
        <f t="shared" si="1064"/>
        <v>0</v>
      </c>
      <c r="CZ130" s="681">
        <f t="shared" si="1065"/>
        <v>0</v>
      </c>
      <c r="DA130" s="681">
        <f t="shared" si="1066"/>
        <v>0</v>
      </c>
      <c r="DB130" s="681">
        <f t="shared" si="1067"/>
        <v>0</v>
      </c>
      <c r="DC130" s="681">
        <f>CW130*DC3</f>
        <v>0</v>
      </c>
    </row>
    <row r="131" spans="1:117" s="673" customFormat="1" ht="19.5" customHeight="1" outlineLevel="1">
      <c r="A131" s="674"/>
      <c r="B131" s="678" t="s">
        <v>103</v>
      </c>
      <c r="C131" s="671" t="s">
        <v>9</v>
      </c>
      <c r="D131" s="563">
        <v>6026.7857142857138</v>
      </c>
      <c r="E131" s="563">
        <f t="shared" si="889"/>
        <v>1155.8819147275217</v>
      </c>
      <c r="F131" s="563">
        <v>441</v>
      </c>
      <c r="G131" s="563">
        <v>714.8819147275218</v>
      </c>
      <c r="H131" s="563">
        <f t="shared" si="977"/>
        <v>4638.6761711881391</v>
      </c>
      <c r="I131" s="563">
        <v>232.22762837005303</v>
      </c>
      <c r="J131" s="563"/>
      <c r="K131" s="679" t="s">
        <v>184</v>
      </c>
      <c r="M131" s="680"/>
      <c r="N131" s="563">
        <f t="shared" si="890"/>
        <v>0</v>
      </c>
      <c r="O131" s="681">
        <f>$M$131*$O$3</f>
        <v>0</v>
      </c>
      <c r="P131" s="681">
        <f>$M$131*$P$3</f>
        <v>0</v>
      </c>
      <c r="Q131" s="681">
        <f>$M$131*$Q$3</f>
        <v>0</v>
      </c>
      <c r="R131" s="681">
        <f>$M$131*$R$3</f>
        <v>0</v>
      </c>
      <c r="S131" s="681">
        <f t="shared" si="1023"/>
        <v>0</v>
      </c>
      <c r="U131" s="680">
        <f>70713.21/1000</f>
        <v>70.713210000000004</v>
      </c>
      <c r="V131" s="563">
        <f t="shared" si="891"/>
        <v>15.765683395544194</v>
      </c>
      <c r="W131" s="681">
        <f t="shared" si="1024"/>
        <v>6.6270991556949097</v>
      </c>
      <c r="X131" s="681">
        <f t="shared" si="1025"/>
        <v>9.1385842398492834</v>
      </c>
      <c r="Y131" s="681">
        <f t="shared" si="1026"/>
        <v>50.234146989189568</v>
      </c>
      <c r="Z131" s="681">
        <f t="shared" si="1027"/>
        <v>4.7133796152662439</v>
      </c>
      <c r="AA131" s="681">
        <f>U131*AA3</f>
        <v>0</v>
      </c>
      <c r="AC131" s="680"/>
      <c r="AD131" s="563">
        <f t="shared" si="892"/>
        <v>0</v>
      </c>
      <c r="AE131" s="681">
        <f t="shared" si="1028"/>
        <v>0</v>
      </c>
      <c r="AF131" s="681">
        <f t="shared" si="1029"/>
        <v>0</v>
      </c>
      <c r="AG131" s="681">
        <f t="shared" si="1030"/>
        <v>0</v>
      </c>
      <c r="AH131" s="681">
        <f t="shared" si="1031"/>
        <v>0</v>
      </c>
      <c r="AI131" s="681">
        <f>AC131*AI3</f>
        <v>0</v>
      </c>
      <c r="AK131" s="680"/>
      <c r="AL131" s="563">
        <f t="shared" si="897"/>
        <v>0</v>
      </c>
      <c r="AM131" s="681">
        <f t="shared" si="1032"/>
        <v>0</v>
      </c>
      <c r="AN131" s="681">
        <f t="shared" si="1033"/>
        <v>0</v>
      </c>
      <c r="AO131" s="681">
        <f t="shared" si="1034"/>
        <v>0</v>
      </c>
      <c r="AP131" s="681">
        <f t="shared" si="1035"/>
        <v>0</v>
      </c>
      <c r="AQ131" s="681">
        <f>AK131*AQ3</f>
        <v>0</v>
      </c>
      <c r="AS131" s="680">
        <f>125357.14/1000</f>
        <v>125.35714</v>
      </c>
      <c r="AT131" s="563">
        <f t="shared" si="898"/>
        <v>27.948681450197338</v>
      </c>
      <c r="AU131" s="681">
        <f t="shared" si="1036"/>
        <v>11.748217859920778</v>
      </c>
      <c r="AV131" s="681">
        <f t="shared" si="1037"/>
        <v>16.200463590276559</v>
      </c>
      <c r="AW131" s="681">
        <f t="shared" si="1038"/>
        <v>89.052795042176911</v>
      </c>
      <c r="AX131" s="681">
        <f t="shared" si="1039"/>
        <v>8.3556635076257564</v>
      </c>
      <c r="AY131" s="681">
        <f>AS131*AY3</f>
        <v>0</v>
      </c>
      <c r="BA131" s="680"/>
      <c r="BB131" s="563">
        <f t="shared" si="899"/>
        <v>0</v>
      </c>
      <c r="BC131" s="681">
        <f t="shared" si="1040"/>
        <v>0</v>
      </c>
      <c r="BD131" s="681">
        <f t="shared" si="1041"/>
        <v>0</v>
      </c>
      <c r="BE131" s="681">
        <f t="shared" si="1042"/>
        <v>0</v>
      </c>
      <c r="BF131" s="681">
        <f t="shared" si="1043"/>
        <v>0</v>
      </c>
      <c r="BG131" s="681">
        <f>BA131*BG3</f>
        <v>0</v>
      </c>
      <c r="BI131" s="680"/>
      <c r="BJ131" s="563">
        <f t="shared" si="904"/>
        <v>0</v>
      </c>
      <c r="BK131" s="681">
        <f t="shared" si="1044"/>
        <v>0</v>
      </c>
      <c r="BL131" s="681">
        <f t="shared" si="1045"/>
        <v>0</v>
      </c>
      <c r="BM131" s="681">
        <f t="shared" si="1046"/>
        <v>0</v>
      </c>
      <c r="BN131" s="681">
        <f t="shared" si="1047"/>
        <v>0</v>
      </c>
      <c r="BO131" s="681">
        <f>BI131*BO3</f>
        <v>0</v>
      </c>
      <c r="BQ131" s="680"/>
      <c r="BR131" s="563">
        <f t="shared" si="909"/>
        <v>0</v>
      </c>
      <c r="BS131" s="681">
        <f t="shared" si="1048"/>
        <v>0</v>
      </c>
      <c r="BT131" s="681">
        <f t="shared" si="1049"/>
        <v>0</v>
      </c>
      <c r="BU131" s="681">
        <f t="shared" si="1050"/>
        <v>0</v>
      </c>
      <c r="BV131" s="681">
        <f t="shared" si="1051"/>
        <v>0</v>
      </c>
      <c r="BW131" s="681">
        <f>BQ131*BW3</f>
        <v>0</v>
      </c>
      <c r="BY131" s="680"/>
      <c r="BZ131" s="563">
        <f t="shared" si="914"/>
        <v>0</v>
      </c>
      <c r="CA131" s="681">
        <f t="shared" si="1052"/>
        <v>0</v>
      </c>
      <c r="CB131" s="681">
        <f t="shared" si="1053"/>
        <v>0</v>
      </c>
      <c r="CC131" s="681">
        <f t="shared" si="1054"/>
        <v>0</v>
      </c>
      <c r="CD131" s="681">
        <f t="shared" si="1055"/>
        <v>0</v>
      </c>
      <c r="CE131" s="681">
        <f>BY131*CE3</f>
        <v>0</v>
      </c>
      <c r="CG131" s="680"/>
      <c r="CH131" s="560">
        <f t="shared" si="919"/>
        <v>0</v>
      </c>
      <c r="CI131" s="681">
        <f t="shared" si="1056"/>
        <v>0</v>
      </c>
      <c r="CJ131" s="681">
        <f t="shared" si="1057"/>
        <v>0</v>
      </c>
      <c r="CK131" s="681">
        <f t="shared" si="1058"/>
        <v>0</v>
      </c>
      <c r="CL131" s="681">
        <f t="shared" si="1059"/>
        <v>0</v>
      </c>
      <c r="CM131" s="681">
        <f>CG131*CM3</f>
        <v>0</v>
      </c>
      <c r="CN131" s="708"/>
      <c r="CO131" s="680"/>
      <c r="CP131" s="560">
        <f t="shared" si="923"/>
        <v>0</v>
      </c>
      <c r="CQ131" s="681">
        <f t="shared" si="1060"/>
        <v>0</v>
      </c>
      <c r="CR131" s="681">
        <f t="shared" si="1061"/>
        <v>0</v>
      </c>
      <c r="CS131" s="681">
        <f t="shared" si="1062"/>
        <v>0</v>
      </c>
      <c r="CT131" s="681">
        <f t="shared" si="1063"/>
        <v>0</v>
      </c>
      <c r="CU131" s="681">
        <f>CO131*CU3</f>
        <v>0</v>
      </c>
      <c r="CV131" s="708"/>
      <c r="CW131" s="680"/>
      <c r="CX131" s="560">
        <f t="shared" si="928"/>
        <v>0</v>
      </c>
      <c r="CY131" s="681">
        <f t="shared" si="1064"/>
        <v>0</v>
      </c>
      <c r="CZ131" s="681">
        <f t="shared" si="1065"/>
        <v>0</v>
      </c>
      <c r="DA131" s="681">
        <f t="shared" si="1066"/>
        <v>0</v>
      </c>
      <c r="DB131" s="681">
        <f t="shared" si="1067"/>
        <v>0</v>
      </c>
      <c r="DC131" s="681">
        <f>CW131*DC3</f>
        <v>0</v>
      </c>
    </row>
    <row r="132" spans="1:117" s="673" customFormat="1" ht="19.5" customHeight="1" outlineLevel="1">
      <c r="A132" s="674"/>
      <c r="B132" s="678" t="s">
        <v>106</v>
      </c>
      <c r="C132" s="671" t="s">
        <v>9</v>
      </c>
      <c r="D132" s="563">
        <v>281.31712707182322</v>
      </c>
      <c r="E132" s="563">
        <f t="shared" si="889"/>
        <v>62.720342622806108</v>
      </c>
      <c r="F132" s="563">
        <v>26.364472710264423</v>
      </c>
      <c r="G132" s="563">
        <v>36.355869912541685</v>
      </c>
      <c r="H132" s="563">
        <f t="shared" si="977"/>
        <v>207.75690854552997</v>
      </c>
      <c r="I132" s="563">
        <v>10.839875903487158</v>
      </c>
      <c r="J132" s="563"/>
      <c r="K132" s="679" t="s">
        <v>184</v>
      </c>
      <c r="M132" s="680"/>
      <c r="N132" s="563">
        <f t="shared" si="890"/>
        <v>0</v>
      </c>
      <c r="O132" s="681">
        <f>$M$132*$O$3</f>
        <v>0</v>
      </c>
      <c r="P132" s="681">
        <f>$M$132*$P$3</f>
        <v>0</v>
      </c>
      <c r="Q132" s="681">
        <f>$M$132*$Q$3</f>
        <v>0</v>
      </c>
      <c r="R132" s="681">
        <f>$M$132*$R$3</f>
        <v>0</v>
      </c>
      <c r="S132" s="681">
        <f t="shared" si="1023"/>
        <v>0</v>
      </c>
      <c r="U132" s="680"/>
      <c r="V132" s="563">
        <f t="shared" si="891"/>
        <v>0</v>
      </c>
      <c r="W132" s="681">
        <f t="shared" si="1024"/>
        <v>0</v>
      </c>
      <c r="X132" s="681">
        <f t="shared" si="1025"/>
        <v>0</v>
      </c>
      <c r="Y132" s="681">
        <f t="shared" si="1026"/>
        <v>0</v>
      </c>
      <c r="Z132" s="681">
        <f t="shared" si="1027"/>
        <v>0</v>
      </c>
      <c r="AA132" s="681">
        <f>U132*AA3</f>
        <v>0</v>
      </c>
      <c r="AC132" s="680">
        <f>278800/1000</f>
        <v>278.8</v>
      </c>
      <c r="AD132" s="563">
        <f t="shared" si="892"/>
        <v>62.159142975940725</v>
      </c>
      <c r="AE132" s="681">
        <f t="shared" si="1028"/>
        <v>26.128572647285292</v>
      </c>
      <c r="AF132" s="681">
        <f t="shared" si="1029"/>
        <v>36.030570328655429</v>
      </c>
      <c r="AG132" s="681">
        <f t="shared" si="1030"/>
        <v>198.05748007460065</v>
      </c>
      <c r="AH132" s="681">
        <f t="shared" si="1031"/>
        <v>18.58337694945865</v>
      </c>
      <c r="AI132" s="681">
        <f>AC132*AI3</f>
        <v>0</v>
      </c>
      <c r="AK132" s="680"/>
      <c r="AL132" s="563">
        <f t="shared" si="897"/>
        <v>0</v>
      </c>
      <c r="AM132" s="681">
        <f t="shared" si="1032"/>
        <v>0</v>
      </c>
      <c r="AN132" s="681">
        <f t="shared" si="1033"/>
        <v>0</v>
      </c>
      <c r="AO132" s="681">
        <f t="shared" si="1034"/>
        <v>0</v>
      </c>
      <c r="AP132" s="681">
        <f t="shared" si="1035"/>
        <v>0</v>
      </c>
      <c r="AQ132" s="681">
        <f>AK132*AQ3</f>
        <v>0</v>
      </c>
      <c r="AS132" s="680"/>
      <c r="AT132" s="563">
        <f t="shared" si="898"/>
        <v>0</v>
      </c>
      <c r="AU132" s="681">
        <f t="shared" si="1036"/>
        <v>0</v>
      </c>
      <c r="AV132" s="681">
        <f t="shared" si="1037"/>
        <v>0</v>
      </c>
      <c r="AW132" s="681">
        <f t="shared" si="1038"/>
        <v>0</v>
      </c>
      <c r="AX132" s="681">
        <f t="shared" si="1039"/>
        <v>0</v>
      </c>
      <c r="AY132" s="681">
        <f>AS132*AY3</f>
        <v>0</v>
      </c>
      <c r="BA132" s="680"/>
      <c r="BB132" s="563">
        <f t="shared" si="899"/>
        <v>0</v>
      </c>
      <c r="BC132" s="681">
        <f t="shared" si="1040"/>
        <v>0</v>
      </c>
      <c r="BD132" s="681">
        <f t="shared" si="1041"/>
        <v>0</v>
      </c>
      <c r="BE132" s="681">
        <f t="shared" si="1042"/>
        <v>0</v>
      </c>
      <c r="BF132" s="681">
        <f t="shared" si="1043"/>
        <v>0</v>
      </c>
      <c r="BG132" s="681">
        <f>BA132*BG3</f>
        <v>0</v>
      </c>
      <c r="BI132" s="680"/>
      <c r="BJ132" s="563">
        <f t="shared" si="904"/>
        <v>0</v>
      </c>
      <c r="BK132" s="681">
        <f t="shared" si="1044"/>
        <v>0</v>
      </c>
      <c r="BL132" s="681">
        <f t="shared" si="1045"/>
        <v>0</v>
      </c>
      <c r="BM132" s="681">
        <f t="shared" si="1046"/>
        <v>0</v>
      </c>
      <c r="BN132" s="681">
        <f t="shared" si="1047"/>
        <v>0</v>
      </c>
      <c r="BO132" s="681">
        <f>BI132*BO3</f>
        <v>0</v>
      </c>
      <c r="BQ132" s="680"/>
      <c r="BR132" s="563">
        <f t="shared" si="909"/>
        <v>0</v>
      </c>
      <c r="BS132" s="681">
        <f t="shared" si="1048"/>
        <v>0</v>
      </c>
      <c r="BT132" s="681">
        <f t="shared" si="1049"/>
        <v>0</v>
      </c>
      <c r="BU132" s="681">
        <f t="shared" si="1050"/>
        <v>0</v>
      </c>
      <c r="BV132" s="681">
        <f t="shared" si="1051"/>
        <v>0</v>
      </c>
      <c r="BW132" s="681">
        <f>BQ132*BW3</f>
        <v>0</v>
      </c>
      <c r="BY132" s="680"/>
      <c r="BZ132" s="563">
        <f t="shared" si="914"/>
        <v>0</v>
      </c>
      <c r="CA132" s="681">
        <f t="shared" si="1052"/>
        <v>0</v>
      </c>
      <c r="CB132" s="681">
        <f t="shared" si="1053"/>
        <v>0</v>
      </c>
      <c r="CC132" s="681">
        <f t="shared" si="1054"/>
        <v>0</v>
      </c>
      <c r="CD132" s="681">
        <f t="shared" si="1055"/>
        <v>0</v>
      </c>
      <c r="CE132" s="681">
        <f>BY132*CE3</f>
        <v>0</v>
      </c>
      <c r="CG132" s="680"/>
      <c r="CH132" s="560">
        <f t="shared" si="919"/>
        <v>0</v>
      </c>
      <c r="CI132" s="681">
        <f t="shared" si="1056"/>
        <v>0</v>
      </c>
      <c r="CJ132" s="681">
        <f t="shared" si="1057"/>
        <v>0</v>
      </c>
      <c r="CK132" s="681">
        <f t="shared" si="1058"/>
        <v>0</v>
      </c>
      <c r="CL132" s="681">
        <f t="shared" si="1059"/>
        <v>0</v>
      </c>
      <c r="CM132" s="681">
        <f>CG132*CM3</f>
        <v>0</v>
      </c>
      <c r="CN132" s="708"/>
      <c r="CO132" s="680"/>
      <c r="CP132" s="560">
        <f t="shared" si="923"/>
        <v>0</v>
      </c>
      <c r="CQ132" s="681">
        <f t="shared" si="1060"/>
        <v>0</v>
      </c>
      <c r="CR132" s="681">
        <f t="shared" si="1061"/>
        <v>0</v>
      </c>
      <c r="CS132" s="681">
        <f t="shared" si="1062"/>
        <v>0</v>
      </c>
      <c r="CT132" s="681">
        <f t="shared" si="1063"/>
        <v>0</v>
      </c>
      <c r="CU132" s="681">
        <f>CO132*CU3</f>
        <v>0</v>
      </c>
      <c r="CV132" s="708"/>
      <c r="CW132" s="680"/>
      <c r="CX132" s="560">
        <f t="shared" si="928"/>
        <v>0</v>
      </c>
      <c r="CY132" s="681">
        <f t="shared" si="1064"/>
        <v>0</v>
      </c>
      <c r="CZ132" s="681">
        <f t="shared" si="1065"/>
        <v>0</v>
      </c>
      <c r="DA132" s="681">
        <f t="shared" si="1066"/>
        <v>0</v>
      </c>
      <c r="DB132" s="681">
        <f t="shared" si="1067"/>
        <v>0</v>
      </c>
      <c r="DC132" s="681">
        <f>CW132*DC3</f>
        <v>0</v>
      </c>
    </row>
    <row r="133" spans="1:117" s="673" customFormat="1" ht="19.5" customHeight="1">
      <c r="A133" s="674"/>
      <c r="B133" s="678" t="s">
        <v>163</v>
      </c>
      <c r="C133" s="671" t="s">
        <v>9</v>
      </c>
      <c r="D133" s="563">
        <v>15.722651933701659</v>
      </c>
      <c r="E133" s="563">
        <f t="shared" si="889"/>
        <v>3.5054037643755813</v>
      </c>
      <c r="F133" s="563">
        <v>1.4734951695039609</v>
      </c>
      <c r="G133" s="563">
        <v>2.0319085948716205</v>
      </c>
      <c r="H133" s="563">
        <f t="shared" si="977"/>
        <v>11.611413758854741</v>
      </c>
      <c r="I133" s="563">
        <v>0.60583441047133757</v>
      </c>
      <c r="J133" s="563"/>
      <c r="K133" s="679" t="s">
        <v>184</v>
      </c>
      <c r="M133" s="680"/>
      <c r="N133" s="563">
        <f t="shared" si="890"/>
        <v>0</v>
      </c>
      <c r="O133" s="681">
        <f>$M$133*$O$3</f>
        <v>0</v>
      </c>
      <c r="P133" s="681">
        <f>$M$133*$P$3</f>
        <v>0</v>
      </c>
      <c r="Q133" s="681">
        <f>$M$133*$Q$3</f>
        <v>0</v>
      </c>
      <c r="R133" s="681">
        <f>$M$133*$R$3</f>
        <v>0</v>
      </c>
      <c r="S133" s="681">
        <f t="shared" si="1023"/>
        <v>0</v>
      </c>
      <c r="U133" s="680">
        <f>20000/1000</f>
        <v>20</v>
      </c>
      <c r="V133" s="563">
        <f t="shared" si="891"/>
        <v>4.4590489939699225</v>
      </c>
      <c r="W133" s="681">
        <f t="shared" si="1024"/>
        <v>1.8743595873231915</v>
      </c>
      <c r="X133" s="681">
        <f t="shared" si="1025"/>
        <v>2.5846894066467305</v>
      </c>
      <c r="Y133" s="681">
        <f t="shared" si="1026"/>
        <v>14.207853663888137</v>
      </c>
      <c r="Z133" s="681">
        <f t="shared" si="1027"/>
        <v>1.3330973421419403</v>
      </c>
      <c r="AA133" s="681">
        <f>U133*AA3</f>
        <v>0</v>
      </c>
      <c r="AC133" s="680"/>
      <c r="AD133" s="563">
        <f t="shared" si="892"/>
        <v>0</v>
      </c>
      <c r="AE133" s="681">
        <f t="shared" si="1028"/>
        <v>0</v>
      </c>
      <c r="AF133" s="681">
        <f t="shared" si="1029"/>
        <v>0</v>
      </c>
      <c r="AG133" s="681">
        <f t="shared" si="1030"/>
        <v>0</v>
      </c>
      <c r="AH133" s="681">
        <f t="shared" si="1031"/>
        <v>0</v>
      </c>
      <c r="AI133" s="681">
        <f>AC133*AI3</f>
        <v>0</v>
      </c>
      <c r="AK133" s="680">
        <f>20000/1000</f>
        <v>20</v>
      </c>
      <c r="AL133" s="563">
        <f t="shared" si="897"/>
        <v>4.4590489939699225</v>
      </c>
      <c r="AM133" s="681">
        <f t="shared" si="1032"/>
        <v>1.8743595873231915</v>
      </c>
      <c r="AN133" s="681">
        <f t="shared" si="1033"/>
        <v>2.5846894066467305</v>
      </c>
      <c r="AO133" s="681">
        <f t="shared" si="1034"/>
        <v>14.207853663888137</v>
      </c>
      <c r="AP133" s="681">
        <f t="shared" si="1035"/>
        <v>1.3330973421419403</v>
      </c>
      <c r="AQ133" s="681">
        <f>AK133*AQ3</f>
        <v>0</v>
      </c>
      <c r="AS133" s="680">
        <f>50500/1000</f>
        <v>50.5</v>
      </c>
      <c r="AT133" s="563">
        <f t="shared" si="898"/>
        <v>11.259098709774054</v>
      </c>
      <c r="AU133" s="681">
        <f t="shared" si="1036"/>
        <v>4.7327579579910592</v>
      </c>
      <c r="AV133" s="681">
        <f t="shared" si="1037"/>
        <v>6.5263407517829952</v>
      </c>
      <c r="AW133" s="681">
        <f t="shared" si="1038"/>
        <v>35.874830501317547</v>
      </c>
      <c r="AX133" s="681">
        <f t="shared" si="1039"/>
        <v>3.3660707889083996</v>
      </c>
      <c r="AY133" s="681">
        <f>AS133*AY3</f>
        <v>0</v>
      </c>
      <c r="BA133" s="680"/>
      <c r="BB133" s="563">
        <f t="shared" si="899"/>
        <v>0</v>
      </c>
      <c r="BC133" s="681">
        <f t="shared" si="1040"/>
        <v>0</v>
      </c>
      <c r="BD133" s="681">
        <f t="shared" si="1041"/>
        <v>0</v>
      </c>
      <c r="BE133" s="681">
        <f t="shared" si="1042"/>
        <v>0</v>
      </c>
      <c r="BF133" s="681">
        <f t="shared" si="1043"/>
        <v>0</v>
      </c>
      <c r="BG133" s="681">
        <f>BA133*BG3</f>
        <v>0</v>
      </c>
      <c r="BI133" s="680"/>
      <c r="BJ133" s="563">
        <f t="shared" si="904"/>
        <v>0</v>
      </c>
      <c r="BK133" s="681">
        <f t="shared" si="1044"/>
        <v>0</v>
      </c>
      <c r="BL133" s="681">
        <f t="shared" si="1045"/>
        <v>0</v>
      </c>
      <c r="BM133" s="681">
        <f t="shared" si="1046"/>
        <v>0</v>
      </c>
      <c r="BN133" s="681">
        <f t="shared" si="1047"/>
        <v>0</v>
      </c>
      <c r="BO133" s="681">
        <f>BI133*BO3</f>
        <v>0</v>
      </c>
      <c r="BQ133" s="680"/>
      <c r="BR133" s="563">
        <f t="shared" si="909"/>
        <v>0</v>
      </c>
      <c r="BS133" s="681">
        <f t="shared" si="1048"/>
        <v>0</v>
      </c>
      <c r="BT133" s="681">
        <f t="shared" si="1049"/>
        <v>0</v>
      </c>
      <c r="BU133" s="681">
        <f t="shared" si="1050"/>
        <v>0</v>
      </c>
      <c r="BV133" s="681">
        <f t="shared" si="1051"/>
        <v>0</v>
      </c>
      <c r="BW133" s="681">
        <f>BQ133*BW3</f>
        <v>0</v>
      </c>
      <c r="BY133" s="680"/>
      <c r="BZ133" s="563">
        <f t="shared" si="914"/>
        <v>0</v>
      </c>
      <c r="CA133" s="681">
        <f t="shared" si="1052"/>
        <v>0</v>
      </c>
      <c r="CB133" s="681">
        <f t="shared" si="1053"/>
        <v>0</v>
      </c>
      <c r="CC133" s="681">
        <f t="shared" si="1054"/>
        <v>0</v>
      </c>
      <c r="CD133" s="681">
        <f t="shared" si="1055"/>
        <v>0</v>
      </c>
      <c r="CE133" s="681">
        <f>BY133*CE3</f>
        <v>0</v>
      </c>
      <c r="CG133" s="680"/>
      <c r="CH133" s="560">
        <f t="shared" si="919"/>
        <v>0</v>
      </c>
      <c r="CI133" s="681">
        <f t="shared" si="1056"/>
        <v>0</v>
      </c>
      <c r="CJ133" s="681">
        <f t="shared" si="1057"/>
        <v>0</v>
      </c>
      <c r="CK133" s="681">
        <f t="shared" si="1058"/>
        <v>0</v>
      </c>
      <c r="CL133" s="681">
        <f t="shared" si="1059"/>
        <v>0</v>
      </c>
      <c r="CM133" s="681">
        <f>CG133*CM3</f>
        <v>0</v>
      </c>
      <c r="CN133" s="708"/>
      <c r="CO133" s="680"/>
      <c r="CP133" s="560">
        <f t="shared" si="923"/>
        <v>0</v>
      </c>
      <c r="CQ133" s="681">
        <f t="shared" si="1060"/>
        <v>0</v>
      </c>
      <c r="CR133" s="681">
        <f t="shared" si="1061"/>
        <v>0</v>
      </c>
      <c r="CS133" s="681">
        <f t="shared" si="1062"/>
        <v>0</v>
      </c>
      <c r="CT133" s="681">
        <f t="shared" si="1063"/>
        <v>0</v>
      </c>
      <c r="CU133" s="681">
        <f>CO133*CU3</f>
        <v>0</v>
      </c>
      <c r="CV133" s="708"/>
      <c r="CW133" s="680"/>
      <c r="CX133" s="560">
        <f t="shared" si="928"/>
        <v>0</v>
      </c>
      <c r="CY133" s="681">
        <f t="shared" si="1064"/>
        <v>0</v>
      </c>
      <c r="CZ133" s="681">
        <f t="shared" si="1065"/>
        <v>0</v>
      </c>
      <c r="DA133" s="681">
        <f t="shared" si="1066"/>
        <v>0</v>
      </c>
      <c r="DB133" s="681">
        <f t="shared" si="1067"/>
        <v>0</v>
      </c>
      <c r="DC133" s="681">
        <f>CW133*DC3</f>
        <v>0</v>
      </c>
    </row>
    <row r="134" spans="1:117" s="673" customFormat="1" ht="34.5" customHeight="1" outlineLevel="1">
      <c r="A134" s="674"/>
      <c r="B134" s="678" t="s">
        <v>110</v>
      </c>
      <c r="C134" s="671" t="s">
        <v>9</v>
      </c>
      <c r="D134" s="563">
        <v>1606.6637374617142</v>
      </c>
      <c r="E134" s="563">
        <f t="shared" si="889"/>
        <v>507.93102178279742</v>
      </c>
      <c r="F134" s="563">
        <v>258.33896911971215</v>
      </c>
      <c r="G134" s="563">
        <v>249.59205266308524</v>
      </c>
      <c r="H134" s="563">
        <f t="shared" si="977"/>
        <v>1080.3620610092323</v>
      </c>
      <c r="I134" s="563">
        <v>18.37065466968453</v>
      </c>
      <c r="J134" s="563"/>
      <c r="K134" s="739" t="s">
        <v>185</v>
      </c>
      <c r="M134" s="680">
        <f>(42967.31+13392.86+36301.79)/1000</f>
        <v>92.661959999999993</v>
      </c>
      <c r="N134" s="563">
        <f t="shared" si="890"/>
        <v>56.252582794452231</v>
      </c>
      <c r="O134" s="740">
        <f>$M$134*$O$4</f>
        <v>31.297986771018689</v>
      </c>
      <c r="P134" s="740">
        <f>$M$134*$P$4</f>
        <v>24.954596023433542</v>
      </c>
      <c r="Q134" s="740">
        <f>$M$134*$Q$4</f>
        <v>34.411427774087393</v>
      </c>
      <c r="R134" s="740">
        <f>$M$134*$R$4</f>
        <v>1.9979494314603703</v>
      </c>
      <c r="S134" s="740">
        <f>$M$137*$S$4</f>
        <v>0</v>
      </c>
      <c r="U134" s="680">
        <f>(38071.64+5357.15)/1000</f>
        <v>43.428789999999999</v>
      </c>
      <c r="V134" s="563">
        <f t="shared" si="891"/>
        <v>26.364449933261493</v>
      </c>
      <c r="W134" s="740">
        <f>U134*$W$4</f>
        <v>14.668734558402917</v>
      </c>
      <c r="X134" s="740">
        <f>U134*$X$4</f>
        <v>11.695715374858576</v>
      </c>
      <c r="Y134" s="740">
        <f>U134*$Y$4</f>
        <v>16.12794150265124</v>
      </c>
      <c r="Z134" s="740">
        <f>U134*$Z$4</f>
        <v>0.93639856408726752</v>
      </c>
      <c r="AA134" s="740">
        <f>U134*AA4</f>
        <v>0</v>
      </c>
      <c r="AC134" s="680">
        <f>47105/1000</f>
        <v>47.104999999999997</v>
      </c>
      <c r="AD134" s="563">
        <f t="shared" si="892"/>
        <v>28.596178113787712</v>
      </c>
      <c r="AE134" s="740">
        <f>AC134*$AE$4</f>
        <v>15.910430416633053</v>
      </c>
      <c r="AF134" s="740">
        <f>AC134*$AF$4</f>
        <v>12.685747697154659</v>
      </c>
      <c r="AG134" s="740">
        <f>AC134*$AG$4</f>
        <v>17.493157983042735</v>
      </c>
      <c r="AH134" s="740">
        <f>AC134*$AH$4</f>
        <v>1.0156639031695502</v>
      </c>
      <c r="AI134" s="740">
        <f>AC134*AI4</f>
        <v>0</v>
      </c>
      <c r="AK134" s="680">
        <f>55807/1000</f>
        <v>55.807000000000002</v>
      </c>
      <c r="AL134" s="563">
        <f t="shared" si="897"/>
        <v>33.878928181639978</v>
      </c>
      <c r="AM134" s="740">
        <f>AK134*$AM$4</f>
        <v>18.849663310923276</v>
      </c>
      <c r="AN134" s="740">
        <f>AK134*$AN$4</f>
        <v>15.029264870716698</v>
      </c>
      <c r="AO134" s="740">
        <f>AK134*$AO$4</f>
        <v>20.724777997233119</v>
      </c>
      <c r="AP134" s="740">
        <f>AK134*$AP$4</f>
        <v>1.2032938211269102</v>
      </c>
      <c r="AQ134" s="740">
        <f>AK134*AQ4</f>
        <v>0</v>
      </c>
      <c r="AS134" s="680">
        <f>28288/1000+48590.57/1000</f>
        <v>76.878569999999996</v>
      </c>
      <c r="AT134" s="563">
        <f t="shared" si="898"/>
        <v>46.670911386334708</v>
      </c>
      <c r="AU134" s="740">
        <f>AS134*$AU$4</f>
        <v>25.966906666282842</v>
      </c>
      <c r="AV134" s="740">
        <f>AS134*$AV$4</f>
        <v>20.704004720051866</v>
      </c>
      <c r="AW134" s="740">
        <f>AS134*$AW$4</f>
        <v>28.550025910633899</v>
      </c>
      <c r="AX134" s="740">
        <f>AS134*$AX$4</f>
        <v>1.6576327030313873</v>
      </c>
      <c r="AY134" s="740">
        <f>AS134*AY4</f>
        <v>0</v>
      </c>
      <c r="BA134" s="680"/>
      <c r="BB134" s="563" t="e">
        <f t="shared" si="899"/>
        <v>#DIV/0!</v>
      </c>
      <c r="BC134" s="740" t="e">
        <f>BA134*$BC$4</f>
        <v>#DIV/0!</v>
      </c>
      <c r="BD134" s="740" t="e">
        <f>BA134*$BD$4</f>
        <v>#DIV/0!</v>
      </c>
      <c r="BE134" s="740" t="e">
        <f>BA134*$BE$4</f>
        <v>#DIV/0!</v>
      </c>
      <c r="BF134" s="740" t="e">
        <f>BA134*$BF$4</f>
        <v>#DIV/0!</v>
      </c>
      <c r="BG134" s="740" t="e">
        <f>BA134*BG4</f>
        <v>#DIV/0!</v>
      </c>
      <c r="BI134" s="680"/>
      <c r="BJ134" s="563" t="e">
        <f t="shared" si="904"/>
        <v>#DIV/0!</v>
      </c>
      <c r="BK134" s="740" t="e">
        <f>BI134*$BK$4</f>
        <v>#DIV/0!</v>
      </c>
      <c r="BL134" s="740" t="e">
        <f>BI134*$BL$4</f>
        <v>#DIV/0!</v>
      </c>
      <c r="BM134" s="740" t="e">
        <f>BI134*$BM$4</f>
        <v>#DIV/0!</v>
      </c>
      <c r="BN134" s="740" t="e">
        <f>BI134*$BN$4</f>
        <v>#DIV/0!</v>
      </c>
      <c r="BO134" s="740" t="e">
        <f>BI134*BO4</f>
        <v>#DIV/0!</v>
      </c>
      <c r="BQ134" s="680"/>
      <c r="BR134" s="563" t="e">
        <f t="shared" si="909"/>
        <v>#DIV/0!</v>
      </c>
      <c r="BS134" s="740" t="e">
        <f>BQ134*$BS$4</f>
        <v>#DIV/0!</v>
      </c>
      <c r="BT134" s="740" t="e">
        <f>BQ134*$BT$4</f>
        <v>#DIV/0!</v>
      </c>
      <c r="BU134" s="740" t="e">
        <f>BQ134*$BU$4</f>
        <v>#DIV/0!</v>
      </c>
      <c r="BV134" s="740" t="e">
        <f>BQ134*$BV$4</f>
        <v>#DIV/0!</v>
      </c>
      <c r="BW134" s="740" t="e">
        <f>BQ134*BW4</f>
        <v>#DIV/0!</v>
      </c>
      <c r="BY134" s="680"/>
      <c r="BZ134" s="563" t="e">
        <f t="shared" si="914"/>
        <v>#DIV/0!</v>
      </c>
      <c r="CA134" s="740" t="e">
        <f>BY134*$CA$4</f>
        <v>#DIV/0!</v>
      </c>
      <c r="CB134" s="740" t="e">
        <f>BY134*$CB$4</f>
        <v>#DIV/0!</v>
      </c>
      <c r="CC134" s="740" t="e">
        <f>BY134*$CC$4</f>
        <v>#DIV/0!</v>
      </c>
      <c r="CD134" s="740" t="e">
        <f>BY134*$CD$4</f>
        <v>#DIV/0!</v>
      </c>
      <c r="CE134" s="740" t="e">
        <f>BY134*CE4</f>
        <v>#DIV/0!</v>
      </c>
      <c r="CG134" s="680"/>
      <c r="CH134" s="563" t="e">
        <f t="shared" si="919"/>
        <v>#DIV/0!</v>
      </c>
      <c r="CI134" s="740" t="e">
        <f>CG134*$CI$4</f>
        <v>#DIV/0!</v>
      </c>
      <c r="CJ134" s="740" t="e">
        <f>CG134*$CJ$4</f>
        <v>#DIV/0!</v>
      </c>
      <c r="CK134" s="740" t="e">
        <f>CG134*CK$4</f>
        <v>#DIV/0!</v>
      </c>
      <c r="CL134" s="740" t="e">
        <f>CG134*$CL$4</f>
        <v>#DIV/0!</v>
      </c>
      <c r="CM134" s="740" t="e">
        <f>CG134*CM4</f>
        <v>#DIV/0!</v>
      </c>
      <c r="CO134" s="680"/>
      <c r="CP134" s="563" t="e">
        <f t="shared" si="923"/>
        <v>#DIV/0!</v>
      </c>
      <c r="CQ134" s="740" t="e">
        <f>CO134*$CQ$4</f>
        <v>#DIV/0!</v>
      </c>
      <c r="CR134" s="740" t="e">
        <f>CO134*$CR$4</f>
        <v>#DIV/0!</v>
      </c>
      <c r="CS134" s="740" t="e">
        <f>CO134*$CS$4</f>
        <v>#DIV/0!</v>
      </c>
      <c r="CT134" s="740" t="e">
        <f>CO134*$CT$4</f>
        <v>#DIV/0!</v>
      </c>
      <c r="CU134" s="740" t="e">
        <f>CO134*CU4</f>
        <v>#DIV/0!</v>
      </c>
      <c r="CW134" s="680"/>
      <c r="CX134" s="563" t="e">
        <f t="shared" si="928"/>
        <v>#DIV/0!</v>
      </c>
      <c r="CY134" s="740" t="e">
        <f>CW134*$CY$4</f>
        <v>#DIV/0!</v>
      </c>
      <c r="CZ134" s="740" t="e">
        <f>CW134*$CZ$4</f>
        <v>#DIV/0!</v>
      </c>
      <c r="DA134" s="740" t="e">
        <f>CW134*$DA$4</f>
        <v>#DIV/0!</v>
      </c>
      <c r="DB134" s="740" t="e">
        <f>CW134*$DB$4</f>
        <v>#DIV/0!</v>
      </c>
      <c r="DC134" s="740" t="e">
        <f>CW134*DC4</f>
        <v>#DIV/0!</v>
      </c>
    </row>
    <row r="135" spans="1:117" s="673" customFormat="1" ht="24" customHeight="1" outlineLevel="1">
      <c r="A135" s="674"/>
      <c r="B135" s="678" t="s">
        <v>164</v>
      </c>
      <c r="C135" s="671" t="s">
        <v>9</v>
      </c>
      <c r="D135" s="563">
        <v>210</v>
      </c>
      <c r="E135" s="563">
        <f t="shared" si="889"/>
        <v>46.82001443668419</v>
      </c>
      <c r="F135" s="563">
        <v>19.680775666893513</v>
      </c>
      <c r="G135" s="563">
        <v>27.139238769790673</v>
      </c>
      <c r="H135" s="563">
        <f t="shared" si="977"/>
        <v>155.08814286811042</v>
      </c>
      <c r="I135" s="563">
        <v>8.0918426952054041</v>
      </c>
      <c r="J135" s="563"/>
      <c r="K135" s="679" t="s">
        <v>184</v>
      </c>
      <c r="M135" s="680"/>
      <c r="N135" s="563">
        <f t="shared" si="890"/>
        <v>0</v>
      </c>
      <c r="O135" s="681">
        <f>$M$135*$O$3</f>
        <v>0</v>
      </c>
      <c r="P135" s="681">
        <f>$M$135*$P$3</f>
        <v>0</v>
      </c>
      <c r="Q135" s="681">
        <f>$M$135*$Q$3</f>
        <v>0</v>
      </c>
      <c r="R135" s="681">
        <f>$M$135*$R$3</f>
        <v>0</v>
      </c>
      <c r="S135" s="681">
        <f t="shared" ref="S135:S136" si="1068">$M$16*$S$3</f>
        <v>0</v>
      </c>
      <c r="U135" s="680"/>
      <c r="V135" s="563">
        <f t="shared" si="891"/>
        <v>0</v>
      </c>
      <c r="W135" s="681">
        <f t="shared" ref="W135:W136" si="1069">U135*$W$3</f>
        <v>0</v>
      </c>
      <c r="X135" s="681">
        <f t="shared" ref="X135:X136" si="1070">U135*$X$3</f>
        <v>0</v>
      </c>
      <c r="Y135" s="681">
        <f t="shared" ref="Y135:Y136" si="1071">U135*$Y$3</f>
        <v>0</v>
      </c>
      <c r="Z135" s="681">
        <f t="shared" ref="Z135:Z136" si="1072">U135*$Z$3</f>
        <v>0</v>
      </c>
      <c r="AA135" s="681">
        <f>U135*AA3</f>
        <v>0</v>
      </c>
      <c r="AC135" s="680"/>
      <c r="AD135" s="563">
        <f t="shared" si="892"/>
        <v>0</v>
      </c>
      <c r="AE135" s="681">
        <f t="shared" ref="AE135:AE136" si="1073">AC135*$AE$3</f>
        <v>0</v>
      </c>
      <c r="AF135" s="681">
        <f t="shared" ref="AF135:AF136" si="1074">AC135*$AF$3</f>
        <v>0</v>
      </c>
      <c r="AG135" s="681">
        <f t="shared" ref="AG135:AG136" si="1075">AC135*$AG$3</f>
        <v>0</v>
      </c>
      <c r="AH135" s="681">
        <f t="shared" ref="AH135:AH136" si="1076">AC135*$AH$3</f>
        <v>0</v>
      </c>
      <c r="AI135" s="681">
        <f>AC135*AI3</f>
        <v>0</v>
      </c>
      <c r="AK135" s="680">
        <f>127652/1000</f>
        <v>127.652</v>
      </c>
      <c r="AL135" s="563">
        <f t="shared" si="897"/>
        <v>28.460326108912426</v>
      </c>
      <c r="AM135" s="681">
        <f t="shared" ref="AM135:AM136" si="1077">AK135*$AM$3</f>
        <v>11.963287502049003</v>
      </c>
      <c r="AN135" s="681">
        <f t="shared" ref="AN135:AN136" si="1078">AK135*$AN$3</f>
        <v>16.497038606863423</v>
      </c>
      <c r="AO135" s="681">
        <f t="shared" ref="AO135:AO136" si="1079">AK135*$AO$3</f>
        <v>90.683046795132427</v>
      </c>
      <c r="AP135" s="681">
        <f t="shared" ref="AP135:AP136" si="1080">AK135*$AP$3</f>
        <v>8.5086270959551484</v>
      </c>
      <c r="AQ135" s="681">
        <f>AK135*AQ3</f>
        <v>0</v>
      </c>
      <c r="AS135" s="680"/>
      <c r="AT135" s="563">
        <f t="shared" si="898"/>
        <v>0</v>
      </c>
      <c r="AU135" s="681">
        <f t="shared" ref="AU135:AU136" si="1081">AS135*$AU$3</f>
        <v>0</v>
      </c>
      <c r="AV135" s="681">
        <f t="shared" ref="AV135:AV136" si="1082">AS135*$AV$3</f>
        <v>0</v>
      </c>
      <c r="AW135" s="681">
        <f t="shared" ref="AW135:AW136" si="1083">AS135*$AW$3</f>
        <v>0</v>
      </c>
      <c r="AX135" s="681">
        <f t="shared" ref="AX135:AX136" si="1084">AS135*$AX$3</f>
        <v>0</v>
      </c>
      <c r="AY135" s="681">
        <f>AS135*AY3</f>
        <v>0</v>
      </c>
      <c r="BA135" s="680"/>
      <c r="BB135" s="563">
        <f t="shared" si="899"/>
        <v>0</v>
      </c>
      <c r="BC135" s="681">
        <f t="shared" ref="BC135:BC136" si="1085">BA135*$BC$3</f>
        <v>0</v>
      </c>
      <c r="BD135" s="681">
        <f t="shared" ref="BD135:BD136" si="1086">BA135*$BD$3</f>
        <v>0</v>
      </c>
      <c r="BE135" s="681">
        <f t="shared" ref="BE135:BE136" si="1087">BA135*$BE$3</f>
        <v>0</v>
      </c>
      <c r="BF135" s="681">
        <f t="shared" ref="BF135:BF136" si="1088">BA135*$BF$3</f>
        <v>0</v>
      </c>
      <c r="BG135" s="681">
        <f>BA135*BG3</f>
        <v>0</v>
      </c>
      <c r="BI135" s="680"/>
      <c r="BJ135" s="563">
        <f t="shared" si="904"/>
        <v>0</v>
      </c>
      <c r="BK135" s="681">
        <f t="shared" ref="BK135:BK136" si="1089">BI135*$BK$3</f>
        <v>0</v>
      </c>
      <c r="BL135" s="681">
        <f t="shared" ref="BL135:BL136" si="1090">BI135*$BL$3</f>
        <v>0</v>
      </c>
      <c r="BM135" s="681">
        <f t="shared" ref="BM135:BM136" si="1091">BI135*$BM$3</f>
        <v>0</v>
      </c>
      <c r="BN135" s="681">
        <f t="shared" ref="BN135:BN136" si="1092">BI135*$BN$3</f>
        <v>0</v>
      </c>
      <c r="BO135" s="681">
        <f>BI135*BO3</f>
        <v>0</v>
      </c>
      <c r="BQ135" s="680"/>
      <c r="BR135" s="563">
        <f t="shared" si="909"/>
        <v>0</v>
      </c>
      <c r="BS135" s="681">
        <f t="shared" ref="BS135:BS136" si="1093">BQ135*$BS$3</f>
        <v>0</v>
      </c>
      <c r="BT135" s="681">
        <f t="shared" ref="BT135:BT136" si="1094">BQ135*$BT$3</f>
        <v>0</v>
      </c>
      <c r="BU135" s="681">
        <f t="shared" ref="BU135:BU136" si="1095">BQ135*$BU$3</f>
        <v>0</v>
      </c>
      <c r="BV135" s="681">
        <f t="shared" ref="BV135:BV136" si="1096">BQ135*$BV$3</f>
        <v>0</v>
      </c>
      <c r="BW135" s="681">
        <f>BQ135*BW3</f>
        <v>0</v>
      </c>
      <c r="BY135" s="680"/>
      <c r="BZ135" s="563">
        <f t="shared" si="914"/>
        <v>0</v>
      </c>
      <c r="CA135" s="681">
        <f t="shared" ref="CA135:CA136" si="1097">BY135*$CA$3</f>
        <v>0</v>
      </c>
      <c r="CB135" s="681">
        <f t="shared" ref="CB135:CB136" si="1098">BY135*$CB$3</f>
        <v>0</v>
      </c>
      <c r="CC135" s="681">
        <f t="shared" ref="CC135:CC136" si="1099">BY135*$CC$3</f>
        <v>0</v>
      </c>
      <c r="CD135" s="681">
        <f t="shared" ref="CD135:CD136" si="1100">BY135*$CD$3</f>
        <v>0</v>
      </c>
      <c r="CE135" s="681">
        <f>BY135*CE3</f>
        <v>0</v>
      </c>
      <c r="CG135" s="680"/>
      <c r="CH135" s="560">
        <f t="shared" si="919"/>
        <v>0</v>
      </c>
      <c r="CI135" s="681">
        <f t="shared" ref="CI135:CI136" si="1101">CG135*$CI$3</f>
        <v>0</v>
      </c>
      <c r="CJ135" s="681">
        <f t="shared" ref="CJ135:CJ136" si="1102">CG135*$CJ$3</f>
        <v>0</v>
      </c>
      <c r="CK135" s="681">
        <f t="shared" ref="CK135:CK136" si="1103">CG135*$CK$3</f>
        <v>0</v>
      </c>
      <c r="CL135" s="681">
        <f t="shared" ref="CL135:CL136" si="1104">CG135*$CL$3</f>
        <v>0</v>
      </c>
      <c r="CM135" s="681">
        <f>CG135*CM3</f>
        <v>0</v>
      </c>
      <c r="CN135" s="708"/>
      <c r="CO135" s="680"/>
      <c r="CP135" s="560">
        <f t="shared" si="923"/>
        <v>0</v>
      </c>
      <c r="CQ135" s="681">
        <f t="shared" ref="CQ135:CQ136" si="1105">CO135*$CQ$3</f>
        <v>0</v>
      </c>
      <c r="CR135" s="681">
        <f t="shared" ref="CR135:CR136" si="1106">CO135*$CR$3</f>
        <v>0</v>
      </c>
      <c r="CS135" s="681">
        <f t="shared" ref="CS135:CS136" si="1107">CO135*$CS$3</f>
        <v>0</v>
      </c>
      <c r="CT135" s="681">
        <f t="shared" ref="CT135:CT136" si="1108">CO135*$CT$3</f>
        <v>0</v>
      </c>
      <c r="CU135" s="681">
        <f>CO135*CU3</f>
        <v>0</v>
      </c>
      <c r="CV135" s="708"/>
      <c r="CW135" s="680"/>
      <c r="CX135" s="560">
        <f t="shared" si="928"/>
        <v>0</v>
      </c>
      <c r="CY135" s="681">
        <f t="shared" ref="CY135:CY136" si="1109">CW135*$CY$3</f>
        <v>0</v>
      </c>
      <c r="CZ135" s="681">
        <f t="shared" ref="CZ135:CZ136" si="1110">CW135*$CZ$3</f>
        <v>0</v>
      </c>
      <c r="DA135" s="681">
        <f t="shared" ref="DA135:DA136" si="1111">CW135*$DA$3</f>
        <v>0</v>
      </c>
      <c r="DB135" s="681">
        <f t="shared" ref="DB135:DB136" si="1112">CW135*$DB$3</f>
        <v>0</v>
      </c>
      <c r="DC135" s="681">
        <f>CW135*DC3</f>
        <v>0</v>
      </c>
    </row>
    <row r="136" spans="1:117" s="673" customFormat="1" outlineLevel="1">
      <c r="A136" s="674"/>
      <c r="B136" s="678" t="s">
        <v>130</v>
      </c>
      <c r="C136" s="671"/>
      <c r="D136" s="563">
        <v>93.500000000000014</v>
      </c>
      <c r="E136" s="563">
        <f t="shared" si="889"/>
        <v>21.16263107073592</v>
      </c>
      <c r="F136" s="563">
        <v>8.7626310707359192</v>
      </c>
      <c r="G136" s="563">
        <v>12.4</v>
      </c>
      <c r="H136" s="563">
        <f t="shared" si="977"/>
        <v>68.734572300684533</v>
      </c>
      <c r="I136" s="563">
        <v>3.6027966285795494</v>
      </c>
      <c r="J136" s="563"/>
      <c r="K136" s="679" t="s">
        <v>184</v>
      </c>
      <c r="M136" s="680"/>
      <c r="N136" s="563">
        <f t="shared" si="890"/>
        <v>0</v>
      </c>
      <c r="O136" s="681">
        <f>$M$136*$O$3</f>
        <v>0</v>
      </c>
      <c r="P136" s="681">
        <f>$M$136*$P$3</f>
        <v>0</v>
      </c>
      <c r="Q136" s="681">
        <f>$M$136*$Q$3</f>
        <v>0</v>
      </c>
      <c r="R136" s="681">
        <f>$M$136*$R$3</f>
        <v>0</v>
      </c>
      <c r="S136" s="681">
        <f t="shared" si="1068"/>
        <v>0</v>
      </c>
      <c r="U136" s="680"/>
      <c r="V136" s="563">
        <f t="shared" si="891"/>
        <v>0</v>
      </c>
      <c r="W136" s="681">
        <f t="shared" si="1069"/>
        <v>0</v>
      </c>
      <c r="X136" s="681">
        <f t="shared" si="1070"/>
        <v>0</v>
      </c>
      <c r="Y136" s="681">
        <f t="shared" si="1071"/>
        <v>0</v>
      </c>
      <c r="Z136" s="681">
        <f t="shared" si="1072"/>
        <v>0</v>
      </c>
      <c r="AA136" s="681">
        <f>U136*AA3</f>
        <v>0</v>
      </c>
      <c r="AC136" s="680"/>
      <c r="AD136" s="563">
        <f t="shared" si="892"/>
        <v>0</v>
      </c>
      <c r="AE136" s="681">
        <f t="shared" si="1073"/>
        <v>0</v>
      </c>
      <c r="AF136" s="681">
        <f t="shared" si="1074"/>
        <v>0</v>
      </c>
      <c r="AG136" s="681">
        <f t="shared" si="1075"/>
        <v>0</v>
      </c>
      <c r="AH136" s="681">
        <f t="shared" si="1076"/>
        <v>0</v>
      </c>
      <c r="AI136" s="681">
        <f>AC136*AI3</f>
        <v>0</v>
      </c>
      <c r="AK136" s="680"/>
      <c r="AL136" s="563">
        <f t="shared" si="897"/>
        <v>0</v>
      </c>
      <c r="AM136" s="681">
        <f t="shared" si="1077"/>
        <v>0</v>
      </c>
      <c r="AN136" s="681">
        <f t="shared" si="1078"/>
        <v>0</v>
      </c>
      <c r="AO136" s="681">
        <f t="shared" si="1079"/>
        <v>0</v>
      </c>
      <c r="AP136" s="681">
        <f t="shared" si="1080"/>
        <v>0</v>
      </c>
      <c r="AQ136" s="681">
        <f>AK136*AQ3</f>
        <v>0</v>
      </c>
      <c r="AS136" s="680"/>
      <c r="AT136" s="563">
        <f t="shared" si="898"/>
        <v>0</v>
      </c>
      <c r="AU136" s="681">
        <f t="shared" si="1081"/>
        <v>0</v>
      </c>
      <c r="AV136" s="681">
        <f t="shared" si="1082"/>
        <v>0</v>
      </c>
      <c r="AW136" s="681">
        <f t="shared" si="1083"/>
        <v>0</v>
      </c>
      <c r="AX136" s="681">
        <f t="shared" si="1084"/>
        <v>0</v>
      </c>
      <c r="AY136" s="681">
        <f>AS136*AY3</f>
        <v>0</v>
      </c>
      <c r="BA136" s="680"/>
      <c r="BB136" s="563">
        <f t="shared" si="899"/>
        <v>0</v>
      </c>
      <c r="BC136" s="681">
        <f t="shared" si="1085"/>
        <v>0</v>
      </c>
      <c r="BD136" s="681">
        <f t="shared" si="1086"/>
        <v>0</v>
      </c>
      <c r="BE136" s="681">
        <f t="shared" si="1087"/>
        <v>0</v>
      </c>
      <c r="BF136" s="681">
        <f t="shared" si="1088"/>
        <v>0</v>
      </c>
      <c r="BG136" s="681">
        <f>BA136*BG3</f>
        <v>0</v>
      </c>
      <c r="BI136" s="680"/>
      <c r="BJ136" s="563">
        <f t="shared" si="904"/>
        <v>0</v>
      </c>
      <c r="BK136" s="681">
        <f t="shared" si="1089"/>
        <v>0</v>
      </c>
      <c r="BL136" s="681">
        <f t="shared" si="1090"/>
        <v>0</v>
      </c>
      <c r="BM136" s="681">
        <f t="shared" si="1091"/>
        <v>0</v>
      </c>
      <c r="BN136" s="681">
        <f t="shared" si="1092"/>
        <v>0</v>
      </c>
      <c r="BO136" s="681">
        <f>BI136*BO3</f>
        <v>0</v>
      </c>
      <c r="BQ136" s="680"/>
      <c r="BR136" s="563">
        <f t="shared" si="909"/>
        <v>0</v>
      </c>
      <c r="BS136" s="681">
        <f t="shared" si="1093"/>
        <v>0</v>
      </c>
      <c r="BT136" s="681">
        <f t="shared" si="1094"/>
        <v>0</v>
      </c>
      <c r="BU136" s="681">
        <f t="shared" si="1095"/>
        <v>0</v>
      </c>
      <c r="BV136" s="681">
        <f t="shared" si="1096"/>
        <v>0</v>
      </c>
      <c r="BW136" s="681">
        <f>BQ136*BW3</f>
        <v>0</v>
      </c>
      <c r="BY136" s="680"/>
      <c r="BZ136" s="563">
        <f t="shared" si="914"/>
        <v>0</v>
      </c>
      <c r="CA136" s="681">
        <f t="shared" si="1097"/>
        <v>0</v>
      </c>
      <c r="CB136" s="681">
        <f t="shared" si="1098"/>
        <v>0</v>
      </c>
      <c r="CC136" s="681">
        <f t="shared" si="1099"/>
        <v>0</v>
      </c>
      <c r="CD136" s="681">
        <f t="shared" si="1100"/>
        <v>0</v>
      </c>
      <c r="CE136" s="681">
        <f>BY136*CE3</f>
        <v>0</v>
      </c>
      <c r="CG136" s="680"/>
      <c r="CH136" s="560">
        <f t="shared" si="919"/>
        <v>0</v>
      </c>
      <c r="CI136" s="681">
        <f t="shared" si="1101"/>
        <v>0</v>
      </c>
      <c r="CJ136" s="681">
        <f t="shared" si="1102"/>
        <v>0</v>
      </c>
      <c r="CK136" s="681">
        <f t="shared" si="1103"/>
        <v>0</v>
      </c>
      <c r="CL136" s="681">
        <f t="shared" si="1104"/>
        <v>0</v>
      </c>
      <c r="CM136" s="681">
        <f>CG136*CM3</f>
        <v>0</v>
      </c>
      <c r="CN136" s="708"/>
      <c r="CO136" s="680"/>
      <c r="CP136" s="560">
        <f t="shared" si="923"/>
        <v>0</v>
      </c>
      <c r="CQ136" s="681">
        <f t="shared" si="1105"/>
        <v>0</v>
      </c>
      <c r="CR136" s="681">
        <f t="shared" si="1106"/>
        <v>0</v>
      </c>
      <c r="CS136" s="681">
        <f t="shared" si="1107"/>
        <v>0</v>
      </c>
      <c r="CT136" s="681">
        <f t="shared" si="1108"/>
        <v>0</v>
      </c>
      <c r="CU136" s="681">
        <f>CO136*CU3</f>
        <v>0</v>
      </c>
      <c r="CV136" s="708"/>
      <c r="CW136" s="680"/>
      <c r="CX136" s="560">
        <f t="shared" si="928"/>
        <v>0</v>
      </c>
      <c r="CY136" s="681">
        <f t="shared" si="1109"/>
        <v>0</v>
      </c>
      <c r="CZ136" s="681">
        <f t="shared" si="1110"/>
        <v>0</v>
      </c>
      <c r="DA136" s="681">
        <f t="shared" si="1111"/>
        <v>0</v>
      </c>
      <c r="DB136" s="681">
        <f t="shared" si="1112"/>
        <v>0</v>
      </c>
      <c r="DC136" s="681">
        <f>CW136*DC3</f>
        <v>0</v>
      </c>
    </row>
    <row r="137" spans="1:117" s="673" customFormat="1" ht="20.25" customHeight="1" outlineLevel="1">
      <c r="A137" s="674"/>
      <c r="B137" s="678" t="s">
        <v>94</v>
      </c>
      <c r="C137" s="671"/>
      <c r="D137" s="563">
        <v>207.94168329858695</v>
      </c>
      <c r="E137" s="563">
        <f t="shared" si="889"/>
        <v>65.738728774665589</v>
      </c>
      <c r="F137" s="563">
        <v>33.435397120024142</v>
      </c>
      <c r="G137" s="563">
        <v>32.30333165464144</v>
      </c>
      <c r="H137" s="563">
        <f t="shared" si="977"/>
        <v>139.82534135805363</v>
      </c>
      <c r="I137" s="563">
        <v>2.3776131658677437</v>
      </c>
      <c r="J137" s="563"/>
      <c r="K137" s="739" t="s">
        <v>185</v>
      </c>
      <c r="M137" s="680"/>
      <c r="N137" s="563">
        <f t="shared" si="890"/>
        <v>0</v>
      </c>
      <c r="O137" s="740">
        <f>$M$137*$O$4</f>
        <v>0</v>
      </c>
      <c r="P137" s="740">
        <f>$M$137*$P$4</f>
        <v>0</v>
      </c>
      <c r="Q137" s="740">
        <f>$M$137*$Q$4</f>
        <v>0</v>
      </c>
      <c r="R137" s="740">
        <f>$M$137*$R$4</f>
        <v>0</v>
      </c>
      <c r="S137" s="740">
        <f>$M$137*$S$4</f>
        <v>0</v>
      </c>
      <c r="U137" s="680"/>
      <c r="V137" s="563">
        <f t="shared" si="891"/>
        <v>0</v>
      </c>
      <c r="W137" s="740">
        <f>U137*$W$4</f>
        <v>0</v>
      </c>
      <c r="X137" s="740">
        <f>U137*$X$4</f>
        <v>0</v>
      </c>
      <c r="Y137" s="740">
        <f>U137*$Y$4</f>
        <v>0</v>
      </c>
      <c r="Z137" s="740">
        <f>U137*$Z$4</f>
        <v>0</v>
      </c>
      <c r="AA137" s="740">
        <f>U137*AA4</f>
        <v>0</v>
      </c>
      <c r="AC137" s="680"/>
      <c r="AD137" s="563">
        <f t="shared" si="892"/>
        <v>0</v>
      </c>
      <c r="AE137" s="740">
        <f>AC137*$AE$4</f>
        <v>0</v>
      </c>
      <c r="AF137" s="740">
        <f>AC137*$AF$4</f>
        <v>0</v>
      </c>
      <c r="AG137" s="740">
        <f>AC137*$AG$4</f>
        <v>0</v>
      </c>
      <c r="AH137" s="740">
        <f>AC137*$AH$4</f>
        <v>0</v>
      </c>
      <c r="AI137" s="740">
        <f>AC137*AI4</f>
        <v>0</v>
      </c>
      <c r="AK137" s="680"/>
      <c r="AL137" s="563">
        <f t="shared" si="897"/>
        <v>0</v>
      </c>
      <c r="AM137" s="740">
        <f>AK137*$AM$4</f>
        <v>0</v>
      </c>
      <c r="AN137" s="740">
        <f>AK137*$AN$4</f>
        <v>0</v>
      </c>
      <c r="AO137" s="740">
        <f>AK137*$AO$4</f>
        <v>0</v>
      </c>
      <c r="AP137" s="740">
        <f>AK137*$AP$4</f>
        <v>0</v>
      </c>
      <c r="AQ137" s="740">
        <f>AK137*AQ4</f>
        <v>0</v>
      </c>
      <c r="AS137" s="680">
        <f>43958/1000</f>
        <v>43.957999999999998</v>
      </c>
      <c r="AT137" s="563">
        <f t="shared" si="898"/>
        <v>26.685719085572238</v>
      </c>
      <c r="AU137" s="740">
        <f>AS137*$AU$4</f>
        <v>14.84748328742927</v>
      </c>
      <c r="AV137" s="740">
        <f>AS137*$AV$4</f>
        <v>11.838235798142968</v>
      </c>
      <c r="AW137" s="740">
        <f>AS137*$AW$4</f>
        <v>16.32447168280634</v>
      </c>
      <c r="AX137" s="740">
        <f>AS137*$AX$4</f>
        <v>0.94780923162142217</v>
      </c>
      <c r="AY137" s="740">
        <f>AS137*AY4</f>
        <v>0</v>
      </c>
      <c r="BA137" s="680"/>
      <c r="BB137" s="563" t="e">
        <f t="shared" si="899"/>
        <v>#DIV/0!</v>
      </c>
      <c r="BC137" s="740" t="e">
        <f>BA137*$BC$4</f>
        <v>#DIV/0!</v>
      </c>
      <c r="BD137" s="740" t="e">
        <f>BA137*$BD$4</f>
        <v>#DIV/0!</v>
      </c>
      <c r="BE137" s="740" t="e">
        <f>BA137*$BE$4</f>
        <v>#DIV/0!</v>
      </c>
      <c r="BF137" s="740" t="e">
        <f>BA137*$BF$4</f>
        <v>#DIV/0!</v>
      </c>
      <c r="BG137" s="740" t="e">
        <f>BA137*BG4</f>
        <v>#DIV/0!</v>
      </c>
      <c r="BI137" s="680"/>
      <c r="BJ137" s="563" t="e">
        <f t="shared" si="904"/>
        <v>#DIV/0!</v>
      </c>
      <c r="BK137" s="740" t="e">
        <f>BI137*$BK$4</f>
        <v>#DIV/0!</v>
      </c>
      <c r="BL137" s="740" t="e">
        <f>BI137*$BL$4</f>
        <v>#DIV/0!</v>
      </c>
      <c r="BM137" s="740" t="e">
        <f>BI137*$BM$4</f>
        <v>#DIV/0!</v>
      </c>
      <c r="BN137" s="740" t="e">
        <f>BI137*$BN$4</f>
        <v>#DIV/0!</v>
      </c>
      <c r="BO137" s="740" t="e">
        <f>BI137*BO4</f>
        <v>#DIV/0!</v>
      </c>
      <c r="BQ137" s="680"/>
      <c r="BR137" s="563" t="e">
        <f t="shared" si="909"/>
        <v>#DIV/0!</v>
      </c>
      <c r="BS137" s="740" t="e">
        <f>BQ137*$BS$4</f>
        <v>#DIV/0!</v>
      </c>
      <c r="BT137" s="740" t="e">
        <f>BQ137*$BT$4</f>
        <v>#DIV/0!</v>
      </c>
      <c r="BU137" s="740" t="e">
        <f>BQ137*$BU$4</f>
        <v>#DIV/0!</v>
      </c>
      <c r="BV137" s="740" t="e">
        <f>BQ137*$BV$4</f>
        <v>#DIV/0!</v>
      </c>
      <c r="BW137" s="740" t="e">
        <f>BQ137*BW4</f>
        <v>#DIV/0!</v>
      </c>
      <c r="BY137" s="680"/>
      <c r="BZ137" s="563" t="e">
        <f t="shared" si="914"/>
        <v>#DIV/0!</v>
      </c>
      <c r="CA137" s="740" t="e">
        <f>BY137*$CA$4</f>
        <v>#DIV/0!</v>
      </c>
      <c r="CB137" s="740" t="e">
        <f>BY137*$CB$4</f>
        <v>#DIV/0!</v>
      </c>
      <c r="CC137" s="740" t="e">
        <f>BY137*$CC$4</f>
        <v>#DIV/0!</v>
      </c>
      <c r="CD137" s="740" t="e">
        <f>BY137*$CD$4</f>
        <v>#DIV/0!</v>
      </c>
      <c r="CE137" s="740" t="e">
        <f>BY137*CE4</f>
        <v>#DIV/0!</v>
      </c>
      <c r="CG137" s="680"/>
      <c r="CH137" s="563" t="e">
        <f t="shared" si="919"/>
        <v>#DIV/0!</v>
      </c>
      <c r="CI137" s="740" t="e">
        <f>CG137*$CI$4</f>
        <v>#DIV/0!</v>
      </c>
      <c r="CJ137" s="740" t="e">
        <f>CG137*$CJ$4</f>
        <v>#DIV/0!</v>
      </c>
      <c r="CK137" s="740" t="e">
        <f>CG137*CK$4</f>
        <v>#DIV/0!</v>
      </c>
      <c r="CL137" s="740" t="e">
        <f>CG137*$CL$4</f>
        <v>#DIV/0!</v>
      </c>
      <c r="CM137" s="740" t="e">
        <f>CG137*CM4</f>
        <v>#DIV/0!</v>
      </c>
      <c r="CO137" s="680"/>
      <c r="CP137" s="563" t="e">
        <f t="shared" si="923"/>
        <v>#DIV/0!</v>
      </c>
      <c r="CQ137" s="740" t="e">
        <f>CO137*$CQ$4</f>
        <v>#DIV/0!</v>
      </c>
      <c r="CR137" s="740" t="e">
        <f>CO137*$CR$4</f>
        <v>#DIV/0!</v>
      </c>
      <c r="CS137" s="740" t="e">
        <f>CO137*$CS$4</f>
        <v>#DIV/0!</v>
      </c>
      <c r="CT137" s="740" t="e">
        <f>CO137*$CT$4</f>
        <v>#DIV/0!</v>
      </c>
      <c r="CU137" s="740" t="e">
        <f>CO137*CU4</f>
        <v>#DIV/0!</v>
      </c>
      <c r="CW137" s="680"/>
      <c r="CX137" s="563" t="e">
        <f t="shared" si="928"/>
        <v>#DIV/0!</v>
      </c>
      <c r="CY137" s="740" t="e">
        <f>CW137*$CY$4</f>
        <v>#DIV/0!</v>
      </c>
      <c r="CZ137" s="740" t="e">
        <f>CW137*$CZ$4</f>
        <v>#DIV/0!</v>
      </c>
      <c r="DA137" s="740" t="e">
        <f>CW137*$DA$4</f>
        <v>#DIV/0!</v>
      </c>
      <c r="DB137" s="740" t="e">
        <f>CW137*$DB$4</f>
        <v>#DIV/0!</v>
      </c>
      <c r="DC137" s="740" t="e">
        <f>CW137*DC4</f>
        <v>#DIV/0!</v>
      </c>
    </row>
    <row r="138" spans="1:117" s="673" customFormat="1" outlineLevel="1">
      <c r="A138" s="674"/>
      <c r="B138" s="678" t="s">
        <v>165</v>
      </c>
      <c r="C138" s="671"/>
      <c r="D138" s="563">
        <v>0</v>
      </c>
      <c r="E138" s="563"/>
      <c r="F138" s="563">
        <v>0</v>
      </c>
      <c r="G138" s="563">
        <v>0</v>
      </c>
      <c r="H138" s="563">
        <v>0</v>
      </c>
      <c r="I138" s="564">
        <v>0</v>
      </c>
      <c r="J138" s="564"/>
      <c r="K138" s="679" t="s">
        <v>184</v>
      </c>
      <c r="M138" s="680"/>
      <c r="N138" s="563">
        <f t="shared" si="890"/>
        <v>0</v>
      </c>
      <c r="O138" s="681">
        <f>$M$138*$O$3</f>
        <v>0</v>
      </c>
      <c r="P138" s="681">
        <f>$M$138*$P$3</f>
        <v>0</v>
      </c>
      <c r="Q138" s="681">
        <f>$M$138*$Q$3</f>
        <v>0</v>
      </c>
      <c r="R138" s="681">
        <f>$M$138*$R$3</f>
        <v>0</v>
      </c>
      <c r="S138" s="681">
        <f t="shared" ref="S138:S139" si="1113">$M$16*$S$3</f>
        <v>0</v>
      </c>
      <c r="U138" s="680"/>
      <c r="V138" s="563">
        <f t="shared" si="891"/>
        <v>0</v>
      </c>
      <c r="W138" s="681">
        <f t="shared" ref="W138" si="1114">U138*$W$3</f>
        <v>0</v>
      </c>
      <c r="X138" s="681">
        <f t="shared" ref="X138" si="1115">U138*$X$3</f>
        <v>0</v>
      </c>
      <c r="Y138" s="681">
        <f t="shared" ref="Y138" si="1116">U138*$Y$3</f>
        <v>0</v>
      </c>
      <c r="Z138" s="681">
        <f t="shared" ref="Z138" si="1117">U138*$Z$3</f>
        <v>0</v>
      </c>
      <c r="AA138" s="681">
        <f>U138*AA3</f>
        <v>0</v>
      </c>
      <c r="AC138" s="680"/>
      <c r="AD138" s="563">
        <f t="shared" si="892"/>
        <v>0</v>
      </c>
      <c r="AE138" s="681">
        <f t="shared" ref="AE138" si="1118">AC138*$AE$3</f>
        <v>0</v>
      </c>
      <c r="AF138" s="681">
        <f t="shared" ref="AF138" si="1119">AC138*$AF$3</f>
        <v>0</v>
      </c>
      <c r="AG138" s="681">
        <f t="shared" ref="AG138" si="1120">AC138*$AG$3</f>
        <v>0</v>
      </c>
      <c r="AH138" s="681">
        <f t="shared" ref="AH138" si="1121">AC138*$AH$3</f>
        <v>0</v>
      </c>
      <c r="AI138" s="681">
        <f>AC138*AI3</f>
        <v>0</v>
      </c>
      <c r="AK138" s="680"/>
      <c r="AL138" s="563">
        <f t="shared" si="897"/>
        <v>0</v>
      </c>
      <c r="AM138" s="681">
        <f t="shared" ref="AM138" si="1122">AK138*$AM$3</f>
        <v>0</v>
      </c>
      <c r="AN138" s="681">
        <f t="shared" ref="AN138" si="1123">AK138*$AN$3</f>
        <v>0</v>
      </c>
      <c r="AO138" s="681">
        <f t="shared" ref="AO138" si="1124">AK138*$AO$3</f>
        <v>0</v>
      </c>
      <c r="AP138" s="681">
        <f t="shared" ref="AP138" si="1125">AK138*$AP$3</f>
        <v>0</v>
      </c>
      <c r="AQ138" s="681">
        <f>AK138*AQ3</f>
        <v>0</v>
      </c>
      <c r="AS138" s="680"/>
      <c r="AT138" s="563">
        <f t="shared" si="898"/>
        <v>0</v>
      </c>
      <c r="AU138" s="681">
        <f t="shared" ref="AU138" si="1126">AS138*$AU$3</f>
        <v>0</v>
      </c>
      <c r="AV138" s="681">
        <f t="shared" ref="AV138" si="1127">AS138*$AV$3</f>
        <v>0</v>
      </c>
      <c r="AW138" s="681">
        <f t="shared" ref="AW138" si="1128">AS138*$AW$3</f>
        <v>0</v>
      </c>
      <c r="AX138" s="681">
        <f t="shared" ref="AX138" si="1129">AS138*$AX$3</f>
        <v>0</v>
      </c>
      <c r="AY138" s="681">
        <f>AS138*AY3</f>
        <v>0</v>
      </c>
      <c r="BA138" s="680"/>
      <c r="BB138" s="563">
        <f t="shared" si="899"/>
        <v>0</v>
      </c>
      <c r="BC138" s="681">
        <f t="shared" ref="BC138" si="1130">BA138*$BC$3</f>
        <v>0</v>
      </c>
      <c r="BD138" s="681">
        <f t="shared" ref="BD138" si="1131">BA138*$BD$3</f>
        <v>0</v>
      </c>
      <c r="BE138" s="681">
        <f t="shared" ref="BE138" si="1132">BA138*$BE$3</f>
        <v>0</v>
      </c>
      <c r="BF138" s="681">
        <f t="shared" ref="BF138" si="1133">BA138*$BF$3</f>
        <v>0</v>
      </c>
      <c r="BG138" s="681">
        <f>BA138*BG3</f>
        <v>0</v>
      </c>
      <c r="BI138" s="680"/>
      <c r="BJ138" s="563">
        <f t="shared" si="904"/>
        <v>0</v>
      </c>
      <c r="BK138" s="681">
        <f t="shared" ref="BK138" si="1134">BI138*$BK$3</f>
        <v>0</v>
      </c>
      <c r="BL138" s="681">
        <f t="shared" ref="BL138" si="1135">BI138*$BL$3</f>
        <v>0</v>
      </c>
      <c r="BM138" s="681">
        <f t="shared" ref="BM138" si="1136">BI138*$BM$3</f>
        <v>0</v>
      </c>
      <c r="BN138" s="681">
        <f t="shared" ref="BN138" si="1137">BI138*$BN$3</f>
        <v>0</v>
      </c>
      <c r="BO138" s="681">
        <f>BI138*BO3</f>
        <v>0</v>
      </c>
      <c r="BQ138" s="680"/>
      <c r="BR138" s="563">
        <f t="shared" si="909"/>
        <v>0</v>
      </c>
      <c r="BS138" s="681">
        <f t="shared" ref="BS138" si="1138">BQ138*$BS$3</f>
        <v>0</v>
      </c>
      <c r="BT138" s="681">
        <f t="shared" ref="BT138" si="1139">BQ138*$BT$3</f>
        <v>0</v>
      </c>
      <c r="BU138" s="681">
        <f t="shared" ref="BU138" si="1140">BQ138*$BU$3</f>
        <v>0</v>
      </c>
      <c r="BV138" s="681">
        <f t="shared" ref="BV138" si="1141">BQ138*$BV$3</f>
        <v>0</v>
      </c>
      <c r="BW138" s="681">
        <f>BQ138*BW3</f>
        <v>0</v>
      </c>
      <c r="BY138" s="680"/>
      <c r="BZ138" s="563">
        <f t="shared" si="914"/>
        <v>0</v>
      </c>
      <c r="CA138" s="681">
        <f t="shared" ref="CA138" si="1142">BY138*$CA$3</f>
        <v>0</v>
      </c>
      <c r="CB138" s="681">
        <f t="shared" ref="CB138" si="1143">BY138*$CB$3</f>
        <v>0</v>
      </c>
      <c r="CC138" s="681">
        <f t="shared" ref="CC138" si="1144">BY138*$CC$3</f>
        <v>0</v>
      </c>
      <c r="CD138" s="681">
        <f t="shared" ref="CD138" si="1145">BY138*$CD$3</f>
        <v>0</v>
      </c>
      <c r="CE138" s="681">
        <f>BY138*CE3</f>
        <v>0</v>
      </c>
      <c r="CG138" s="680"/>
      <c r="CH138" s="560">
        <f t="shared" si="919"/>
        <v>0</v>
      </c>
      <c r="CI138" s="681">
        <f t="shared" ref="CI138:CI139" si="1146">CG138*$CI$3</f>
        <v>0</v>
      </c>
      <c r="CJ138" s="681">
        <f t="shared" ref="CJ138:CJ139" si="1147">CG138*$CJ$3</f>
        <v>0</v>
      </c>
      <c r="CK138" s="681">
        <f t="shared" ref="CK138:CK139" si="1148">CG138*$CK$3</f>
        <v>0</v>
      </c>
      <c r="CL138" s="681">
        <f t="shared" ref="CL138:CL139" si="1149">CG138*$CL$3</f>
        <v>0</v>
      </c>
      <c r="CM138" s="681">
        <f>CG138*CM3</f>
        <v>0</v>
      </c>
      <c r="CN138" s="708"/>
      <c r="CO138" s="680"/>
      <c r="CP138" s="560">
        <f t="shared" si="923"/>
        <v>0</v>
      </c>
      <c r="CQ138" s="681">
        <f t="shared" ref="CQ138:CQ139" si="1150">CO138*$CQ$3</f>
        <v>0</v>
      </c>
      <c r="CR138" s="681">
        <f t="shared" ref="CR138:CR139" si="1151">CO138*$CR$3</f>
        <v>0</v>
      </c>
      <c r="CS138" s="681">
        <f t="shared" ref="CS138:CS139" si="1152">CO138*$CS$3</f>
        <v>0</v>
      </c>
      <c r="CT138" s="681">
        <f t="shared" ref="CT138:CT139" si="1153">CO138*$CT$3</f>
        <v>0</v>
      </c>
      <c r="CU138" s="681">
        <f>CO138*CU3</f>
        <v>0</v>
      </c>
      <c r="CV138" s="708"/>
      <c r="CW138" s="680"/>
      <c r="CX138" s="560">
        <f t="shared" si="928"/>
        <v>0</v>
      </c>
      <c r="CY138" s="681">
        <f t="shared" ref="CY138:CY139" si="1154">CW138*$CY$3</f>
        <v>0</v>
      </c>
      <c r="CZ138" s="681">
        <f t="shared" ref="CZ138:CZ139" si="1155">CW138*$CZ$3</f>
        <v>0</v>
      </c>
      <c r="DA138" s="681">
        <f t="shared" ref="DA138:DA139" si="1156">CW138*$DA$3</f>
        <v>0</v>
      </c>
      <c r="DB138" s="681">
        <f t="shared" ref="DB138:DB139" si="1157">CW138*$DB$3</f>
        <v>0</v>
      </c>
      <c r="DC138" s="681">
        <f>CW138*DC3</f>
        <v>0</v>
      </c>
    </row>
    <row r="139" spans="1:117" s="673" customFormat="1" outlineLevel="1">
      <c r="A139" s="674"/>
      <c r="B139" s="678" t="s">
        <v>167</v>
      </c>
      <c r="C139" s="671"/>
      <c r="D139" s="563">
        <v>0</v>
      </c>
      <c r="E139" s="563"/>
      <c r="F139" s="563">
        <v>0</v>
      </c>
      <c r="G139" s="563">
        <v>0</v>
      </c>
      <c r="H139" s="563">
        <v>0</v>
      </c>
      <c r="I139" s="564">
        <v>0</v>
      </c>
      <c r="J139" s="564"/>
      <c r="K139" s="679" t="s">
        <v>184</v>
      </c>
      <c r="M139" s="680"/>
      <c r="N139" s="563">
        <f t="shared" si="890"/>
        <v>0</v>
      </c>
      <c r="O139" s="681"/>
      <c r="P139" s="681"/>
      <c r="Q139" s="681">
        <f>$M$139</f>
        <v>0</v>
      </c>
      <c r="R139" s="681"/>
      <c r="S139" s="681">
        <f t="shared" si="1113"/>
        <v>0</v>
      </c>
      <c r="U139" s="680"/>
      <c r="V139" s="563">
        <f t="shared" si="891"/>
        <v>0</v>
      </c>
      <c r="W139" s="681"/>
      <c r="X139" s="681"/>
      <c r="Y139" s="681">
        <f>U139</f>
        <v>0</v>
      </c>
      <c r="Z139" s="681"/>
      <c r="AA139" s="681">
        <f>U139*AA3</f>
        <v>0</v>
      </c>
      <c r="AC139" s="680"/>
      <c r="AD139" s="563">
        <f t="shared" si="892"/>
        <v>0</v>
      </c>
      <c r="AE139" s="681"/>
      <c r="AF139" s="681"/>
      <c r="AG139" s="681">
        <f>AC139</f>
        <v>0</v>
      </c>
      <c r="AH139" s="681"/>
      <c r="AI139" s="681">
        <f>AC139*AI3</f>
        <v>0</v>
      </c>
      <c r="AK139" s="680"/>
      <c r="AL139" s="563">
        <f t="shared" si="897"/>
        <v>0</v>
      </c>
      <c r="AM139" s="681"/>
      <c r="AN139" s="681"/>
      <c r="AO139" s="681">
        <f>AK139</f>
        <v>0</v>
      </c>
      <c r="AP139" s="681"/>
      <c r="AQ139" s="681">
        <f>AK139*AQ3</f>
        <v>0</v>
      </c>
      <c r="AS139" s="680">
        <f>30000/1000</f>
        <v>30</v>
      </c>
      <c r="AT139" s="563">
        <f t="shared" si="898"/>
        <v>0</v>
      </c>
      <c r="AU139" s="681"/>
      <c r="AV139" s="681"/>
      <c r="AW139" s="681">
        <f>AS139</f>
        <v>30</v>
      </c>
      <c r="AX139" s="681"/>
      <c r="AY139" s="681">
        <f>AS139*AY3</f>
        <v>0</v>
      </c>
      <c r="BA139" s="680"/>
      <c r="BB139" s="563">
        <f t="shared" si="899"/>
        <v>0</v>
      </c>
      <c r="BC139" s="681"/>
      <c r="BD139" s="681"/>
      <c r="BE139" s="681">
        <f>BA139</f>
        <v>0</v>
      </c>
      <c r="BF139" s="681"/>
      <c r="BG139" s="681">
        <f>BA139*BG3</f>
        <v>0</v>
      </c>
      <c r="BI139" s="680"/>
      <c r="BJ139" s="563">
        <f t="shared" si="904"/>
        <v>0</v>
      </c>
      <c r="BK139" s="681"/>
      <c r="BL139" s="681"/>
      <c r="BM139" s="681">
        <f>BI139</f>
        <v>0</v>
      </c>
      <c r="BN139" s="681"/>
      <c r="BO139" s="681">
        <f>BI139*BO3</f>
        <v>0</v>
      </c>
      <c r="BQ139" s="680"/>
      <c r="BR139" s="563">
        <f t="shared" si="909"/>
        <v>0</v>
      </c>
      <c r="BS139" s="681"/>
      <c r="BT139" s="681"/>
      <c r="BU139" s="681">
        <f>BQ139</f>
        <v>0</v>
      </c>
      <c r="BV139" s="681"/>
      <c r="BW139" s="681">
        <f>BQ139*BW3</f>
        <v>0</v>
      </c>
      <c r="BY139" s="680"/>
      <c r="BZ139" s="563">
        <f t="shared" si="914"/>
        <v>0</v>
      </c>
      <c r="CA139" s="681"/>
      <c r="CB139" s="681"/>
      <c r="CC139" s="681">
        <f>BY139</f>
        <v>0</v>
      </c>
      <c r="CD139" s="681"/>
      <c r="CE139" s="681">
        <f>BY139*CE3</f>
        <v>0</v>
      </c>
      <c r="CG139" s="680"/>
      <c r="CH139" s="560">
        <f t="shared" si="919"/>
        <v>0</v>
      </c>
      <c r="CI139" s="681">
        <f t="shared" si="1146"/>
        <v>0</v>
      </c>
      <c r="CJ139" s="681">
        <f t="shared" si="1147"/>
        <v>0</v>
      </c>
      <c r="CK139" s="681">
        <f t="shared" si="1148"/>
        <v>0</v>
      </c>
      <c r="CL139" s="681">
        <f t="shared" si="1149"/>
        <v>0</v>
      </c>
      <c r="CM139" s="681">
        <f>CG139*CM3</f>
        <v>0</v>
      </c>
      <c r="CN139" s="708"/>
      <c r="CO139" s="680"/>
      <c r="CP139" s="560">
        <f t="shared" si="923"/>
        <v>0</v>
      </c>
      <c r="CQ139" s="681">
        <f t="shared" si="1150"/>
        <v>0</v>
      </c>
      <c r="CR139" s="681">
        <f t="shared" si="1151"/>
        <v>0</v>
      </c>
      <c r="CS139" s="681">
        <f t="shared" si="1152"/>
        <v>0</v>
      </c>
      <c r="CT139" s="681">
        <f t="shared" si="1153"/>
        <v>0</v>
      </c>
      <c r="CU139" s="681">
        <f>CO139*CU3</f>
        <v>0</v>
      </c>
      <c r="CV139" s="708"/>
      <c r="CW139" s="680"/>
      <c r="CX139" s="560">
        <f t="shared" si="928"/>
        <v>0</v>
      </c>
      <c r="CY139" s="681">
        <f t="shared" si="1154"/>
        <v>0</v>
      </c>
      <c r="CZ139" s="681">
        <f t="shared" si="1155"/>
        <v>0</v>
      </c>
      <c r="DA139" s="681">
        <f t="shared" si="1156"/>
        <v>0</v>
      </c>
      <c r="DB139" s="681">
        <f t="shared" si="1157"/>
        <v>0</v>
      </c>
      <c r="DC139" s="681">
        <f>CW139*DC3</f>
        <v>0</v>
      </c>
      <c r="DM139" s="729"/>
    </row>
    <row r="140" spans="1:117" s="673" customFormat="1" ht="36" customHeight="1">
      <c r="A140" s="674">
        <v>7</v>
      </c>
      <c r="B140" s="675" t="s">
        <v>66</v>
      </c>
      <c r="C140" s="671" t="s">
        <v>9</v>
      </c>
      <c r="D140" s="566">
        <v>3060384.8732379996</v>
      </c>
      <c r="E140" s="566">
        <f t="shared" ref="E140:E145" si="1158">F140+G140</f>
        <v>1734403.4</v>
      </c>
      <c r="F140" s="557">
        <v>944195</v>
      </c>
      <c r="G140" s="557">
        <v>790208.4</v>
      </c>
      <c r="H140" s="566">
        <f>D140-F140-G140-I140</f>
        <v>1314496.2804028399</v>
      </c>
      <c r="I140" s="557">
        <v>11485.192835159829</v>
      </c>
      <c r="J140" s="557"/>
      <c r="K140" s="701" t="s">
        <v>186</v>
      </c>
      <c r="M140" s="691">
        <f>269183669/1000</f>
        <v>269183.66899999999</v>
      </c>
      <c r="N140" s="566">
        <f t="shared" si="890"/>
        <v>209475.16020831198</v>
      </c>
      <c r="O140" s="727">
        <f>$M$140*$O$5</f>
        <v>118939.55660592794</v>
      </c>
      <c r="P140" s="727">
        <f>$M$140*$P$5</f>
        <v>90535.603602384042</v>
      </c>
      <c r="Q140" s="727">
        <f>$M$140*$Q$5</f>
        <v>54154.57972207776</v>
      </c>
      <c r="R140" s="727">
        <f>$M$140*$R$5</f>
        <v>5553.9290696102598</v>
      </c>
      <c r="S140" s="727">
        <f>$M$140*$S$5</f>
        <v>0</v>
      </c>
      <c r="U140" s="691">
        <f>260500325/1000</f>
        <v>260500.32500000001</v>
      </c>
      <c r="V140" s="566">
        <f t="shared" si="891"/>
        <v>202717.89710129978</v>
      </c>
      <c r="W140" s="727">
        <f>U140*$W$5</f>
        <v>115102.79678668072</v>
      </c>
      <c r="X140" s="727">
        <f>U140*$X$5</f>
        <v>87615.100314619063</v>
      </c>
      <c r="Y140" s="727">
        <f>U140*$Y$5</f>
        <v>52407.657828007643</v>
      </c>
      <c r="Z140" s="727">
        <f>U140*$Z$5</f>
        <v>5374.770070692588</v>
      </c>
      <c r="AA140" s="727">
        <f>U140*AA5</f>
        <v>0</v>
      </c>
      <c r="AC140" s="691">
        <f>269183669/1000</f>
        <v>269183.66899999999</v>
      </c>
      <c r="AD140" s="566">
        <f t="shared" si="892"/>
        <v>209475.16020831198</v>
      </c>
      <c r="AE140" s="727">
        <f>AC140*$AE$5</f>
        <v>118939.55660592794</v>
      </c>
      <c r="AF140" s="727">
        <f>AC140*$AF$5</f>
        <v>90535.603602384042</v>
      </c>
      <c r="AG140" s="727">
        <f>AC140*$AG$5</f>
        <v>54154.57972207776</v>
      </c>
      <c r="AH140" s="727">
        <f>AC140*$AH$5</f>
        <v>5553.9290696102598</v>
      </c>
      <c r="AI140" s="727">
        <f>AC140*AI5</f>
        <v>0</v>
      </c>
      <c r="AK140" s="691">
        <f>254433658/1000</f>
        <v>254433.658</v>
      </c>
      <c r="AL140" s="566">
        <f t="shared" si="897"/>
        <v>197996.89732268587</v>
      </c>
      <c r="AM140" s="727">
        <f>AK140*$AM$5</f>
        <v>112422.22301436983</v>
      </c>
      <c r="AN140" s="727">
        <f>AK140*$AN$5</f>
        <v>85574.67430831604</v>
      </c>
      <c r="AO140" s="727">
        <f>AK140*$AO$5</f>
        <v>51187.161046314694</v>
      </c>
      <c r="AP140" s="727">
        <f>AK140*$AP$5</f>
        <v>5249.599630999438</v>
      </c>
      <c r="AQ140" s="727">
        <f>AK140*AQ5</f>
        <v>0</v>
      </c>
      <c r="AS140" s="691">
        <f>246524385/1000</f>
        <v>246524.38500000001</v>
      </c>
      <c r="AT140" s="566">
        <f t="shared" si="898"/>
        <v>191842.00599899911</v>
      </c>
      <c r="AU140" s="727">
        <f t="shared" ref="AU140" si="1159">AS140*$AU$5</f>
        <v>108927.48863025964</v>
      </c>
      <c r="AV140" s="727">
        <f t="shared" ref="AV140" si="1160">AS140*$AV$5</f>
        <v>82914.517368739456</v>
      </c>
      <c r="AW140" s="727">
        <f t="shared" ref="AW140" si="1161">AS140*$AW$5</f>
        <v>49595.967357583984</v>
      </c>
      <c r="AX140" s="727">
        <f t="shared" ref="AX140" si="1162">AS140*$AX$5</f>
        <v>5086.41164341694</v>
      </c>
      <c r="AY140" s="727">
        <f>AS140*AY5</f>
        <v>0</v>
      </c>
      <c r="BA140" s="691"/>
      <c r="BB140" s="566">
        <f t="shared" si="899"/>
        <v>0</v>
      </c>
      <c r="BC140" s="727">
        <f>BA140*$BC$5</f>
        <v>0</v>
      </c>
      <c r="BD140" s="727">
        <f>BA140*$BD$5</f>
        <v>0</v>
      </c>
      <c r="BE140" s="727">
        <f>BA140*$BE$5</f>
        <v>0</v>
      </c>
      <c r="BF140" s="727">
        <f>BA140*$BF$5</f>
        <v>0</v>
      </c>
      <c r="BG140" s="727">
        <f>BA140*BG5</f>
        <v>0</v>
      </c>
      <c r="BI140" s="691"/>
      <c r="BJ140" s="566">
        <f t="shared" si="904"/>
        <v>0</v>
      </c>
      <c r="BK140" s="727">
        <f t="shared" ref="BK140" si="1163">BI140*$BK$5</f>
        <v>0</v>
      </c>
      <c r="BL140" s="727">
        <f t="shared" ref="BL140" si="1164">BI140*$BL$5</f>
        <v>0</v>
      </c>
      <c r="BM140" s="727">
        <f t="shared" ref="BM140" si="1165">BI140*$BM$5</f>
        <v>0</v>
      </c>
      <c r="BN140" s="727">
        <f t="shared" ref="BN140" si="1166">BI140*$BN$5</f>
        <v>0</v>
      </c>
      <c r="BO140" s="727">
        <f>BI140*BO5</f>
        <v>0</v>
      </c>
      <c r="BQ140" s="691"/>
      <c r="BR140" s="566">
        <f t="shared" si="909"/>
        <v>0</v>
      </c>
      <c r="BS140" s="727">
        <f>BQ140*$BS$5</f>
        <v>0</v>
      </c>
      <c r="BT140" s="727">
        <f>BQ140*$BT$5</f>
        <v>0</v>
      </c>
      <c r="BU140" s="727">
        <f>BQ140*$BU$5</f>
        <v>0</v>
      </c>
      <c r="BV140" s="727">
        <f>BQ140*$BV$5</f>
        <v>0</v>
      </c>
      <c r="BW140" s="727">
        <f>BQ140*BW5</f>
        <v>0</v>
      </c>
      <c r="BY140" s="691"/>
      <c r="BZ140" s="566">
        <f t="shared" si="914"/>
        <v>0</v>
      </c>
      <c r="CA140" s="727">
        <f>BY140*$CA$5</f>
        <v>0</v>
      </c>
      <c r="CB140" s="727">
        <f>BY140*$CB$5</f>
        <v>0</v>
      </c>
      <c r="CC140" s="727">
        <f>BY140*$CC$5</f>
        <v>0</v>
      </c>
      <c r="CD140" s="727">
        <f>BY140*$CD$5</f>
        <v>0</v>
      </c>
      <c r="CE140" s="727">
        <f>BY140*CE5</f>
        <v>0</v>
      </c>
      <c r="CG140" s="691"/>
      <c r="CH140" s="566">
        <f t="shared" si="919"/>
        <v>0</v>
      </c>
      <c r="CI140" s="727">
        <f t="shared" ref="CI140" si="1167">CG140*$CI$5</f>
        <v>0</v>
      </c>
      <c r="CJ140" s="727">
        <f t="shared" ref="CJ140" si="1168">CG140*$CJ$5</f>
        <v>0</v>
      </c>
      <c r="CK140" s="727">
        <f t="shared" ref="CK140" si="1169">CG140*$CK$5</f>
        <v>0</v>
      </c>
      <c r="CL140" s="727">
        <f t="shared" ref="CL140" si="1170">CG140*$CL$5</f>
        <v>0</v>
      </c>
      <c r="CM140" s="727">
        <f>CG140*CM5</f>
        <v>0</v>
      </c>
      <c r="CO140" s="728"/>
      <c r="CP140" s="557">
        <f t="shared" si="923"/>
        <v>0</v>
      </c>
      <c r="CQ140" s="727">
        <f t="shared" ref="CQ140" si="1171">CO140*$CQ$5</f>
        <v>0</v>
      </c>
      <c r="CR140" s="727">
        <f t="shared" ref="CR140" si="1172">CO140*$CR$5</f>
        <v>0</v>
      </c>
      <c r="CS140" s="727">
        <f t="shared" ref="CS140" si="1173">CO140*$CS$5</f>
        <v>0</v>
      </c>
      <c r="CT140" s="727">
        <f t="shared" ref="CT140" si="1174">CO140*$CT$5</f>
        <v>0</v>
      </c>
      <c r="CU140" s="727">
        <f>CO140*CU5</f>
        <v>0</v>
      </c>
      <c r="CW140" s="728"/>
      <c r="CX140" s="557">
        <f t="shared" si="928"/>
        <v>0</v>
      </c>
      <c r="CY140" s="727">
        <f t="shared" ref="CY140" si="1175">CW140*$CY$5</f>
        <v>0</v>
      </c>
      <c r="CZ140" s="727">
        <f t="shared" ref="CZ140" si="1176">CW140*$CZ$5</f>
        <v>0</v>
      </c>
      <c r="DA140" s="727">
        <f t="shared" ref="DA140" si="1177">CW140*$DA$5</f>
        <v>0</v>
      </c>
      <c r="DB140" s="727">
        <f t="shared" ref="DB140" si="1178">CW140*$DB$5</f>
        <v>0</v>
      </c>
      <c r="DC140" s="727">
        <f>CW140*DC5</f>
        <v>0</v>
      </c>
    </row>
    <row r="141" spans="1:117" s="677" customFormat="1" ht="27.75" customHeight="1">
      <c r="A141" s="669" t="s">
        <v>67</v>
      </c>
      <c r="B141" s="670" t="s">
        <v>68</v>
      </c>
      <c r="C141" s="671" t="s">
        <v>9</v>
      </c>
      <c r="D141" s="550">
        <f>D11+D99</f>
        <v>8026666.6214488018</v>
      </c>
      <c r="E141" s="550">
        <f t="shared" si="1158"/>
        <v>3869877.1844098233</v>
      </c>
      <c r="F141" s="550">
        <f>F11+F99</f>
        <v>2072062.4219599902</v>
      </c>
      <c r="G141" s="550">
        <f>G11+G99</f>
        <v>1797814.7624498331</v>
      </c>
      <c r="H141" s="550">
        <f>H11+H99</f>
        <v>4040532.861441642</v>
      </c>
      <c r="I141" s="550">
        <f>I11+I99</f>
        <v>116256.57559733659</v>
      </c>
      <c r="J141" s="550">
        <f>J11+J99</f>
        <v>0</v>
      </c>
      <c r="K141" s="695"/>
      <c r="M141" s="550">
        <f>M11+M99</f>
        <v>661346.37126000004</v>
      </c>
      <c r="N141" s="550">
        <f t="shared" si="890"/>
        <v>425277.18452543509</v>
      </c>
      <c r="O141" s="550">
        <f>O11+O99</f>
        <v>237456.71022694156</v>
      </c>
      <c r="P141" s="550">
        <f>P11+P99</f>
        <v>187820.47429849353</v>
      </c>
      <c r="Q141" s="550">
        <f>Q11+Q99</f>
        <v>217379.91307004262</v>
      </c>
      <c r="R141" s="550">
        <f>R11+R99</f>
        <v>18689.273664522276</v>
      </c>
      <c r="S141" s="550">
        <f>S11+S99</f>
        <v>0</v>
      </c>
      <c r="U141" s="550">
        <f>U11+U99</f>
        <v>597373.96240000008</v>
      </c>
      <c r="V141" s="550">
        <f t="shared" si="891"/>
        <v>405687.57550169842</v>
      </c>
      <c r="W141" s="550">
        <f>W11+W99</f>
        <v>228041.2206787623</v>
      </c>
      <c r="X141" s="550">
        <f>X11+X99</f>
        <v>177646.35482293612</v>
      </c>
      <c r="Y141" s="550">
        <f>Y11+Y99</f>
        <v>176694.90195856628</v>
      </c>
      <c r="Z141" s="550">
        <f>Z11+Z99</f>
        <v>14991.484939735292</v>
      </c>
      <c r="AA141" s="550">
        <f>AA11+AA99</f>
        <v>0</v>
      </c>
      <c r="AC141" s="550">
        <f>AC11+AC99</f>
        <v>617745.64818000002</v>
      </c>
      <c r="AD141" s="550">
        <f t="shared" si="892"/>
        <v>414019.67041639285</v>
      </c>
      <c r="AE141" s="550">
        <f>AE11+AE99</f>
        <v>232574.88681907576</v>
      </c>
      <c r="AF141" s="550">
        <f>AF11+AF99</f>
        <v>181444.78359731712</v>
      </c>
      <c r="AG141" s="550">
        <f>AG11+AG99</f>
        <v>188154.29888255725</v>
      </c>
      <c r="AH141" s="550">
        <f>AH11+AH99</f>
        <v>15571.678881049935</v>
      </c>
      <c r="AI141" s="550">
        <f>AI11+AI99</f>
        <v>0</v>
      </c>
      <c r="AK141" s="550">
        <f>AK11+AK99</f>
        <v>625658.47662999993</v>
      </c>
      <c r="AL141" s="550">
        <f t="shared" si="897"/>
        <v>407464.16711041389</v>
      </c>
      <c r="AM141" s="550">
        <f>AM11+AM99</f>
        <v>228339.60587186084</v>
      </c>
      <c r="AN141" s="550">
        <f>AN11+AN99</f>
        <v>179124.56123855303</v>
      </c>
      <c r="AO141" s="550">
        <f>AO11+AO99</f>
        <v>201858.44002735318</v>
      </c>
      <c r="AP141" s="550">
        <f>AP11+AP99</f>
        <v>16335.86949223289</v>
      </c>
      <c r="AQ141" s="550">
        <f>AQ11+AQ99</f>
        <v>0</v>
      </c>
      <c r="AS141" s="550">
        <f>AS11+AS99</f>
        <v>546547.53536571423</v>
      </c>
      <c r="AT141" s="550">
        <f t="shared" si="898"/>
        <v>269936.32996105449</v>
      </c>
      <c r="AU141" s="550">
        <f>AU11+AU99</f>
        <v>146082.30917120341</v>
      </c>
      <c r="AV141" s="550">
        <f>AV11+AV99</f>
        <v>123854.02078985106</v>
      </c>
      <c r="AW141" s="550">
        <f>AW11+AW99</f>
        <v>255921.51674504939</v>
      </c>
      <c r="AX141" s="550">
        <f>AX11+AX99</f>
        <v>20689.688909610402</v>
      </c>
      <c r="AY141" s="550">
        <f>AY11+AY99</f>
        <v>0</v>
      </c>
      <c r="BA141" s="550">
        <f>BA11+BA99</f>
        <v>0</v>
      </c>
      <c r="BB141" s="550" t="e">
        <f t="shared" si="899"/>
        <v>#DIV/0!</v>
      </c>
      <c r="BC141" s="550" t="e">
        <f>BC11+BC99</f>
        <v>#DIV/0!</v>
      </c>
      <c r="BD141" s="550" t="e">
        <f>BD11+BD99</f>
        <v>#DIV/0!</v>
      </c>
      <c r="BE141" s="550" t="e">
        <f>BE11+BE99</f>
        <v>#DIV/0!</v>
      </c>
      <c r="BF141" s="550" t="e">
        <f>BF11+BF99</f>
        <v>#DIV/0!</v>
      </c>
      <c r="BG141" s="550" t="e">
        <f>BG11+BG99</f>
        <v>#DIV/0!</v>
      </c>
      <c r="BI141" s="550">
        <f>BI11+BI99</f>
        <v>0</v>
      </c>
      <c r="BJ141" s="550" t="e">
        <f t="shared" si="904"/>
        <v>#DIV/0!</v>
      </c>
      <c r="BK141" s="550" t="e">
        <f>BK11+BK99</f>
        <v>#DIV/0!</v>
      </c>
      <c r="BL141" s="550" t="e">
        <f>BL11+BL99</f>
        <v>#DIV/0!</v>
      </c>
      <c r="BM141" s="550" t="e">
        <f>BM11+BM99</f>
        <v>#DIV/0!</v>
      </c>
      <c r="BN141" s="550" t="e">
        <f>BN11+BN99</f>
        <v>#DIV/0!</v>
      </c>
      <c r="BO141" s="550" t="e">
        <f>BO11+BO99</f>
        <v>#DIV/0!</v>
      </c>
      <c r="BQ141" s="550">
        <f>BQ11+BQ99</f>
        <v>0</v>
      </c>
      <c r="BR141" s="550" t="e">
        <f t="shared" si="909"/>
        <v>#DIV/0!</v>
      </c>
      <c r="BS141" s="550" t="e">
        <f>BS11+BS99</f>
        <v>#DIV/0!</v>
      </c>
      <c r="BT141" s="550" t="e">
        <f>BT11+BT99</f>
        <v>#DIV/0!</v>
      </c>
      <c r="BU141" s="550" t="e">
        <f>BU11+BU99</f>
        <v>#DIV/0!</v>
      </c>
      <c r="BV141" s="550" t="e">
        <f>BV11+BV99</f>
        <v>#DIV/0!</v>
      </c>
      <c r="BW141" s="550" t="e">
        <f>BW11+BW99</f>
        <v>#DIV/0!</v>
      </c>
      <c r="BY141" s="550">
        <f>BY11+BY99</f>
        <v>0</v>
      </c>
      <c r="BZ141" s="550" t="e">
        <f t="shared" si="914"/>
        <v>#DIV/0!</v>
      </c>
      <c r="CA141" s="550" t="e">
        <f>CA11+CA99</f>
        <v>#DIV/0!</v>
      </c>
      <c r="CB141" s="550" t="e">
        <f>CB11+CB99</f>
        <v>#DIV/0!</v>
      </c>
      <c r="CC141" s="550" t="e">
        <f>CC11+CC99</f>
        <v>#DIV/0!</v>
      </c>
      <c r="CD141" s="550" t="e">
        <f>CD11+CD99</f>
        <v>#DIV/0!</v>
      </c>
      <c r="CE141" s="550" t="e">
        <f>CE11+CE99</f>
        <v>#DIV/0!</v>
      </c>
      <c r="CG141" s="550">
        <f>CG11+CG99</f>
        <v>0</v>
      </c>
      <c r="CH141" s="550" t="e">
        <f t="shared" si="919"/>
        <v>#DIV/0!</v>
      </c>
      <c r="CI141" s="550" t="e">
        <f>CI11+CI99</f>
        <v>#DIV/0!</v>
      </c>
      <c r="CJ141" s="550" t="e">
        <f>CJ11+CJ99</f>
        <v>#DIV/0!</v>
      </c>
      <c r="CK141" s="550" t="e">
        <f>CK11+CK99</f>
        <v>#DIV/0!</v>
      </c>
      <c r="CL141" s="550" t="e">
        <f>CL11+CL99</f>
        <v>#DIV/0!</v>
      </c>
      <c r="CM141" s="550" t="e">
        <f>CM11+CM99</f>
        <v>#DIV/0!</v>
      </c>
      <c r="CO141" s="550">
        <f>CO11+CO99</f>
        <v>0</v>
      </c>
      <c r="CP141" s="550" t="e">
        <f t="shared" si="923"/>
        <v>#DIV/0!</v>
      </c>
      <c r="CQ141" s="550" t="e">
        <f>CQ11+CQ99</f>
        <v>#DIV/0!</v>
      </c>
      <c r="CR141" s="550" t="e">
        <f>CR11+CR99</f>
        <v>#DIV/0!</v>
      </c>
      <c r="CS141" s="550" t="e">
        <f>CS11+CS99</f>
        <v>#DIV/0!</v>
      </c>
      <c r="CT141" s="550" t="e">
        <f>CT11+CT99</f>
        <v>#DIV/0!</v>
      </c>
      <c r="CU141" s="550" t="e">
        <f>CU11+CU99</f>
        <v>#DIV/0!</v>
      </c>
      <c r="CW141" s="550">
        <f>CW11+CW99</f>
        <v>0</v>
      </c>
      <c r="CX141" s="550" t="e">
        <f t="shared" si="928"/>
        <v>#DIV/0!</v>
      </c>
      <c r="CY141" s="550" t="e">
        <f>CY11+CY99</f>
        <v>#DIV/0!</v>
      </c>
      <c r="CZ141" s="550" t="e">
        <f>CZ11+CZ99</f>
        <v>#DIV/0!</v>
      </c>
      <c r="DA141" s="550" t="e">
        <f>DA11+DA99</f>
        <v>#DIV/0!</v>
      </c>
      <c r="DB141" s="550" t="e">
        <f>DB11+DB99</f>
        <v>#DIV/0!</v>
      </c>
      <c r="DC141" s="550" t="e">
        <f>DC11+DC99</f>
        <v>#DIV/0!</v>
      </c>
    </row>
    <row r="142" spans="1:117" s="673" customFormat="1" ht="29.25" customHeight="1">
      <c r="A142" s="669" t="s">
        <v>69</v>
      </c>
      <c r="B142" s="670" t="s">
        <v>70</v>
      </c>
      <c r="C142" s="671" t="s">
        <v>9</v>
      </c>
      <c r="D142" s="550">
        <f>SUM(F142:I142)</f>
        <v>5225927.8007283723</v>
      </c>
      <c r="E142" s="550">
        <f t="shared" si="1158"/>
        <v>3884087</v>
      </c>
      <c r="F142" s="550">
        <v>2230431</v>
      </c>
      <c r="G142" s="550">
        <v>1653656</v>
      </c>
      <c r="H142" s="550">
        <f t="shared" ref="H142:J142" si="1179">H144-H143</f>
        <v>1304312.362289933</v>
      </c>
      <c r="I142" s="550">
        <f t="shared" si="1179"/>
        <v>37528.438438438476</v>
      </c>
      <c r="J142" s="550">
        <f t="shared" si="1179"/>
        <v>0</v>
      </c>
      <c r="K142" s="695"/>
      <c r="M142" s="550">
        <f>SUM(O142:S142)</f>
        <v>81480.598270000017</v>
      </c>
      <c r="N142" s="550">
        <f t="shared" si="890"/>
        <v>-16698.552969210221</v>
      </c>
      <c r="O142" s="550">
        <f>O144-O143</f>
        <v>48723.855189283298</v>
      </c>
      <c r="P142" s="550">
        <f t="shared" ref="P142:S142" si="1180">P144-P143</f>
        <v>-65422.408158493519</v>
      </c>
      <c r="Q142" s="550">
        <f t="shared" si="1180"/>
        <v>116868.42490373252</v>
      </c>
      <c r="R142" s="550">
        <f t="shared" si="1180"/>
        <v>-18689.273664522276</v>
      </c>
      <c r="S142" s="550">
        <f t="shared" si="1180"/>
        <v>0</v>
      </c>
      <c r="U142" s="550">
        <f>SUM(W142:AA142)</f>
        <v>-193835.2071066119</v>
      </c>
      <c r="V142" s="550">
        <f t="shared" si="891"/>
        <v>-117369.81710607102</v>
      </c>
      <c r="W142" s="550">
        <f>W144-W143</f>
        <v>-35921.74766634628</v>
      </c>
      <c r="X142" s="550">
        <f t="shared" ref="X142:AA142" si="1181">X144-X143</f>
        <v>-81448.069439724743</v>
      </c>
      <c r="Y142" s="550">
        <f t="shared" si="1181"/>
        <v>-61473.905060805591</v>
      </c>
      <c r="Z142" s="550">
        <f t="shared" si="1181"/>
        <v>-14991.484939735292</v>
      </c>
      <c r="AA142" s="550">
        <f t="shared" si="1181"/>
        <v>0</v>
      </c>
      <c r="AC142" s="550">
        <f>SUM(AE142:AI142)</f>
        <v>601510.42130158877</v>
      </c>
      <c r="AD142" s="550">
        <f t="shared" si="892"/>
        <v>321442.90838468081</v>
      </c>
      <c r="AE142" s="550">
        <f>AE144-AE143</f>
        <v>289219.83468856872</v>
      </c>
      <c r="AF142" s="550">
        <f t="shared" ref="AF142:AI142" si="1182">AF144-AF143</f>
        <v>32223.07369611206</v>
      </c>
      <c r="AG142" s="550">
        <f t="shared" si="1182"/>
        <v>295639.1235451774</v>
      </c>
      <c r="AH142" s="550">
        <f t="shared" si="1182"/>
        <v>-15571.610628269471</v>
      </c>
      <c r="AI142" s="550">
        <f t="shared" si="1182"/>
        <v>0</v>
      </c>
      <c r="AK142" s="550">
        <f>SUM(AM142:AQ142)</f>
        <v>595505.90276282199</v>
      </c>
      <c r="AL142" s="550">
        <f t="shared" si="897"/>
        <v>324901.40452138148</v>
      </c>
      <c r="AM142" s="550">
        <f>AM144-AM143</f>
        <v>271166.61556113785</v>
      </c>
      <c r="AN142" s="550">
        <f t="shared" ref="AN142:AQ142" si="1183">AN144-AN143</f>
        <v>53734.788960243633</v>
      </c>
      <c r="AO142" s="550">
        <f t="shared" si="1183"/>
        <v>286940.36773367348</v>
      </c>
      <c r="AP142" s="550">
        <f t="shared" si="1183"/>
        <v>-16335.86949223289</v>
      </c>
      <c r="AQ142" s="550">
        <f t="shared" si="1183"/>
        <v>0</v>
      </c>
      <c r="AS142" s="550">
        <f>SUM(AU142:AY142)</f>
        <v>137735.85953228571</v>
      </c>
      <c r="AT142" s="550">
        <f t="shared" si="898"/>
        <v>203145.59186000351</v>
      </c>
      <c r="AU142" s="550">
        <f>AU144-AU143</f>
        <v>111424.42749384258</v>
      </c>
      <c r="AV142" s="550">
        <f t="shared" ref="AV142:AY142" si="1184">AV144-AV143</f>
        <v>91721.164366160927</v>
      </c>
      <c r="AW142" s="550">
        <f t="shared" si="1184"/>
        <v>-46513.864418107376</v>
      </c>
      <c r="AX142" s="550">
        <f t="shared" si="1184"/>
        <v>-18895.867909610402</v>
      </c>
      <c r="AY142" s="550">
        <f t="shared" si="1184"/>
        <v>0</v>
      </c>
      <c r="BA142" s="550" t="e">
        <f>SUM(BC142:BG142)</f>
        <v>#DIV/0!</v>
      </c>
      <c r="BB142" s="550" t="e">
        <f t="shared" si="899"/>
        <v>#DIV/0!</v>
      </c>
      <c r="BC142" s="550" t="e">
        <f>BC144-BC143</f>
        <v>#DIV/0!</v>
      </c>
      <c r="BD142" s="550" t="e">
        <f t="shared" ref="BD142:BG142" si="1185">BD144-BD143</f>
        <v>#DIV/0!</v>
      </c>
      <c r="BE142" s="550" t="e">
        <f t="shared" si="1185"/>
        <v>#DIV/0!</v>
      </c>
      <c r="BF142" s="550" t="e">
        <f t="shared" si="1185"/>
        <v>#DIV/0!</v>
      </c>
      <c r="BG142" s="550" t="e">
        <f t="shared" si="1185"/>
        <v>#DIV/0!</v>
      </c>
      <c r="BI142" s="550" t="e">
        <f>SUM(BK142:BO142)</f>
        <v>#DIV/0!</v>
      </c>
      <c r="BJ142" s="550" t="e">
        <f t="shared" si="904"/>
        <v>#DIV/0!</v>
      </c>
      <c r="BK142" s="550" t="e">
        <f>BK144-BK143</f>
        <v>#DIV/0!</v>
      </c>
      <c r="BL142" s="550" t="e">
        <f t="shared" ref="BL142:BO142" si="1186">BL144-BL143</f>
        <v>#DIV/0!</v>
      </c>
      <c r="BM142" s="550" t="e">
        <f t="shared" si="1186"/>
        <v>#DIV/0!</v>
      </c>
      <c r="BN142" s="550" t="e">
        <f t="shared" si="1186"/>
        <v>#DIV/0!</v>
      </c>
      <c r="BO142" s="550" t="e">
        <f t="shared" si="1186"/>
        <v>#DIV/0!</v>
      </c>
      <c r="BQ142" s="550" t="e">
        <f>SUM(BS142:BW142)</f>
        <v>#DIV/0!</v>
      </c>
      <c r="BR142" s="550" t="e">
        <f t="shared" si="909"/>
        <v>#DIV/0!</v>
      </c>
      <c r="BS142" s="550" t="e">
        <f>BS144-BS143</f>
        <v>#DIV/0!</v>
      </c>
      <c r="BT142" s="550" t="e">
        <f t="shared" ref="BT142:BW142" si="1187">BT144-BT143</f>
        <v>#DIV/0!</v>
      </c>
      <c r="BU142" s="550" t="e">
        <f t="shared" si="1187"/>
        <v>#DIV/0!</v>
      </c>
      <c r="BV142" s="550" t="e">
        <f t="shared" si="1187"/>
        <v>#DIV/0!</v>
      </c>
      <c r="BW142" s="550" t="e">
        <f t="shared" si="1187"/>
        <v>#DIV/0!</v>
      </c>
      <c r="BY142" s="550" t="e">
        <f>SUM(CA142:CE142)</f>
        <v>#DIV/0!</v>
      </c>
      <c r="BZ142" s="550" t="e">
        <f t="shared" si="914"/>
        <v>#DIV/0!</v>
      </c>
      <c r="CA142" s="550" t="e">
        <f>CA144-CA143</f>
        <v>#DIV/0!</v>
      </c>
      <c r="CB142" s="550" t="e">
        <f t="shared" ref="CB142:CE142" si="1188">CB144-CB143</f>
        <v>#DIV/0!</v>
      </c>
      <c r="CC142" s="550" t="e">
        <f t="shared" si="1188"/>
        <v>#DIV/0!</v>
      </c>
      <c r="CD142" s="550" t="e">
        <f t="shared" si="1188"/>
        <v>#DIV/0!</v>
      </c>
      <c r="CE142" s="550" t="e">
        <f t="shared" si="1188"/>
        <v>#DIV/0!</v>
      </c>
      <c r="CG142" s="550" t="e">
        <f>SUM(CI142:CM142)</f>
        <v>#DIV/0!</v>
      </c>
      <c r="CH142" s="550" t="e">
        <f t="shared" si="919"/>
        <v>#DIV/0!</v>
      </c>
      <c r="CI142" s="550" t="e">
        <f>CI144-CI143</f>
        <v>#DIV/0!</v>
      </c>
      <c r="CJ142" s="550" t="e">
        <f t="shared" ref="CJ142:CM142" si="1189">CJ144-CJ143</f>
        <v>#DIV/0!</v>
      </c>
      <c r="CK142" s="550" t="e">
        <f t="shared" si="1189"/>
        <v>#DIV/0!</v>
      </c>
      <c r="CL142" s="550" t="e">
        <f t="shared" si="1189"/>
        <v>#DIV/0!</v>
      </c>
      <c r="CM142" s="550" t="e">
        <f t="shared" si="1189"/>
        <v>#DIV/0!</v>
      </c>
      <c r="CO142" s="550" t="e">
        <f>SUM(CQ142:CU142)</f>
        <v>#DIV/0!</v>
      </c>
      <c r="CP142" s="550" t="e">
        <f t="shared" si="923"/>
        <v>#DIV/0!</v>
      </c>
      <c r="CQ142" s="550" t="e">
        <f>CQ144-CQ143</f>
        <v>#DIV/0!</v>
      </c>
      <c r="CR142" s="550" t="e">
        <f t="shared" ref="CR142:CU142" si="1190">CR144-CR143</f>
        <v>#DIV/0!</v>
      </c>
      <c r="CS142" s="550" t="e">
        <f t="shared" si="1190"/>
        <v>#DIV/0!</v>
      </c>
      <c r="CT142" s="550" t="e">
        <f t="shared" si="1190"/>
        <v>#DIV/0!</v>
      </c>
      <c r="CU142" s="550" t="e">
        <f t="shared" si="1190"/>
        <v>#DIV/0!</v>
      </c>
      <c r="CW142" s="550" t="e">
        <f>SUM(CY142:DC142)</f>
        <v>#DIV/0!</v>
      </c>
      <c r="CX142" s="550" t="e">
        <f t="shared" si="928"/>
        <v>#DIV/0!</v>
      </c>
      <c r="CY142" s="550" t="e">
        <f>CY144-CY143</f>
        <v>#DIV/0!</v>
      </c>
      <c r="CZ142" s="550" t="e">
        <f t="shared" ref="CZ142:DC142" si="1191">CZ144-CZ143</f>
        <v>#DIV/0!</v>
      </c>
      <c r="DA142" s="550" t="e">
        <f t="shared" si="1191"/>
        <v>#DIV/0!</v>
      </c>
      <c r="DB142" s="550" t="e">
        <f t="shared" si="1191"/>
        <v>#DIV/0!</v>
      </c>
      <c r="DC142" s="550" t="e">
        <f t="shared" si="1191"/>
        <v>#DIV/0!</v>
      </c>
      <c r="DE142" s="673" t="s">
        <v>462</v>
      </c>
      <c r="DF142" s="673">
        <v>1</v>
      </c>
      <c r="DG142" s="673">
        <v>2</v>
      </c>
      <c r="DH142" s="673">
        <v>3</v>
      </c>
      <c r="DI142" s="673">
        <v>4</v>
      </c>
    </row>
    <row r="143" spans="1:117" s="673" customFormat="1" ht="26.25" customHeight="1">
      <c r="A143" s="674"/>
      <c r="B143" s="675" t="s">
        <v>71</v>
      </c>
      <c r="C143" s="671" t="s">
        <v>9</v>
      </c>
      <c r="D143" s="557">
        <f>SUM(F143:I143)</f>
        <v>1317512.9501820931</v>
      </c>
      <c r="E143" s="557">
        <f t="shared" si="1158"/>
        <v>982052.75</v>
      </c>
      <c r="F143" s="557">
        <f>F144-F142</f>
        <v>557607.75</v>
      </c>
      <c r="G143" s="557">
        <v>424445</v>
      </c>
      <c r="H143" s="557">
        <f t="shared" ref="H143:J143" si="1192">H144*0.2</f>
        <v>326078.09057248331</v>
      </c>
      <c r="I143" s="557">
        <f t="shared" si="1192"/>
        <v>9382.1096096096189</v>
      </c>
      <c r="J143" s="557">
        <f t="shared" si="1192"/>
        <v>0</v>
      </c>
      <c r="K143" s="741"/>
      <c r="M143" s="557">
        <f>SUM(O143:S143)</f>
        <v>100</v>
      </c>
      <c r="N143" s="557">
        <f t="shared" si="890"/>
        <v>38.010453775138643</v>
      </c>
      <c r="O143" s="557">
        <f>O145/M145%</f>
        <v>38.010453775138643</v>
      </c>
      <c r="P143" s="557"/>
      <c r="Q143" s="557">
        <f>Q145/M145%+P145/M145%</f>
        <v>61.989546224861357</v>
      </c>
      <c r="R143" s="557"/>
      <c r="S143" s="557">
        <f t="shared" ref="S143" si="1193">S144/$M$144%</f>
        <v>0</v>
      </c>
      <c r="U143" s="557">
        <f>SUM(W143:AA143)</f>
        <v>100</v>
      </c>
      <c r="V143" s="557">
        <f t="shared" si="891"/>
        <v>60.677274372614022</v>
      </c>
      <c r="W143" s="557">
        <f>W145/U145%</f>
        <v>40.432077583997945</v>
      </c>
      <c r="X143" s="557">
        <f>X145/U145%</f>
        <v>20.245196788616077</v>
      </c>
      <c r="Y143" s="557">
        <f>Y145/U145%</f>
        <v>39.322725627385971</v>
      </c>
      <c r="Z143" s="557"/>
      <c r="AA143" s="557">
        <f>AA144/U144%</f>
        <v>0</v>
      </c>
      <c r="AC143" s="557">
        <f>SUM(AE143:AI143)</f>
        <v>100</v>
      </c>
      <c r="AD143" s="557">
        <f t="shared" si="892"/>
        <v>58.579799401737112</v>
      </c>
      <c r="AE143" s="557">
        <f>AE145/AC145%</f>
        <v>41.561095307106235</v>
      </c>
      <c r="AF143" s="557">
        <f>AF145/AC145%</f>
        <v>17.018704094630877</v>
      </c>
      <c r="AG143" s="557">
        <f>AG145/AC145%</f>
        <v>41.420200598262888</v>
      </c>
      <c r="AH143" s="557"/>
      <c r="AI143" s="557">
        <f>AI144/AC144%</f>
        <v>0</v>
      </c>
      <c r="AK143" s="557">
        <f>SUM(AM143:AQ143)</f>
        <v>100</v>
      </c>
      <c r="AL143" s="557">
        <f t="shared" si="897"/>
        <v>59.410598204619049</v>
      </c>
      <c r="AM143" s="557">
        <f>AM145/$AK$145%</f>
        <v>40.52069700128294</v>
      </c>
      <c r="AN143" s="557">
        <f t="shared" ref="AN143:AO143" si="1194">AN145/$AK$145%</f>
        <v>18.889901203336109</v>
      </c>
      <c r="AO143" s="557">
        <f t="shared" si="1194"/>
        <v>40.589401795380951</v>
      </c>
      <c r="AP143" s="557"/>
      <c r="AQ143" s="557">
        <f>AQ144/AK144%</f>
        <v>0</v>
      </c>
      <c r="AS143" s="742">
        <f>611984908/1000</f>
        <v>611984.90800000005</v>
      </c>
      <c r="AT143" s="557">
        <f t="shared" si="898"/>
        <v>178638.70554694202</v>
      </c>
      <c r="AU143" s="557">
        <f>DF143-AM143-AE143-W143-O143</f>
        <v>170992.721992954</v>
      </c>
      <c r="AV143" s="557">
        <f t="shared" ref="AV143:AY143" si="1195">DG143-AN143-AF143-X143-P143</f>
        <v>7645.9835539880078</v>
      </c>
      <c r="AW143" s="557">
        <f t="shared" si="1195"/>
        <v>433346.20245305804</v>
      </c>
      <c r="AX143" s="557">
        <f t="shared" si="1195"/>
        <v>0</v>
      </c>
      <c r="AY143" s="557">
        <f t="shared" si="1195"/>
        <v>0</v>
      </c>
      <c r="BA143" s="557" t="e">
        <f>SUM(BC143:BG143)</f>
        <v>#DIV/0!</v>
      </c>
      <c r="BB143" s="557" t="e">
        <f t="shared" si="899"/>
        <v>#DIV/0!</v>
      </c>
      <c r="BC143" s="557" t="e">
        <f>BC144/BA144%</f>
        <v>#DIV/0!</v>
      </c>
      <c r="BD143" s="557" t="e">
        <f>BD144/BA144%</f>
        <v>#DIV/0!</v>
      </c>
      <c r="BE143" s="557" t="e">
        <f>BE144/BA144%</f>
        <v>#DIV/0!</v>
      </c>
      <c r="BF143" s="557" t="e">
        <f>BF144/BA144%</f>
        <v>#DIV/0!</v>
      </c>
      <c r="BG143" s="557" t="e">
        <f>BG144/BA144%</f>
        <v>#DIV/0!</v>
      </c>
      <c r="BI143" s="557" t="e">
        <f>SUM(BK143:BO143)</f>
        <v>#DIV/0!</v>
      </c>
      <c r="BJ143" s="557" t="e">
        <f t="shared" si="904"/>
        <v>#DIV/0!</v>
      </c>
      <c r="BK143" s="557" t="e">
        <f>BK144/BI144%</f>
        <v>#DIV/0!</v>
      </c>
      <c r="BL143" s="557" t="e">
        <f>BL144/BI144%</f>
        <v>#DIV/0!</v>
      </c>
      <c r="BM143" s="557" t="e">
        <f>BM144/BI144%</f>
        <v>#DIV/0!</v>
      </c>
      <c r="BN143" s="557" t="e">
        <f>BN144/BI144%</f>
        <v>#DIV/0!</v>
      </c>
      <c r="BO143" s="557" t="e">
        <f>BO144/BI144%</f>
        <v>#DIV/0!</v>
      </c>
      <c r="BQ143" s="557" t="e">
        <f>SUM(BS143:BW143)</f>
        <v>#DIV/0!</v>
      </c>
      <c r="BR143" s="557" t="e">
        <f t="shared" si="909"/>
        <v>#DIV/0!</v>
      </c>
      <c r="BS143" s="557" t="e">
        <f>BS144/BQ144%</f>
        <v>#DIV/0!</v>
      </c>
      <c r="BT143" s="557" t="e">
        <f>BT144/BQ144%</f>
        <v>#DIV/0!</v>
      </c>
      <c r="BU143" s="557" t="e">
        <f>BU144/BQ144%</f>
        <v>#DIV/0!</v>
      </c>
      <c r="BV143" s="557" t="e">
        <f>BV144/BQ144%</f>
        <v>#DIV/0!</v>
      </c>
      <c r="BW143" s="557" t="e">
        <f>BW144/BQ144%</f>
        <v>#DIV/0!</v>
      </c>
      <c r="BY143" s="557" t="e">
        <f>SUM(CA143:CE143)</f>
        <v>#DIV/0!</v>
      </c>
      <c r="BZ143" s="557" t="e">
        <f t="shared" si="914"/>
        <v>#DIV/0!</v>
      </c>
      <c r="CA143" s="557" t="e">
        <f>CA144/BY144%</f>
        <v>#DIV/0!</v>
      </c>
      <c r="CB143" s="557" t="e">
        <f>CB144/BY144%</f>
        <v>#DIV/0!</v>
      </c>
      <c r="CC143" s="557" t="e">
        <f>CC144/BY144%</f>
        <v>#DIV/0!</v>
      </c>
      <c r="CD143" s="557" t="e">
        <f>CD144/BY144%</f>
        <v>#DIV/0!</v>
      </c>
      <c r="CE143" s="557" t="e">
        <f>CE144/BY144%</f>
        <v>#DIV/0!</v>
      </c>
      <c r="CG143" s="557" t="e">
        <f>SUM(CI143:CM143)</f>
        <v>#DIV/0!</v>
      </c>
      <c r="CH143" s="557" t="e">
        <f t="shared" si="919"/>
        <v>#DIV/0!</v>
      </c>
      <c r="CI143" s="557" t="e">
        <f>CI144/CG144%</f>
        <v>#DIV/0!</v>
      </c>
      <c r="CJ143" s="557" t="e">
        <f>CJ144/CG144%</f>
        <v>#DIV/0!</v>
      </c>
      <c r="CK143" s="557" t="e">
        <f>CK144/CG144%</f>
        <v>#DIV/0!</v>
      </c>
      <c r="CL143" s="557" t="e">
        <f>CL144/CG144%</f>
        <v>#DIV/0!</v>
      </c>
      <c r="CM143" s="557" t="e">
        <f>CM144/CG144%</f>
        <v>#DIV/0!</v>
      </c>
      <c r="CO143" s="557" t="e">
        <f>SUM(CQ143:CU143)</f>
        <v>#DIV/0!</v>
      </c>
      <c r="CP143" s="557" t="e">
        <f t="shared" si="923"/>
        <v>#DIV/0!</v>
      </c>
      <c r="CQ143" s="557" t="e">
        <f>CQ144/CO144%</f>
        <v>#DIV/0!</v>
      </c>
      <c r="CR143" s="557" t="e">
        <f>CR144/CO144%</f>
        <v>#DIV/0!</v>
      </c>
      <c r="CS143" s="557" t="e">
        <f>CS144/CO144%</f>
        <v>#DIV/0!</v>
      </c>
      <c r="CT143" s="557" t="e">
        <f>CT144/CO144%</f>
        <v>#DIV/0!</v>
      </c>
      <c r="CU143" s="557" t="e">
        <f>CU144/CO144%</f>
        <v>#DIV/0!</v>
      </c>
      <c r="CW143" s="557" t="e">
        <f>SUM(CY143:DC143)</f>
        <v>#DIV/0!</v>
      </c>
      <c r="CX143" s="557" t="e">
        <f t="shared" si="928"/>
        <v>#DIV/0!</v>
      </c>
      <c r="CY143" s="557" t="e">
        <f>CY144/CW144%</f>
        <v>#DIV/0!</v>
      </c>
      <c r="CZ143" s="557" t="e">
        <f>CZ144/CW144%</f>
        <v>#DIV/0!</v>
      </c>
      <c r="DA143" s="557" t="e">
        <f>DA144/CW144%</f>
        <v>#DIV/0!</v>
      </c>
      <c r="DB143" s="557" t="e">
        <f>DB144/CW144%</f>
        <v>#DIV/0!</v>
      </c>
      <c r="DC143" s="557" t="e">
        <f>DC144/CW144%</f>
        <v>#DIV/0!</v>
      </c>
      <c r="DE143" s="673">
        <v>612384.90800000005</v>
      </c>
      <c r="DF143" s="673">
        <v>171153.24631662155</v>
      </c>
      <c r="DG143" s="673">
        <v>7702.1373560745915</v>
      </c>
      <c r="DH143" s="673">
        <v>433529.52432730392</v>
      </c>
    </row>
    <row r="144" spans="1:117" s="673" customFormat="1" ht="26.25" customHeight="1">
      <c r="A144" s="674"/>
      <c r="B144" s="675" t="s">
        <v>72</v>
      </c>
      <c r="C144" s="671" t="s">
        <v>9</v>
      </c>
      <c r="D144" s="238">
        <f>SUM(F144:I144)</f>
        <v>6543440.7509104647</v>
      </c>
      <c r="E144" s="557">
        <f t="shared" si="1158"/>
        <v>4866139.75</v>
      </c>
      <c r="F144" s="238">
        <f>F142/8*10</f>
        <v>2788038.75</v>
      </c>
      <c r="G144" s="238">
        <f>G142+G143</f>
        <v>2078101</v>
      </c>
      <c r="H144" s="238">
        <f t="shared" ref="H144:J144" si="1196">H145-H141</f>
        <v>1630390.4528624164</v>
      </c>
      <c r="I144" s="238">
        <f t="shared" si="1196"/>
        <v>46910.548048048091</v>
      </c>
      <c r="J144" s="238">
        <f t="shared" si="1196"/>
        <v>0</v>
      </c>
      <c r="K144" s="459"/>
      <c r="M144" s="743">
        <f>SUM(O144:R144)</f>
        <v>81580.598270000031</v>
      </c>
      <c r="N144" s="557">
        <f t="shared" si="890"/>
        <v>-16660.542515435081</v>
      </c>
      <c r="O144" s="238">
        <v>48761.865643058438</v>
      </c>
      <c r="P144" s="238">
        <v>-65422.408158493519</v>
      </c>
      <c r="Q144" s="238">
        <v>116930.41444995739</v>
      </c>
      <c r="R144" s="238">
        <v>-18689.273664522276</v>
      </c>
      <c r="S144" s="238">
        <f>S145-S141</f>
        <v>0</v>
      </c>
      <c r="U144" s="743">
        <f>-193734941.33/1000</f>
        <v>-193734.94133</v>
      </c>
      <c r="V144" s="557">
        <f t="shared" si="891"/>
        <v>-117309.13983169841</v>
      </c>
      <c r="W144" s="238">
        <v>-35881.315588762285</v>
      </c>
      <c r="X144" s="238">
        <v>-81427.824242936127</v>
      </c>
      <c r="Y144" s="238">
        <v>-61434.582335178202</v>
      </c>
      <c r="Z144" s="238">
        <v>-14991.484939735292</v>
      </c>
      <c r="AA144" s="238">
        <f t="shared" ref="AA144" si="1197">$U$144*(AA145/$U$145)</f>
        <v>0</v>
      </c>
      <c r="AC144" s="743">
        <f>SUM(AE144:AH144)</f>
        <v>601610.42130158877</v>
      </c>
      <c r="AD144" s="557">
        <f t="shared" si="892"/>
        <v>321501.48818408255</v>
      </c>
      <c r="AE144" s="238">
        <v>289261.39578387584</v>
      </c>
      <c r="AF144" s="238">
        <v>32240.092400206689</v>
      </c>
      <c r="AG144" s="238">
        <v>295680.54374577565</v>
      </c>
      <c r="AH144" s="238">
        <v>-15571.610628269471</v>
      </c>
      <c r="AI144" s="238">
        <f t="shared" ref="AI144" si="1198">$AC$144*(AI145/$AC$145)</f>
        <v>0</v>
      </c>
      <c r="AK144" s="743">
        <f>595605810.534286/1000</f>
        <v>595605.81053428608</v>
      </c>
      <c r="AL144" s="557">
        <f t="shared" si="897"/>
        <v>324960.81511958613</v>
      </c>
      <c r="AM144" s="238">
        <v>271207.13625813916</v>
      </c>
      <c r="AN144" s="238">
        <v>53753.67886144697</v>
      </c>
      <c r="AO144" s="238">
        <v>286980.95713546884</v>
      </c>
      <c r="AP144" s="238">
        <v>-16335.86949223289</v>
      </c>
      <c r="AQ144" s="238">
        <f t="shared" ref="AQ144" si="1199">$AK$144*(AQ145/$AK$145)</f>
        <v>0</v>
      </c>
      <c r="AS144" s="743">
        <f>835578626.292286/1000</f>
        <v>835578.62629228609</v>
      </c>
      <c r="AT144" s="557">
        <f t="shared" si="898"/>
        <v>381784.29740694549</v>
      </c>
      <c r="AU144" s="238">
        <v>282417.14948679658</v>
      </c>
      <c r="AV144" s="238">
        <v>99367.147920148942</v>
      </c>
      <c r="AW144" s="238">
        <v>386832.33803495066</v>
      </c>
      <c r="AX144" s="238">
        <v>-18895.867909610402</v>
      </c>
      <c r="AY144" s="238"/>
      <c r="BA144" s="238" t="e">
        <f>SUM(BC144:BG144)</f>
        <v>#DIV/0!</v>
      </c>
      <c r="BB144" s="557" t="e">
        <f t="shared" si="899"/>
        <v>#DIV/0!</v>
      </c>
      <c r="BC144" s="238" t="e">
        <f>BC145-BC141</f>
        <v>#DIV/0!</v>
      </c>
      <c r="BD144" s="238" t="e">
        <f>BD145-BD141</f>
        <v>#DIV/0!</v>
      </c>
      <c r="BE144" s="238" t="e">
        <f>BE145-BE141</f>
        <v>#DIV/0!</v>
      </c>
      <c r="BF144" s="238" t="e">
        <f>BF145-BF141</f>
        <v>#DIV/0!</v>
      </c>
      <c r="BG144" s="238" t="e">
        <f>BG145-BG141</f>
        <v>#DIV/0!</v>
      </c>
      <c r="BI144" s="238" t="e">
        <f>SUM(BK144:BO144)</f>
        <v>#DIV/0!</v>
      </c>
      <c r="BJ144" s="557" t="e">
        <f t="shared" si="904"/>
        <v>#DIV/0!</v>
      </c>
      <c r="BK144" s="238" t="e">
        <f>BK145-BK141</f>
        <v>#DIV/0!</v>
      </c>
      <c r="BL144" s="238" t="e">
        <f>BL145-BL141</f>
        <v>#DIV/0!</v>
      </c>
      <c r="BM144" s="238" t="e">
        <f>BM145-BM141</f>
        <v>#DIV/0!</v>
      </c>
      <c r="BN144" s="238" t="e">
        <f>BN145-BN141</f>
        <v>#DIV/0!</v>
      </c>
      <c r="BO144" s="238" t="e">
        <f>BO145-BO141</f>
        <v>#DIV/0!</v>
      </c>
      <c r="BQ144" s="238" t="e">
        <f>SUM(BS144:BW144)</f>
        <v>#DIV/0!</v>
      </c>
      <c r="BR144" s="557" t="e">
        <f t="shared" si="909"/>
        <v>#DIV/0!</v>
      </c>
      <c r="BS144" s="238" t="e">
        <f>BS145-BS141</f>
        <v>#DIV/0!</v>
      </c>
      <c r="BT144" s="238" t="e">
        <f>BT145-BT141</f>
        <v>#DIV/0!</v>
      </c>
      <c r="BU144" s="238" t="e">
        <f>BU145-BU141</f>
        <v>#DIV/0!</v>
      </c>
      <c r="BV144" s="238" t="e">
        <f>BV145-BV141</f>
        <v>#DIV/0!</v>
      </c>
      <c r="BW144" s="238" t="e">
        <f>BW145-BW141</f>
        <v>#DIV/0!</v>
      </c>
      <c r="BY144" s="238" t="e">
        <f>SUM(CA144:CE144)</f>
        <v>#DIV/0!</v>
      </c>
      <c r="BZ144" s="557" t="e">
        <f t="shared" si="914"/>
        <v>#DIV/0!</v>
      </c>
      <c r="CA144" s="238" t="e">
        <f>CA145-CA141</f>
        <v>#DIV/0!</v>
      </c>
      <c r="CB144" s="238" t="e">
        <f>CB145-CB141</f>
        <v>#DIV/0!</v>
      </c>
      <c r="CC144" s="238" t="e">
        <f>CC145-CC141</f>
        <v>#DIV/0!</v>
      </c>
      <c r="CD144" s="238" t="e">
        <f>CD145-CD141</f>
        <v>#DIV/0!</v>
      </c>
      <c r="CE144" s="238" t="e">
        <f>CE145-CE141</f>
        <v>#DIV/0!</v>
      </c>
      <c r="CG144" s="238" t="e">
        <f>SUM(CI144:CM144)</f>
        <v>#DIV/0!</v>
      </c>
      <c r="CH144" s="557" t="e">
        <f t="shared" si="919"/>
        <v>#DIV/0!</v>
      </c>
      <c r="CI144" s="238" t="e">
        <f>CI145-CI141</f>
        <v>#DIV/0!</v>
      </c>
      <c r="CJ144" s="238" t="e">
        <f>CJ145-CJ141</f>
        <v>#DIV/0!</v>
      </c>
      <c r="CK144" s="238" t="e">
        <f>CK145-CK141</f>
        <v>#DIV/0!</v>
      </c>
      <c r="CL144" s="238" t="e">
        <f>CL145-CL141</f>
        <v>#DIV/0!</v>
      </c>
      <c r="CM144" s="238" t="e">
        <f>CM145-CM141</f>
        <v>#DIV/0!</v>
      </c>
      <c r="CO144" s="238" t="e">
        <f>SUM(CQ144:CU144)</f>
        <v>#DIV/0!</v>
      </c>
      <c r="CP144" s="557" t="e">
        <f t="shared" si="923"/>
        <v>#DIV/0!</v>
      </c>
      <c r="CQ144" s="238" t="e">
        <f>CQ145-CQ141</f>
        <v>#DIV/0!</v>
      </c>
      <c r="CR144" s="238" t="e">
        <f>CR145-CR141</f>
        <v>#DIV/0!</v>
      </c>
      <c r="CS144" s="238" t="e">
        <f>CS145-CS141</f>
        <v>#DIV/0!</v>
      </c>
      <c r="CT144" s="238" t="e">
        <f>CT145-CT141</f>
        <v>#DIV/0!</v>
      </c>
      <c r="CU144" s="238" t="e">
        <f>CU145-CU141</f>
        <v>#DIV/0!</v>
      </c>
      <c r="CW144" s="238" t="e">
        <f>SUM(CY144:DC144)</f>
        <v>#DIV/0!</v>
      </c>
      <c r="CX144" s="557" t="e">
        <f t="shared" si="928"/>
        <v>#DIV/0!</v>
      </c>
      <c r="CY144" s="238" t="e">
        <f>CY145-CY141</f>
        <v>#DIV/0!</v>
      </c>
      <c r="CZ144" s="238" t="e">
        <f>CZ145-CZ141</f>
        <v>#DIV/0!</v>
      </c>
      <c r="DA144" s="238" t="e">
        <f>DA145-DA141</f>
        <v>#DIV/0!</v>
      </c>
      <c r="DB144" s="238" t="e">
        <f>DB145-DB141</f>
        <v>#DIV/0!</v>
      </c>
      <c r="DC144" s="238" t="e">
        <f>DC145-DC141</f>
        <v>#DIV/0!</v>
      </c>
    </row>
    <row r="145" spans="1:107" s="673" customFormat="1" ht="34.5" customHeight="1">
      <c r="A145" s="669" t="s">
        <v>73</v>
      </c>
      <c r="B145" s="670" t="s">
        <v>74</v>
      </c>
      <c r="C145" s="671" t="s">
        <v>9</v>
      </c>
      <c r="D145" s="694">
        <f>SUM(F145:I145)</f>
        <v>14570107.372359265</v>
      </c>
      <c r="E145" s="694">
        <f t="shared" si="1158"/>
        <v>8736016.9344098233</v>
      </c>
      <c r="F145" s="694">
        <f>F141+F144</f>
        <v>4860101.1719599906</v>
      </c>
      <c r="G145" s="694">
        <f>G141+G144</f>
        <v>3875915.7624498331</v>
      </c>
      <c r="H145" s="694">
        <f t="shared" ref="H145:J145" si="1200">H141*0.8/(0.8-23%)</f>
        <v>5670923.3143040584</v>
      </c>
      <c r="I145" s="694">
        <f t="shared" si="1200"/>
        <v>163167.12364538468</v>
      </c>
      <c r="J145" s="694">
        <f t="shared" si="1200"/>
        <v>0</v>
      </c>
      <c r="K145" s="744"/>
      <c r="M145" s="694">
        <f>SUM(O145:S145)</f>
        <v>752999.62890000001</v>
      </c>
      <c r="N145" s="694">
        <f t="shared" si="890"/>
        <v>408616.64201000001</v>
      </c>
      <c r="O145" s="702">
        <f>286218575.87/1000</f>
        <v>286218.57587</v>
      </c>
      <c r="P145" s="702">
        <f>122398066.14/1000</f>
        <v>122398.06614</v>
      </c>
      <c r="Q145" s="702">
        <f>344382986.89/1000</f>
        <v>344382.98689</v>
      </c>
      <c r="R145" s="702"/>
      <c r="S145" s="702"/>
      <c r="U145" s="694">
        <f>SUM(W145:AA145)</f>
        <v>475265.96844000008</v>
      </c>
      <c r="V145" s="694">
        <f t="shared" si="891"/>
        <v>288378.43567000004</v>
      </c>
      <c r="W145" s="702">
        <f>192159905.09/1000</f>
        <v>192159.90509000001</v>
      </c>
      <c r="X145" s="702">
        <f>96218530.58/1000</f>
        <v>96218.530579999991</v>
      </c>
      <c r="Y145" s="702">
        <f>(186581907.77/1000)+(305625/1000)</f>
        <v>186887.53277000002</v>
      </c>
      <c r="Z145" s="702"/>
      <c r="AA145" s="702"/>
      <c r="AC145" s="694">
        <f>SUM(AE145:AI145)</f>
        <v>1255588.25773</v>
      </c>
      <c r="AD145" s="694">
        <f t="shared" si="892"/>
        <v>735521.08268999995</v>
      </c>
      <c r="AE145" s="702">
        <f>521836232.46/1000</f>
        <v>521836.23245999997</v>
      </c>
      <c r="AF145" s="702">
        <f>213684850.23/1000</f>
        <v>213684.85022999998</v>
      </c>
      <c r="AG145" s="702">
        <f>(518902889.44/1000)+(1164285.6/1000)</f>
        <v>520067.17504</v>
      </c>
      <c r="AH145" s="702"/>
      <c r="AI145" s="702"/>
      <c r="AK145" s="694">
        <f>SUM(AM145:AQ145)</f>
        <v>1232818.7299299999</v>
      </c>
      <c r="AL145" s="694">
        <f t="shared" si="897"/>
        <v>732424.98222999997</v>
      </c>
      <c r="AM145" s="702">
        <f>499546742.13/1000</f>
        <v>499546.74212999997</v>
      </c>
      <c r="AN145" s="702">
        <f>232878240.1/1000</f>
        <v>232878.2401</v>
      </c>
      <c r="AO145" s="702">
        <f>499753390.62/1000+640357.08/1000</f>
        <v>500393.74770000001</v>
      </c>
      <c r="AP145" s="702"/>
      <c r="AQ145" s="702"/>
      <c r="AS145" s="694">
        <f>SUM(AU145:AY145)</f>
        <v>1089159.7709679999</v>
      </c>
      <c r="AT145" s="694">
        <f t="shared" si="898"/>
        <v>651720.62736799999</v>
      </c>
      <c r="AU145" s="702">
        <f>428499458.658/1000</f>
        <v>428499.45865799999</v>
      </c>
      <c r="AV145" s="702">
        <f>223221168.71/1000</f>
        <v>223221.16871</v>
      </c>
      <c r="AW145" s="702">
        <f>432117963.13/1000+2488660.47/1000</f>
        <v>434606.62359999999</v>
      </c>
      <c r="AX145" s="702">
        <f>1793821/1000</f>
        <v>1793.8209999999999</v>
      </c>
      <c r="AY145" s="702">
        <f>1038699/1000</f>
        <v>1038.6990000000001</v>
      </c>
      <c r="BA145" s="694">
        <f>SUM(BC145:BG145)</f>
        <v>0</v>
      </c>
      <c r="BB145" s="694"/>
      <c r="BC145" s="702"/>
      <c r="BD145" s="702"/>
      <c r="BE145" s="702"/>
      <c r="BF145" s="702"/>
      <c r="BG145" s="702"/>
      <c r="BI145" s="694">
        <f>SUM(BK145:BO145)</f>
        <v>0</v>
      </c>
      <c r="BJ145" s="694"/>
      <c r="BK145" s="702"/>
      <c r="BL145" s="702"/>
      <c r="BM145" s="702"/>
      <c r="BN145" s="702"/>
      <c r="BO145" s="702"/>
      <c r="BQ145" s="694">
        <f>SUM(BS145:BW145)</f>
        <v>0</v>
      </c>
      <c r="BR145" s="694"/>
      <c r="BS145" s="702"/>
      <c r="BT145" s="702"/>
      <c r="BU145" s="702"/>
      <c r="BV145" s="702"/>
      <c r="BW145" s="702"/>
      <c r="BY145" s="694">
        <f>SUM(CA145:CE145)</f>
        <v>0</v>
      </c>
      <c r="BZ145" s="694"/>
      <c r="CA145" s="702"/>
      <c r="CB145" s="702"/>
      <c r="CC145" s="702"/>
      <c r="CD145" s="702"/>
      <c r="CE145" s="702"/>
      <c r="CG145" s="694">
        <f>SUM(CI145:CM145)</f>
        <v>0</v>
      </c>
      <c r="CH145" s="694"/>
      <c r="CI145" s="702"/>
      <c r="CJ145" s="702"/>
      <c r="CK145" s="702"/>
      <c r="CL145" s="702"/>
      <c r="CM145" s="702"/>
      <c r="CO145" s="694">
        <f>SUM(CQ145:CU145)</f>
        <v>0</v>
      </c>
      <c r="CP145" s="694"/>
      <c r="CQ145" s="702"/>
      <c r="CR145" s="702"/>
      <c r="CS145" s="702"/>
      <c r="CT145" s="702"/>
      <c r="CU145" s="702"/>
      <c r="CW145" s="694">
        <f>SUM(CY145:DC145)</f>
        <v>0</v>
      </c>
      <c r="CX145" s="694"/>
      <c r="CY145" s="702"/>
      <c r="CZ145" s="702"/>
      <c r="DA145" s="702"/>
      <c r="DB145" s="702"/>
      <c r="DC145" s="702"/>
    </row>
    <row r="146" spans="1:107" s="673" customFormat="1" ht="27.75" customHeight="1">
      <c r="A146" s="852" t="s">
        <v>75</v>
      </c>
      <c r="B146" s="855" t="s">
        <v>76</v>
      </c>
      <c r="C146" s="745" t="s">
        <v>77</v>
      </c>
      <c r="D146" s="746" t="s">
        <v>133</v>
      </c>
      <c r="E146" s="566"/>
      <c r="F146" s="566">
        <v>1632149</v>
      </c>
      <c r="G146" s="566"/>
      <c r="H146" s="747"/>
      <c r="I146" s="566"/>
      <c r="J146" s="566"/>
      <c r="K146" s="676"/>
      <c r="M146" s="746" t="s">
        <v>133</v>
      </c>
      <c r="N146" s="566"/>
      <c r="O146" s="691">
        <v>96111.011999999988</v>
      </c>
      <c r="P146" s="566"/>
      <c r="Q146" s="748"/>
      <c r="R146" s="566"/>
      <c r="S146" s="566"/>
      <c r="U146" s="746" t="s">
        <v>133</v>
      </c>
      <c r="V146" s="566"/>
      <c r="W146" s="691">
        <v>64526.492000000006</v>
      </c>
      <c r="X146" s="566"/>
      <c r="Y146" s="748"/>
      <c r="Z146" s="566"/>
      <c r="AA146" s="566"/>
      <c r="AC146" s="746" t="s">
        <v>133</v>
      </c>
      <c r="AD146" s="566"/>
      <c r="AE146" s="691">
        <v>175230.43800000002</v>
      </c>
      <c r="AF146" s="566"/>
      <c r="AG146" s="748"/>
      <c r="AH146" s="566"/>
      <c r="AI146" s="566"/>
      <c r="AK146" s="746" t="s">
        <v>133</v>
      </c>
      <c r="AL146" s="566"/>
      <c r="AM146" s="691">
        <v>167745.71599999996</v>
      </c>
      <c r="AN146" s="566"/>
      <c r="AO146" s="748"/>
      <c r="AP146" s="566"/>
      <c r="AQ146" s="566"/>
      <c r="AS146" s="746" t="s">
        <v>133</v>
      </c>
      <c r="AT146" s="566"/>
      <c r="AU146" s="691">
        <v>143888.33199999997</v>
      </c>
      <c r="AV146" s="566"/>
      <c r="AW146" s="748"/>
      <c r="AX146" s="566"/>
      <c r="AY146" s="566"/>
      <c r="BA146" s="746" t="s">
        <v>133</v>
      </c>
      <c r="BB146" s="566"/>
      <c r="BC146" s="680"/>
      <c r="BD146" s="566"/>
      <c r="BE146" s="748"/>
      <c r="BF146" s="566"/>
      <c r="BG146" s="566"/>
      <c r="BI146" s="746" t="s">
        <v>133</v>
      </c>
      <c r="BJ146" s="566"/>
      <c r="BK146" s="680"/>
      <c r="BL146" s="566"/>
      <c r="BM146" s="748"/>
      <c r="BN146" s="566"/>
      <c r="BO146" s="566"/>
      <c r="BQ146" s="746" t="s">
        <v>133</v>
      </c>
      <c r="BR146" s="566"/>
      <c r="BS146" s="680"/>
      <c r="BT146" s="566"/>
      <c r="BU146" s="748"/>
      <c r="BV146" s="566"/>
      <c r="BW146" s="566"/>
      <c r="BY146" s="746" t="s">
        <v>133</v>
      </c>
      <c r="BZ146" s="566"/>
      <c r="CA146" s="680"/>
      <c r="CB146" s="566"/>
      <c r="CC146" s="748"/>
      <c r="CD146" s="566"/>
      <c r="CE146" s="566"/>
      <c r="CG146" s="746" t="s">
        <v>133</v>
      </c>
      <c r="CH146" s="566"/>
      <c r="CI146" s="680"/>
      <c r="CJ146" s="566"/>
      <c r="CK146" s="748"/>
      <c r="CL146" s="566"/>
      <c r="CM146" s="566"/>
      <c r="CO146" s="746" t="s">
        <v>133</v>
      </c>
      <c r="CP146" s="566"/>
      <c r="CQ146" s="680"/>
      <c r="CR146" s="566"/>
      <c r="CS146" s="748"/>
      <c r="CT146" s="566"/>
      <c r="CU146" s="566"/>
      <c r="CW146" s="746" t="s">
        <v>133</v>
      </c>
      <c r="CX146" s="566"/>
      <c r="CY146" s="680"/>
      <c r="CZ146" s="566"/>
      <c r="DA146" s="748"/>
      <c r="DB146" s="566"/>
      <c r="DC146" s="566"/>
    </row>
    <row r="147" spans="1:107" s="673" customFormat="1" ht="27.75" customHeight="1">
      <c r="A147" s="853"/>
      <c r="B147" s="856"/>
      <c r="C147" s="745" t="s">
        <v>131</v>
      </c>
      <c r="D147" s="746" t="s">
        <v>134</v>
      </c>
      <c r="E147" s="566"/>
      <c r="F147" s="566"/>
      <c r="G147" s="566">
        <v>750083</v>
      </c>
      <c r="H147" s="566"/>
      <c r="I147" s="566"/>
      <c r="J147" s="566"/>
      <c r="K147" s="676"/>
      <c r="M147" s="746" t="s">
        <v>134</v>
      </c>
      <c r="N147" s="566"/>
      <c r="O147" s="566"/>
      <c r="P147" s="728">
        <v>23688.420000000002</v>
      </c>
      <c r="Q147" s="566"/>
      <c r="R147" s="566"/>
      <c r="S147" s="566"/>
      <c r="U147" s="746" t="s">
        <v>134</v>
      </c>
      <c r="V147" s="566"/>
      <c r="W147" s="566"/>
      <c r="X147" s="728">
        <v>18621.739999999998</v>
      </c>
      <c r="Y147" s="566"/>
      <c r="Z147" s="566"/>
      <c r="AA147" s="566"/>
      <c r="AC147" s="746" t="s">
        <v>134</v>
      </c>
      <c r="AD147" s="566"/>
      <c r="AE147" s="566"/>
      <c r="AF147" s="728">
        <v>41355.006999999998</v>
      </c>
      <c r="AG147" s="566"/>
      <c r="AH147" s="566"/>
      <c r="AI147" s="566"/>
      <c r="AK147" s="746" t="s">
        <v>134</v>
      </c>
      <c r="AL147" s="566"/>
      <c r="AM147" s="566"/>
      <c r="AN147" s="728">
        <v>45071.0864</v>
      </c>
      <c r="AO147" s="566"/>
      <c r="AP147" s="566"/>
      <c r="AQ147" s="566"/>
      <c r="AS147" s="746" t="s">
        <v>134</v>
      </c>
      <c r="AT147" s="566"/>
      <c r="AU147" s="566"/>
      <c r="AV147" s="728">
        <v>43202.365099999981</v>
      </c>
      <c r="AW147" s="566"/>
      <c r="AX147" s="566"/>
      <c r="AY147" s="566"/>
      <c r="BA147" s="746" t="s">
        <v>134</v>
      </c>
      <c r="BB147" s="566"/>
      <c r="BC147" s="566"/>
      <c r="BD147" s="728"/>
      <c r="BE147" s="566"/>
      <c r="BF147" s="566"/>
      <c r="BG147" s="566"/>
      <c r="BI147" s="746" t="s">
        <v>134</v>
      </c>
      <c r="BJ147" s="566"/>
      <c r="BK147" s="566"/>
      <c r="BL147" s="728"/>
      <c r="BM147" s="566"/>
      <c r="BN147" s="566"/>
      <c r="BO147" s="566"/>
      <c r="BQ147" s="746" t="s">
        <v>134</v>
      </c>
      <c r="BR147" s="566"/>
      <c r="BS147" s="566"/>
      <c r="BT147" s="728"/>
      <c r="BU147" s="566"/>
      <c r="BV147" s="566"/>
      <c r="BW147" s="566"/>
      <c r="BY147" s="746" t="s">
        <v>134</v>
      </c>
      <c r="BZ147" s="566"/>
      <c r="CA147" s="566"/>
      <c r="CB147" s="728"/>
      <c r="CC147" s="566"/>
      <c r="CD147" s="566"/>
      <c r="CE147" s="566"/>
      <c r="CG147" s="746" t="s">
        <v>134</v>
      </c>
      <c r="CH147" s="566"/>
      <c r="CI147" s="566"/>
      <c r="CJ147" s="728"/>
      <c r="CK147" s="566"/>
      <c r="CL147" s="566"/>
      <c r="CM147" s="566"/>
      <c r="CO147" s="746" t="s">
        <v>134</v>
      </c>
      <c r="CP147" s="566"/>
      <c r="CQ147" s="566"/>
      <c r="CR147" s="728"/>
      <c r="CS147" s="566"/>
      <c r="CT147" s="566"/>
      <c r="CU147" s="566"/>
      <c r="CW147" s="746" t="s">
        <v>134</v>
      </c>
      <c r="CX147" s="566"/>
      <c r="CY147" s="566"/>
      <c r="CZ147" s="728"/>
      <c r="DA147" s="566"/>
      <c r="DB147" s="566"/>
      <c r="DC147" s="566"/>
    </row>
    <row r="148" spans="1:107" s="673" customFormat="1" ht="27.75" customHeight="1">
      <c r="A148" s="853"/>
      <c r="B148" s="856"/>
      <c r="C148" s="745"/>
      <c r="D148" s="746" t="s">
        <v>133</v>
      </c>
      <c r="E148" s="566"/>
      <c r="F148" s="566"/>
      <c r="G148" s="566"/>
      <c r="H148" s="566">
        <v>2358421.7479999997</v>
      </c>
      <c r="I148" s="566"/>
      <c r="J148" s="566"/>
      <c r="K148" s="676"/>
      <c r="M148" s="746" t="s">
        <v>133</v>
      </c>
      <c r="N148" s="566"/>
      <c r="O148" s="566"/>
      <c r="P148" s="566"/>
      <c r="Q148" s="728">
        <v>160029.26300185875</v>
      </c>
      <c r="R148" s="566"/>
      <c r="S148" s="566"/>
      <c r="U148" s="746" t="s">
        <v>133</v>
      </c>
      <c r="V148" s="566"/>
      <c r="W148" s="566"/>
      <c r="X148" s="566"/>
      <c r="Y148" s="728">
        <f>86701.63+10.5</f>
        <v>86712.13</v>
      </c>
      <c r="Z148" s="566"/>
      <c r="AA148" s="566"/>
      <c r="AC148" s="746" t="s">
        <v>133</v>
      </c>
      <c r="AD148" s="566"/>
      <c r="AE148" s="566"/>
      <c r="AF148" s="566"/>
      <c r="AG148" s="728">
        <f>241125.88+40</f>
        <v>241165.88</v>
      </c>
      <c r="AH148" s="566"/>
      <c r="AI148" s="566"/>
      <c r="AK148" s="746" t="s">
        <v>133</v>
      </c>
      <c r="AL148" s="566"/>
      <c r="AM148" s="566"/>
      <c r="AN148" s="566"/>
      <c r="AO148" s="728">
        <f>232227.412+22</f>
        <v>232249.41200000001</v>
      </c>
      <c r="AP148" s="566"/>
      <c r="AQ148" s="566"/>
      <c r="AS148" s="746" t="s">
        <v>133</v>
      </c>
      <c r="AT148" s="566"/>
      <c r="AU148" s="566"/>
      <c r="AV148" s="566"/>
      <c r="AW148" s="728">
        <f>200798.31+85.5</f>
        <v>200883.81</v>
      </c>
      <c r="AX148" s="566"/>
      <c r="AY148" s="566"/>
      <c r="BA148" s="746" t="s">
        <v>133</v>
      </c>
      <c r="BB148" s="566"/>
      <c r="BC148" s="566"/>
      <c r="BD148" s="566"/>
      <c r="BE148" s="728"/>
      <c r="BF148" s="566"/>
      <c r="BG148" s="566"/>
      <c r="BI148" s="746" t="s">
        <v>133</v>
      </c>
      <c r="BJ148" s="566"/>
      <c r="BK148" s="566"/>
      <c r="BL148" s="566"/>
      <c r="BM148" s="728"/>
      <c r="BN148" s="566"/>
      <c r="BO148" s="566"/>
      <c r="BQ148" s="746" t="s">
        <v>133</v>
      </c>
      <c r="BR148" s="566"/>
      <c r="BS148" s="566"/>
      <c r="BT148" s="566"/>
      <c r="BU148" s="728"/>
      <c r="BV148" s="566"/>
      <c r="BW148" s="566"/>
      <c r="BY148" s="746" t="s">
        <v>133</v>
      </c>
      <c r="BZ148" s="566"/>
      <c r="CA148" s="566"/>
      <c r="CB148" s="566"/>
      <c r="CC148" s="728"/>
      <c r="CD148" s="566"/>
      <c r="CE148" s="566"/>
      <c r="CG148" s="746" t="s">
        <v>133</v>
      </c>
      <c r="CH148" s="566"/>
      <c r="CI148" s="566"/>
      <c r="CJ148" s="566"/>
      <c r="CK148" s="728"/>
      <c r="CL148" s="566"/>
      <c r="CM148" s="566"/>
      <c r="CO148" s="746" t="s">
        <v>133</v>
      </c>
      <c r="CP148" s="566"/>
      <c r="CQ148" s="566"/>
      <c r="CR148" s="566"/>
      <c r="CS148" s="728"/>
      <c r="CT148" s="566"/>
      <c r="CU148" s="566"/>
      <c r="CW148" s="746" t="s">
        <v>133</v>
      </c>
      <c r="CX148" s="566"/>
      <c r="CY148" s="566"/>
      <c r="CZ148" s="566"/>
      <c r="DA148" s="728"/>
      <c r="DB148" s="566"/>
      <c r="DC148" s="566"/>
    </row>
    <row r="149" spans="1:107" s="673" customFormat="1" ht="27.75" customHeight="1">
      <c r="A149" s="853"/>
      <c r="B149" s="856"/>
      <c r="C149" s="745"/>
      <c r="D149" s="746" t="s">
        <v>137</v>
      </c>
      <c r="E149" s="566"/>
      <c r="F149" s="566"/>
      <c r="G149" s="566"/>
      <c r="H149" s="566"/>
      <c r="I149" s="566">
        <v>2190</v>
      </c>
      <c r="J149" s="566"/>
      <c r="K149" s="676"/>
      <c r="M149" s="746" t="s">
        <v>137</v>
      </c>
      <c r="N149" s="566"/>
      <c r="O149" s="566"/>
      <c r="P149" s="566"/>
      <c r="Q149" s="566"/>
      <c r="R149" s="728"/>
      <c r="S149" s="566"/>
      <c r="U149" s="746" t="s">
        <v>137</v>
      </c>
      <c r="V149" s="566"/>
      <c r="W149" s="566"/>
      <c r="X149" s="566"/>
      <c r="Y149" s="566"/>
      <c r="Z149" s="728"/>
      <c r="AA149" s="566"/>
      <c r="AC149" s="746" t="s">
        <v>137</v>
      </c>
      <c r="AD149" s="566"/>
      <c r="AE149" s="566"/>
      <c r="AF149" s="566"/>
      <c r="AG149" s="566"/>
      <c r="AH149" s="728"/>
      <c r="AI149" s="566"/>
      <c r="AK149" s="746" t="s">
        <v>137</v>
      </c>
      <c r="AL149" s="566"/>
      <c r="AM149" s="566"/>
      <c r="AN149" s="566"/>
      <c r="AO149" s="566"/>
      <c r="AP149" s="728"/>
      <c r="AQ149" s="566"/>
      <c r="AS149" s="746" t="s">
        <v>137</v>
      </c>
      <c r="AT149" s="566"/>
      <c r="AU149" s="566"/>
      <c r="AV149" s="566"/>
      <c r="AW149" s="566"/>
      <c r="AX149" s="728">
        <v>20</v>
      </c>
      <c r="AY149" s="566"/>
      <c r="BA149" s="746" t="s">
        <v>137</v>
      </c>
      <c r="BB149" s="566"/>
      <c r="BC149" s="566"/>
      <c r="BD149" s="566"/>
      <c r="BE149" s="566"/>
      <c r="BF149" s="728"/>
      <c r="BG149" s="566"/>
      <c r="BI149" s="746" t="s">
        <v>137</v>
      </c>
      <c r="BJ149" s="566"/>
      <c r="BK149" s="566"/>
      <c r="BL149" s="566"/>
      <c r="BM149" s="566"/>
      <c r="BN149" s="728"/>
      <c r="BO149" s="566"/>
      <c r="BQ149" s="746" t="s">
        <v>137</v>
      </c>
      <c r="BR149" s="566"/>
      <c r="BS149" s="566"/>
      <c r="BT149" s="566"/>
      <c r="BU149" s="566"/>
      <c r="BV149" s="728"/>
      <c r="BW149" s="566"/>
      <c r="BY149" s="746" t="s">
        <v>137</v>
      </c>
      <c r="BZ149" s="566"/>
      <c r="CA149" s="566"/>
      <c r="CB149" s="566"/>
      <c r="CC149" s="566"/>
      <c r="CD149" s="728"/>
      <c r="CE149" s="566"/>
      <c r="CG149" s="746" t="s">
        <v>137</v>
      </c>
      <c r="CH149" s="566"/>
      <c r="CI149" s="566"/>
      <c r="CJ149" s="566"/>
      <c r="CK149" s="566"/>
      <c r="CL149" s="728"/>
      <c r="CM149" s="566"/>
      <c r="CO149" s="746" t="s">
        <v>137</v>
      </c>
      <c r="CP149" s="566"/>
      <c r="CQ149" s="566"/>
      <c r="CR149" s="566"/>
      <c r="CS149" s="566"/>
      <c r="CT149" s="728"/>
      <c r="CU149" s="566"/>
      <c r="CW149" s="746" t="s">
        <v>137</v>
      </c>
      <c r="CX149" s="566"/>
      <c r="CY149" s="566"/>
      <c r="CZ149" s="566"/>
      <c r="DA149" s="566"/>
      <c r="DB149" s="728"/>
      <c r="DC149" s="566"/>
    </row>
    <row r="150" spans="1:107" s="673" customFormat="1" ht="27.75" customHeight="1">
      <c r="A150" s="854"/>
      <c r="B150" s="857"/>
      <c r="C150" s="745"/>
      <c r="D150" s="746" t="s">
        <v>137</v>
      </c>
      <c r="E150" s="566"/>
      <c r="F150" s="566"/>
      <c r="G150" s="566"/>
      <c r="H150" s="566"/>
      <c r="I150" s="566"/>
      <c r="J150" s="566"/>
      <c r="K150" s="676"/>
      <c r="M150" s="746" t="s">
        <v>137</v>
      </c>
      <c r="N150" s="566"/>
      <c r="O150" s="566"/>
      <c r="P150" s="566"/>
      <c r="Q150" s="566"/>
      <c r="R150" s="566"/>
      <c r="S150" s="728"/>
      <c r="U150" s="746" t="s">
        <v>137</v>
      </c>
      <c r="V150" s="566"/>
      <c r="W150" s="566"/>
      <c r="X150" s="566"/>
      <c r="Y150" s="566"/>
      <c r="Z150" s="566"/>
      <c r="AA150" s="728"/>
      <c r="AC150" s="746" t="s">
        <v>137</v>
      </c>
      <c r="AD150" s="566"/>
      <c r="AE150" s="566"/>
      <c r="AF150" s="566"/>
      <c r="AG150" s="566"/>
      <c r="AH150" s="566"/>
      <c r="AI150" s="728"/>
      <c r="AK150" s="746" t="s">
        <v>137</v>
      </c>
      <c r="AL150" s="566"/>
      <c r="AM150" s="566"/>
      <c r="AN150" s="566"/>
      <c r="AO150" s="566"/>
      <c r="AP150" s="566"/>
      <c r="AQ150" s="728"/>
      <c r="AS150" s="746" t="s">
        <v>137</v>
      </c>
      <c r="AT150" s="566"/>
      <c r="AU150" s="566"/>
      <c r="AV150" s="566"/>
      <c r="AW150" s="566"/>
      <c r="AX150" s="566"/>
      <c r="AY150" s="728">
        <v>108</v>
      </c>
      <c r="BA150" s="746" t="s">
        <v>137</v>
      </c>
      <c r="BB150" s="566"/>
      <c r="BC150" s="566"/>
      <c r="BD150" s="566"/>
      <c r="BE150" s="566"/>
      <c r="BF150" s="566"/>
      <c r="BG150" s="728"/>
      <c r="BI150" s="746" t="s">
        <v>137</v>
      </c>
      <c r="BJ150" s="566"/>
      <c r="BK150" s="566"/>
      <c r="BL150" s="566"/>
      <c r="BM150" s="566"/>
      <c r="BN150" s="566"/>
      <c r="BO150" s="728"/>
      <c r="BQ150" s="746" t="s">
        <v>137</v>
      </c>
      <c r="BR150" s="566"/>
      <c r="BS150" s="566"/>
      <c r="BT150" s="566"/>
      <c r="BU150" s="566"/>
      <c r="BV150" s="566"/>
      <c r="BW150" s="728"/>
      <c r="BY150" s="746" t="s">
        <v>137</v>
      </c>
      <c r="BZ150" s="566"/>
      <c r="CA150" s="566"/>
      <c r="CB150" s="566"/>
      <c r="CC150" s="566"/>
      <c r="CD150" s="566"/>
      <c r="CE150" s="728"/>
      <c r="CG150" s="746" t="s">
        <v>137</v>
      </c>
      <c r="CH150" s="566"/>
      <c r="CI150" s="566"/>
      <c r="CJ150" s="566"/>
      <c r="CK150" s="566"/>
      <c r="CL150" s="566"/>
      <c r="CM150" s="728"/>
      <c r="CO150" s="746" t="s">
        <v>137</v>
      </c>
      <c r="CP150" s="566"/>
      <c r="CQ150" s="566"/>
      <c r="CR150" s="566"/>
      <c r="CS150" s="566"/>
      <c r="CT150" s="566"/>
      <c r="CU150" s="728"/>
      <c r="CW150" s="746" t="s">
        <v>137</v>
      </c>
      <c r="CX150" s="566"/>
      <c r="CY150" s="566"/>
      <c r="CZ150" s="566"/>
      <c r="DA150" s="566"/>
      <c r="DB150" s="566"/>
      <c r="DC150" s="728"/>
    </row>
    <row r="151" spans="1:107" s="750" customFormat="1" ht="26.25" customHeight="1">
      <c r="A151" s="858" t="s">
        <v>78</v>
      </c>
      <c r="B151" s="861" t="s">
        <v>79</v>
      </c>
      <c r="C151" s="745" t="s">
        <v>80</v>
      </c>
      <c r="D151" s="746" t="s">
        <v>169</v>
      </c>
      <c r="E151" s="566"/>
      <c r="F151" s="694">
        <f>(F145*1000)/F146</f>
        <v>2977.7313051443161</v>
      </c>
      <c r="G151" s="694"/>
      <c r="H151" s="749"/>
      <c r="I151" s="694"/>
      <c r="J151" s="694"/>
      <c r="K151" s="744"/>
      <c r="M151" s="746" t="s">
        <v>169</v>
      </c>
      <c r="N151" s="566"/>
      <c r="O151" s="694">
        <f>(O145*1000)/O146</f>
        <v>2977.9998141107912</v>
      </c>
      <c r="P151" s="694"/>
      <c r="Q151" s="749"/>
      <c r="R151" s="694"/>
      <c r="S151" s="694"/>
      <c r="U151" s="746" t="s">
        <v>169</v>
      </c>
      <c r="V151" s="566"/>
      <c r="W151" s="694">
        <f>(W145*1000)/W146</f>
        <v>2978.000184637342</v>
      </c>
      <c r="X151" s="694"/>
      <c r="Y151" s="749"/>
      <c r="Z151" s="694"/>
      <c r="AA151" s="694"/>
      <c r="AC151" s="746" t="s">
        <v>169</v>
      </c>
      <c r="AD151" s="566"/>
      <c r="AE151" s="694">
        <f>(AE145*1000)/AE146</f>
        <v>2977.9999320665961</v>
      </c>
      <c r="AF151" s="694"/>
      <c r="AG151" s="749"/>
      <c r="AH151" s="694"/>
      <c r="AI151" s="694"/>
      <c r="AK151" s="746" t="s">
        <v>169</v>
      </c>
      <c r="AL151" s="566"/>
      <c r="AM151" s="694">
        <f>(AM145*1000)/AM146</f>
        <v>2977.999999296555</v>
      </c>
      <c r="AN151" s="694"/>
      <c r="AO151" s="749"/>
      <c r="AP151" s="694"/>
      <c r="AQ151" s="694"/>
      <c r="AS151" s="746" t="s">
        <v>169</v>
      </c>
      <c r="AT151" s="566"/>
      <c r="AU151" s="694">
        <f>(AU145*1000)/AU146</f>
        <v>2978.0000414349101</v>
      </c>
      <c r="AV151" s="694"/>
      <c r="AW151" s="749"/>
      <c r="AX151" s="694"/>
      <c r="AY151" s="694"/>
      <c r="BA151" s="746" t="s">
        <v>169</v>
      </c>
      <c r="BB151" s="566"/>
      <c r="BC151" s="694" t="e">
        <f>(BC145*1000)/BC146</f>
        <v>#DIV/0!</v>
      </c>
      <c r="BD151" s="694"/>
      <c r="BE151" s="749"/>
      <c r="BF151" s="694"/>
      <c r="BG151" s="694"/>
      <c r="BI151" s="746" t="s">
        <v>169</v>
      </c>
      <c r="BJ151" s="566"/>
      <c r="BK151" s="694" t="e">
        <f>(BK145*1000)/BK146</f>
        <v>#DIV/0!</v>
      </c>
      <c r="BL151" s="694"/>
      <c r="BM151" s="749"/>
      <c r="BN151" s="694"/>
      <c r="BO151" s="694"/>
      <c r="BQ151" s="746" t="s">
        <v>169</v>
      </c>
      <c r="BR151" s="566"/>
      <c r="BS151" s="694" t="e">
        <f>(BS145*1000)/BS146</f>
        <v>#DIV/0!</v>
      </c>
      <c r="BT151" s="694"/>
      <c r="BU151" s="749"/>
      <c r="BV151" s="694"/>
      <c r="BW151" s="694"/>
      <c r="BY151" s="746" t="s">
        <v>169</v>
      </c>
      <c r="BZ151" s="566"/>
      <c r="CA151" s="694" t="e">
        <f>(CA145*1000)/CA146</f>
        <v>#DIV/0!</v>
      </c>
      <c r="CB151" s="694"/>
      <c r="CC151" s="749"/>
      <c r="CD151" s="694"/>
      <c r="CE151" s="694"/>
      <c r="CG151" s="746" t="s">
        <v>169</v>
      </c>
      <c r="CH151" s="566"/>
      <c r="CI151" s="694" t="e">
        <f>(CI145*1000)/CI146</f>
        <v>#DIV/0!</v>
      </c>
      <c r="CJ151" s="694"/>
      <c r="CK151" s="749"/>
      <c r="CL151" s="694"/>
      <c r="CM151" s="694"/>
      <c r="CO151" s="746" t="s">
        <v>169</v>
      </c>
      <c r="CP151" s="566"/>
      <c r="CQ151" s="694" t="e">
        <f>(CQ145*1000)/CQ146</f>
        <v>#DIV/0!</v>
      </c>
      <c r="CR151" s="694"/>
      <c r="CS151" s="749"/>
      <c r="CT151" s="694"/>
      <c r="CU151" s="694"/>
      <c r="CW151" s="746" t="s">
        <v>169</v>
      </c>
      <c r="CX151" s="566"/>
      <c r="CY151" s="694" t="e">
        <f>(CY145*1000)/CY146</f>
        <v>#DIV/0!</v>
      </c>
      <c r="CZ151" s="694"/>
      <c r="DA151" s="749"/>
      <c r="DB151" s="694"/>
      <c r="DC151" s="694"/>
    </row>
    <row r="152" spans="1:107" s="673" customFormat="1" ht="26.25" customHeight="1">
      <c r="A152" s="859"/>
      <c r="B152" s="862"/>
      <c r="C152" s="745" t="s">
        <v>89</v>
      </c>
      <c r="D152" s="746" t="s">
        <v>170</v>
      </c>
      <c r="E152" s="566"/>
      <c r="F152" s="700"/>
      <c r="G152" s="694">
        <f>(G145*1000)/G147</f>
        <v>5167.3158336475199</v>
      </c>
      <c r="H152" s="700"/>
      <c r="I152" s="700"/>
      <c r="J152" s="700"/>
      <c r="K152" s="751"/>
      <c r="M152" s="746" t="s">
        <v>170</v>
      </c>
      <c r="N152" s="566"/>
      <c r="O152" s="700"/>
      <c r="P152" s="694">
        <f>(P145*1000)/P147</f>
        <v>5167</v>
      </c>
      <c r="Q152" s="700"/>
      <c r="R152" s="700"/>
      <c r="S152" s="700"/>
      <c r="U152" s="746" t="s">
        <v>170</v>
      </c>
      <c r="V152" s="566"/>
      <c r="W152" s="700"/>
      <c r="X152" s="694">
        <f>(X145*1000)/X147</f>
        <v>5167.0000000000009</v>
      </c>
      <c r="Y152" s="700"/>
      <c r="Z152" s="700"/>
      <c r="AA152" s="700"/>
      <c r="AC152" s="746" t="s">
        <v>170</v>
      </c>
      <c r="AD152" s="566"/>
      <c r="AE152" s="700"/>
      <c r="AF152" s="694">
        <f>(AF145*1000)/AF147</f>
        <v>5167.0853357611568</v>
      </c>
      <c r="AG152" s="700"/>
      <c r="AH152" s="700"/>
      <c r="AI152" s="700"/>
      <c r="AK152" s="746" t="s">
        <v>170</v>
      </c>
      <c r="AL152" s="566"/>
      <c r="AM152" s="700"/>
      <c r="AN152" s="694">
        <f>(AN145*1000)/AN147</f>
        <v>5166.90984622017</v>
      </c>
      <c r="AO152" s="700"/>
      <c r="AP152" s="700"/>
      <c r="AQ152" s="700"/>
      <c r="AS152" s="746" t="s">
        <v>170</v>
      </c>
      <c r="AT152" s="566"/>
      <c r="AU152" s="700"/>
      <c r="AV152" s="694">
        <f>(AV145*1000)/AV147</f>
        <v>5166.8738087211832</v>
      </c>
      <c r="AW152" s="700"/>
      <c r="AX152" s="700"/>
      <c r="AY152" s="700"/>
      <c r="BA152" s="746" t="s">
        <v>170</v>
      </c>
      <c r="BB152" s="566"/>
      <c r="BC152" s="700"/>
      <c r="BD152" s="694" t="e">
        <f>(BD145*1000)/BD147</f>
        <v>#DIV/0!</v>
      </c>
      <c r="BE152" s="700"/>
      <c r="BF152" s="700"/>
      <c r="BG152" s="700"/>
      <c r="BI152" s="746" t="s">
        <v>170</v>
      </c>
      <c r="BJ152" s="566"/>
      <c r="BK152" s="700"/>
      <c r="BL152" s="694" t="e">
        <f>(BL145*1000)/BL147</f>
        <v>#DIV/0!</v>
      </c>
      <c r="BM152" s="700"/>
      <c r="BN152" s="700"/>
      <c r="BO152" s="700"/>
      <c r="BQ152" s="746" t="s">
        <v>170</v>
      </c>
      <c r="BR152" s="566"/>
      <c r="BS152" s="700"/>
      <c r="BT152" s="694" t="e">
        <f>(BT145*1000)/BT147</f>
        <v>#DIV/0!</v>
      </c>
      <c r="BU152" s="700"/>
      <c r="BV152" s="700"/>
      <c r="BW152" s="700"/>
      <c r="BY152" s="746" t="s">
        <v>170</v>
      </c>
      <c r="BZ152" s="566"/>
      <c r="CA152" s="700"/>
      <c r="CB152" s="694" t="e">
        <f>(CB145*1000)/CB147</f>
        <v>#DIV/0!</v>
      </c>
      <c r="CC152" s="700"/>
      <c r="CD152" s="700"/>
      <c r="CE152" s="700"/>
      <c r="CG152" s="746" t="s">
        <v>170</v>
      </c>
      <c r="CH152" s="566"/>
      <c r="CI152" s="700"/>
      <c r="CJ152" s="694" t="e">
        <f>(CJ145*1000)/CJ147</f>
        <v>#DIV/0!</v>
      </c>
      <c r="CK152" s="700"/>
      <c r="CL152" s="700"/>
      <c r="CM152" s="700"/>
      <c r="CO152" s="746" t="s">
        <v>170</v>
      </c>
      <c r="CP152" s="566"/>
      <c r="CQ152" s="700"/>
      <c r="CR152" s="694" t="e">
        <f>(CR145*1000)/CR147</f>
        <v>#DIV/0!</v>
      </c>
      <c r="CS152" s="700"/>
      <c r="CT152" s="700"/>
      <c r="CU152" s="700"/>
      <c r="CW152" s="746" t="s">
        <v>170</v>
      </c>
      <c r="CX152" s="566"/>
      <c r="CY152" s="700"/>
      <c r="CZ152" s="694" t="e">
        <f>(CZ145*1000)/CZ147</f>
        <v>#DIV/0!</v>
      </c>
      <c r="DA152" s="700"/>
      <c r="DB152" s="700"/>
      <c r="DC152" s="700"/>
    </row>
    <row r="153" spans="1:107" s="673" customFormat="1" ht="26.25" customHeight="1">
      <c r="A153" s="859"/>
      <c r="B153" s="862"/>
      <c r="C153" s="745"/>
      <c r="D153" s="746" t="s">
        <v>169</v>
      </c>
      <c r="E153" s="566"/>
      <c r="F153" s="700"/>
      <c r="G153" s="694"/>
      <c r="H153" s="694">
        <v>2152</v>
      </c>
      <c r="I153" s="700"/>
      <c r="J153" s="700"/>
      <c r="K153" s="751"/>
      <c r="M153" s="746" t="s">
        <v>169</v>
      </c>
      <c r="N153" s="566"/>
      <c r="O153" s="700"/>
      <c r="P153" s="694"/>
      <c r="Q153" s="694">
        <f>(Q145*1000)/Q148</f>
        <v>2152.0000806727453</v>
      </c>
      <c r="R153" s="700"/>
      <c r="S153" s="700"/>
      <c r="U153" s="746" t="s">
        <v>169</v>
      </c>
      <c r="V153" s="566"/>
      <c r="W153" s="700"/>
      <c r="X153" s="694"/>
      <c r="Y153" s="694">
        <f>(Y145*1000)/Y148</f>
        <v>2155.26400712334</v>
      </c>
      <c r="Z153" s="700"/>
      <c r="AA153" s="700"/>
      <c r="AC153" s="746" t="s">
        <v>169</v>
      </c>
      <c r="AD153" s="566"/>
      <c r="AE153" s="700"/>
      <c r="AF153" s="694"/>
      <c r="AG153" s="694">
        <f>(AG145*1000)/AG148</f>
        <v>2156.4707869952417</v>
      </c>
      <c r="AH153" s="700"/>
      <c r="AI153" s="700"/>
      <c r="AK153" s="746" t="s">
        <v>169</v>
      </c>
      <c r="AL153" s="566"/>
      <c r="AM153" s="700"/>
      <c r="AN153" s="694"/>
      <c r="AO153" s="694">
        <f>(AO145*1000)/AO148</f>
        <v>2154.553345865952</v>
      </c>
      <c r="AP153" s="700"/>
      <c r="AQ153" s="700"/>
      <c r="AS153" s="746" t="s">
        <v>169</v>
      </c>
      <c r="AT153" s="566"/>
      <c r="AU153" s="700"/>
      <c r="AV153" s="694"/>
      <c r="AW153" s="694">
        <f>(AW145*1000)/AW148</f>
        <v>2163.4726242995889</v>
      </c>
      <c r="AX153" s="700"/>
      <c r="AY153" s="700"/>
      <c r="BA153" s="746" t="s">
        <v>169</v>
      </c>
      <c r="BB153" s="566"/>
      <c r="BC153" s="700"/>
      <c r="BD153" s="694"/>
      <c r="BE153" s="694" t="e">
        <f>(BE145*1000)/BE148</f>
        <v>#DIV/0!</v>
      </c>
      <c r="BF153" s="700"/>
      <c r="BG153" s="700"/>
      <c r="BI153" s="746" t="s">
        <v>169</v>
      </c>
      <c r="BJ153" s="566"/>
      <c r="BK153" s="700"/>
      <c r="BL153" s="694"/>
      <c r="BM153" s="694" t="e">
        <f>(BM145*1000)/BM148</f>
        <v>#DIV/0!</v>
      </c>
      <c r="BN153" s="700"/>
      <c r="BO153" s="700"/>
      <c r="BQ153" s="746" t="s">
        <v>169</v>
      </c>
      <c r="BR153" s="566"/>
      <c r="BS153" s="700"/>
      <c r="BT153" s="694"/>
      <c r="BU153" s="694" t="e">
        <f>(BU145*1000)/BU148</f>
        <v>#DIV/0!</v>
      </c>
      <c r="BV153" s="700"/>
      <c r="BW153" s="700"/>
      <c r="BY153" s="746" t="s">
        <v>169</v>
      </c>
      <c r="BZ153" s="566"/>
      <c r="CA153" s="700"/>
      <c r="CB153" s="694"/>
      <c r="CC153" s="694" t="e">
        <f>(CC145*1000)/CC148</f>
        <v>#DIV/0!</v>
      </c>
      <c r="CD153" s="700"/>
      <c r="CE153" s="700"/>
      <c r="CG153" s="746" t="s">
        <v>169</v>
      </c>
      <c r="CH153" s="566"/>
      <c r="CI153" s="700"/>
      <c r="CJ153" s="694"/>
      <c r="CK153" s="694" t="e">
        <f>(CK145*1000)/CK148</f>
        <v>#DIV/0!</v>
      </c>
      <c r="CL153" s="700"/>
      <c r="CM153" s="700"/>
      <c r="CO153" s="746" t="s">
        <v>169</v>
      </c>
      <c r="CP153" s="566"/>
      <c r="CQ153" s="700"/>
      <c r="CR153" s="694"/>
      <c r="CS153" s="694" t="e">
        <f>(CS145*1000)/CS148</f>
        <v>#DIV/0!</v>
      </c>
      <c r="CT153" s="700"/>
      <c r="CU153" s="700"/>
      <c r="CW153" s="746" t="s">
        <v>169</v>
      </c>
      <c r="CX153" s="566"/>
      <c r="CY153" s="700"/>
      <c r="CZ153" s="694"/>
      <c r="DA153" s="694" t="e">
        <f>(DA145*1000)/DA148</f>
        <v>#DIV/0!</v>
      </c>
      <c r="DB153" s="700"/>
      <c r="DC153" s="700"/>
    </row>
    <row r="154" spans="1:107" s="673" customFormat="1" ht="26.25" customHeight="1">
      <c r="A154" s="859"/>
      <c r="B154" s="862"/>
      <c r="C154" s="745"/>
      <c r="D154" s="746" t="s">
        <v>172</v>
      </c>
      <c r="E154" s="566"/>
      <c r="F154" s="697"/>
      <c r="G154" s="566"/>
      <c r="H154" s="697"/>
      <c r="I154" s="700">
        <f>(I145*1000)/I149</f>
        <v>74505.535911134546</v>
      </c>
      <c r="J154" s="700"/>
      <c r="K154" s="751"/>
      <c r="M154" s="746" t="s">
        <v>172</v>
      </c>
      <c r="N154" s="566"/>
      <c r="O154" s="697"/>
      <c r="P154" s="566"/>
      <c r="Q154" s="697"/>
      <c r="R154" s="700" t="e">
        <f>(R145*1000)/R149</f>
        <v>#DIV/0!</v>
      </c>
      <c r="S154" s="700"/>
      <c r="U154" s="746" t="s">
        <v>172</v>
      </c>
      <c r="V154" s="566"/>
      <c r="W154" s="697"/>
      <c r="X154" s="566"/>
      <c r="Y154" s="697"/>
      <c r="Z154" s="700" t="e">
        <f>(Z145*1000)/Z149</f>
        <v>#DIV/0!</v>
      </c>
      <c r="AA154" s="700"/>
      <c r="AC154" s="746" t="s">
        <v>172</v>
      </c>
      <c r="AD154" s="566"/>
      <c r="AE154" s="697"/>
      <c r="AF154" s="566"/>
      <c r="AG154" s="697"/>
      <c r="AH154" s="700" t="e">
        <f>(AH145*1000)/AH149</f>
        <v>#DIV/0!</v>
      </c>
      <c r="AI154" s="700"/>
      <c r="AK154" s="746" t="s">
        <v>172</v>
      </c>
      <c r="AL154" s="566"/>
      <c r="AM154" s="697"/>
      <c r="AN154" s="566"/>
      <c r="AO154" s="697"/>
      <c r="AP154" s="700" t="e">
        <f>(AP145*1000)/AP149</f>
        <v>#DIV/0!</v>
      </c>
      <c r="AQ154" s="700"/>
      <c r="AS154" s="746" t="s">
        <v>172</v>
      </c>
      <c r="AT154" s="566"/>
      <c r="AU154" s="697"/>
      <c r="AV154" s="566"/>
      <c r="AW154" s="697"/>
      <c r="AX154" s="700">
        <v>71890</v>
      </c>
      <c r="AY154" s="700"/>
      <c r="BA154" s="746" t="s">
        <v>172</v>
      </c>
      <c r="BB154" s="566"/>
      <c r="BC154" s="697"/>
      <c r="BD154" s="566"/>
      <c r="BE154" s="697"/>
      <c r="BF154" s="700" t="e">
        <f>(BF145*1000)/BF149</f>
        <v>#DIV/0!</v>
      </c>
      <c r="BG154" s="700"/>
      <c r="BI154" s="746" t="s">
        <v>172</v>
      </c>
      <c r="BJ154" s="566"/>
      <c r="BK154" s="697"/>
      <c r="BL154" s="566"/>
      <c r="BM154" s="697"/>
      <c r="BN154" s="700" t="e">
        <f>(BN145*1000)/BN149</f>
        <v>#DIV/0!</v>
      </c>
      <c r="BO154" s="700"/>
      <c r="BQ154" s="746" t="s">
        <v>172</v>
      </c>
      <c r="BR154" s="566"/>
      <c r="BS154" s="697"/>
      <c r="BT154" s="566"/>
      <c r="BU154" s="697"/>
      <c r="BV154" s="700" t="e">
        <f>(BV145*1000)/BV149</f>
        <v>#DIV/0!</v>
      </c>
      <c r="BW154" s="700"/>
      <c r="BY154" s="746" t="s">
        <v>172</v>
      </c>
      <c r="BZ154" s="566"/>
      <c r="CA154" s="697"/>
      <c r="CB154" s="566"/>
      <c r="CC154" s="697"/>
      <c r="CD154" s="700" t="e">
        <f>(CD145*1000)/CD149</f>
        <v>#DIV/0!</v>
      </c>
      <c r="CE154" s="700"/>
      <c r="CG154" s="746" t="s">
        <v>172</v>
      </c>
      <c r="CH154" s="566"/>
      <c r="CI154" s="697"/>
      <c r="CJ154" s="566"/>
      <c r="CK154" s="697"/>
      <c r="CL154" s="700" t="e">
        <f>(CL145*1000)/CL149</f>
        <v>#DIV/0!</v>
      </c>
      <c r="CM154" s="700"/>
      <c r="CO154" s="746" t="s">
        <v>172</v>
      </c>
      <c r="CP154" s="566"/>
      <c r="CQ154" s="697"/>
      <c r="CR154" s="566"/>
      <c r="CS154" s="697"/>
      <c r="CT154" s="700" t="e">
        <f>(CT145*1000)/CT149</f>
        <v>#DIV/0!</v>
      </c>
      <c r="CU154" s="700"/>
      <c r="CW154" s="746" t="s">
        <v>172</v>
      </c>
      <c r="CX154" s="566"/>
      <c r="CY154" s="697"/>
      <c r="CZ154" s="566"/>
      <c r="DA154" s="697"/>
      <c r="DB154" s="700" t="e">
        <f>(DB145*1000)/DB149</f>
        <v>#DIV/0!</v>
      </c>
      <c r="DC154" s="700"/>
    </row>
    <row r="155" spans="1:107" s="673" customFormat="1" ht="26.25" customHeight="1">
      <c r="A155" s="860"/>
      <c r="B155" s="863"/>
      <c r="C155" s="752"/>
      <c r="D155" s="746" t="s">
        <v>172</v>
      </c>
      <c r="E155" s="566"/>
      <c r="F155" s="697"/>
      <c r="G155" s="566"/>
      <c r="H155" s="697"/>
      <c r="I155" s="700"/>
      <c r="J155" s="700" t="e">
        <f>(J145*1000)/J150</f>
        <v>#DIV/0!</v>
      </c>
      <c r="K155" s="751"/>
      <c r="M155" s="746" t="s">
        <v>172</v>
      </c>
      <c r="N155" s="566"/>
      <c r="O155" s="697"/>
      <c r="P155" s="566"/>
      <c r="Q155" s="697"/>
      <c r="R155" s="700"/>
      <c r="S155" s="700" t="e">
        <f>(S145*1000)/S150</f>
        <v>#DIV/0!</v>
      </c>
      <c r="U155" s="746" t="s">
        <v>172</v>
      </c>
      <c r="V155" s="566"/>
      <c r="W155" s="697"/>
      <c r="X155" s="566"/>
      <c r="Y155" s="697"/>
      <c r="Z155" s="700"/>
      <c r="AA155" s="700" t="e">
        <f>(AA145*1000)/AA150</f>
        <v>#DIV/0!</v>
      </c>
      <c r="AC155" s="746" t="s">
        <v>172</v>
      </c>
      <c r="AD155" s="566"/>
      <c r="AE155" s="697"/>
      <c r="AF155" s="566"/>
      <c r="AG155" s="697"/>
      <c r="AH155" s="700"/>
      <c r="AI155" s="700" t="e">
        <f>(AI145*1000)/AI150</f>
        <v>#DIV/0!</v>
      </c>
      <c r="AK155" s="746" t="s">
        <v>172</v>
      </c>
      <c r="AL155" s="566"/>
      <c r="AM155" s="697"/>
      <c r="AN155" s="566"/>
      <c r="AO155" s="697"/>
      <c r="AP155" s="700"/>
      <c r="AQ155" s="700" t="e">
        <f>(AQ145*1000)/AQ150</f>
        <v>#DIV/0!</v>
      </c>
      <c r="AS155" s="746" t="s">
        <v>172</v>
      </c>
      <c r="AT155" s="566"/>
      <c r="AU155" s="697"/>
      <c r="AV155" s="566"/>
      <c r="AW155" s="697"/>
      <c r="AX155" s="700"/>
      <c r="AY155" s="700">
        <v>8690</v>
      </c>
      <c r="BA155" s="746" t="s">
        <v>172</v>
      </c>
      <c r="BB155" s="566"/>
      <c r="BC155" s="697"/>
      <c r="BD155" s="566"/>
      <c r="BE155" s="697"/>
      <c r="BF155" s="700"/>
      <c r="BG155" s="700" t="e">
        <f>(BG145*1000)/BG150</f>
        <v>#DIV/0!</v>
      </c>
      <c r="BI155" s="746" t="s">
        <v>172</v>
      </c>
      <c r="BJ155" s="566"/>
      <c r="BK155" s="697"/>
      <c r="BL155" s="566"/>
      <c r="BM155" s="697"/>
      <c r="BN155" s="700"/>
      <c r="BO155" s="700" t="e">
        <f>(BO145*1000)/BO150</f>
        <v>#DIV/0!</v>
      </c>
      <c r="BQ155" s="746" t="s">
        <v>172</v>
      </c>
      <c r="BR155" s="566"/>
      <c r="BS155" s="697"/>
      <c r="BT155" s="566"/>
      <c r="BU155" s="697"/>
      <c r="BV155" s="700"/>
      <c r="BW155" s="700" t="e">
        <f>(BW145*1000)/BW150</f>
        <v>#DIV/0!</v>
      </c>
      <c r="BY155" s="746" t="s">
        <v>172</v>
      </c>
      <c r="BZ155" s="676"/>
      <c r="CA155" s="697"/>
      <c r="CB155" s="566"/>
      <c r="CC155" s="697"/>
      <c r="CD155" s="700"/>
      <c r="CE155" s="700" t="e">
        <f>(CE145*1000)/CE150</f>
        <v>#DIV/0!</v>
      </c>
      <c r="CG155" s="746" t="s">
        <v>172</v>
      </c>
      <c r="CH155" s="566"/>
      <c r="CI155" s="697"/>
      <c r="CJ155" s="566"/>
      <c r="CK155" s="697"/>
      <c r="CL155" s="700"/>
      <c r="CM155" s="700" t="e">
        <f>(CM145*1000)/CM150</f>
        <v>#DIV/0!</v>
      </c>
      <c r="CO155" s="746" t="s">
        <v>172</v>
      </c>
      <c r="CP155" s="566"/>
      <c r="CQ155" s="697"/>
      <c r="CR155" s="566"/>
      <c r="CS155" s="697"/>
      <c r="CT155" s="700"/>
      <c r="CU155" s="700" t="e">
        <f>(CU145*1000)/CU150</f>
        <v>#DIV/0!</v>
      </c>
      <c r="CW155" s="746" t="s">
        <v>172</v>
      </c>
      <c r="CX155" s="566"/>
      <c r="CY155" s="697"/>
      <c r="CZ155" s="566"/>
      <c r="DA155" s="697"/>
      <c r="DB155" s="700"/>
      <c r="DC155" s="700" t="e">
        <f>(DC145*1000)/DC150</f>
        <v>#DIV/0!</v>
      </c>
    </row>
    <row r="156" spans="1:107" ht="19.5" customHeight="1">
      <c r="A156" s="753"/>
      <c r="B156" s="754"/>
      <c r="D156" s="755"/>
      <c r="E156" s="755"/>
      <c r="M156" s="755"/>
      <c r="N156" s="755"/>
      <c r="U156" s="755"/>
      <c r="V156" s="755"/>
      <c r="AC156" s="755"/>
      <c r="AD156" s="755"/>
      <c r="AK156" s="755"/>
      <c r="AL156" s="755"/>
      <c r="AS156" s="755"/>
      <c r="AT156" s="755"/>
      <c r="BA156" s="755"/>
      <c r="BB156" s="755"/>
      <c r="BI156" s="755"/>
      <c r="BJ156" s="755"/>
      <c r="BQ156" s="755"/>
      <c r="BR156" s="755"/>
      <c r="BY156" s="755"/>
      <c r="BZ156" s="755"/>
      <c r="CG156" s="755"/>
      <c r="CH156" s="755"/>
      <c r="CO156" s="755"/>
      <c r="CP156" s="755"/>
      <c r="CW156" s="755"/>
      <c r="CX156" s="755"/>
    </row>
    <row r="157" spans="1:107" ht="22.5" hidden="1" customHeight="1">
      <c r="B157" s="758" t="s">
        <v>283</v>
      </c>
      <c r="C157" s="759"/>
      <c r="D157" s="760"/>
      <c r="E157" s="760"/>
      <c r="F157" s="761"/>
      <c r="G157" s="761"/>
      <c r="H157" s="761"/>
      <c r="M157" s="760"/>
      <c r="N157" s="760"/>
      <c r="O157" s="761"/>
      <c r="P157" s="761"/>
      <c r="Q157" s="761"/>
      <c r="U157" s="760"/>
      <c r="V157" s="760"/>
      <c r="W157" s="761"/>
      <c r="X157" s="761"/>
      <c r="Y157" s="761"/>
      <c r="AC157" s="760"/>
      <c r="AD157" s="760"/>
      <c r="AE157" s="761"/>
      <c r="AF157" s="761"/>
      <c r="AG157" s="761"/>
      <c r="AK157" s="760"/>
      <c r="AL157" s="760"/>
      <c r="AM157" s="761"/>
      <c r="AN157" s="761"/>
      <c r="AO157" s="761"/>
      <c r="AS157" s="760"/>
      <c r="AT157" s="760"/>
      <c r="AU157" s="761"/>
      <c r="AV157" s="761"/>
      <c r="AW157" s="761"/>
      <c r="BA157" s="760"/>
      <c r="BB157" s="760"/>
      <c r="BC157" s="761"/>
      <c r="BD157" s="761"/>
      <c r="BE157" s="761"/>
      <c r="BI157" s="760"/>
      <c r="BJ157" s="760"/>
      <c r="BK157" s="761"/>
      <c r="BL157" s="761"/>
      <c r="BM157" s="761"/>
      <c r="BQ157" s="760"/>
      <c r="BR157" s="760"/>
      <c r="BS157" s="761"/>
      <c r="BT157" s="761"/>
      <c r="BU157" s="761"/>
      <c r="BY157" s="760"/>
      <c r="BZ157" s="760"/>
      <c r="CA157" s="761"/>
      <c r="CB157" s="761"/>
      <c r="CC157" s="761"/>
      <c r="CG157" s="760"/>
      <c r="CH157" s="760"/>
      <c r="CI157" s="761"/>
      <c r="CJ157" s="761"/>
      <c r="CK157" s="761"/>
      <c r="CO157" s="760"/>
      <c r="CP157" s="760"/>
      <c r="CQ157" s="761"/>
      <c r="CR157" s="761"/>
      <c r="CS157" s="761"/>
      <c r="CW157" s="760"/>
      <c r="CX157" s="760"/>
      <c r="CY157" s="761"/>
      <c r="CZ157" s="761"/>
      <c r="DA157" s="761"/>
    </row>
    <row r="158" spans="1:107" ht="22.5" hidden="1" customHeight="1">
      <c r="B158" s="624"/>
      <c r="C158" s="759"/>
      <c r="D158" s="760"/>
      <c r="E158" s="760"/>
      <c r="F158" s="761"/>
      <c r="G158" s="761"/>
      <c r="H158" s="761"/>
      <c r="M158" s="760"/>
      <c r="N158" s="760"/>
      <c r="O158" s="761"/>
      <c r="P158" s="761"/>
      <c r="Q158" s="761"/>
      <c r="U158" s="760"/>
      <c r="V158" s="760"/>
      <c r="W158" s="761"/>
      <c r="X158" s="761"/>
      <c r="Y158" s="761"/>
      <c r="AC158" s="760"/>
      <c r="AD158" s="760"/>
      <c r="AE158" s="761"/>
      <c r="AF158" s="761"/>
      <c r="AG158" s="761"/>
      <c r="AK158" s="760"/>
      <c r="AL158" s="760"/>
      <c r="AM158" s="761"/>
      <c r="AN158" s="761"/>
      <c r="AO158" s="761"/>
      <c r="AS158" s="760"/>
      <c r="AT158" s="760"/>
      <c r="AU158" s="761"/>
      <c r="AV158" s="761"/>
      <c r="AW158" s="761"/>
      <c r="BA158" s="760"/>
      <c r="BB158" s="760"/>
      <c r="BC158" s="761"/>
      <c r="BD158" s="761"/>
      <c r="BE158" s="761"/>
      <c r="BI158" s="760"/>
      <c r="BJ158" s="760"/>
      <c r="BK158" s="761"/>
      <c r="BL158" s="761"/>
      <c r="BM158" s="761"/>
      <c r="BQ158" s="760"/>
      <c r="BR158" s="760"/>
      <c r="BS158" s="761"/>
      <c r="BT158" s="761"/>
      <c r="BU158" s="761"/>
      <c r="BY158" s="760"/>
      <c r="BZ158" s="760"/>
      <c r="CA158" s="761"/>
      <c r="CB158" s="761"/>
      <c r="CC158" s="761"/>
      <c r="CG158" s="760"/>
      <c r="CH158" s="760"/>
      <c r="CI158" s="761"/>
      <c r="CJ158" s="761"/>
      <c r="CK158" s="761"/>
      <c r="CO158" s="760"/>
      <c r="CP158" s="760"/>
      <c r="CQ158" s="761"/>
      <c r="CR158" s="761"/>
      <c r="CS158" s="761"/>
      <c r="CW158" s="760"/>
      <c r="CX158" s="760"/>
      <c r="CY158" s="761"/>
      <c r="CZ158" s="761"/>
      <c r="DA158" s="761"/>
    </row>
    <row r="159" spans="1:107" ht="22.5" hidden="1" customHeight="1">
      <c r="B159" s="624"/>
      <c r="C159" s="759"/>
      <c r="D159" s="760"/>
      <c r="E159" s="760"/>
      <c r="F159" s="761"/>
      <c r="G159" s="761"/>
      <c r="H159" s="761"/>
      <c r="M159" s="760"/>
      <c r="N159" s="760"/>
      <c r="O159" s="761"/>
      <c r="P159" s="761"/>
      <c r="Q159" s="761"/>
      <c r="U159" s="760"/>
      <c r="V159" s="760"/>
      <c r="W159" s="761"/>
      <c r="X159" s="761"/>
      <c r="Y159" s="761"/>
      <c r="AC159" s="760"/>
      <c r="AD159" s="760"/>
      <c r="AE159" s="761"/>
      <c r="AF159" s="761"/>
      <c r="AG159" s="761"/>
      <c r="AK159" s="760"/>
      <c r="AL159" s="760"/>
      <c r="AM159" s="761"/>
      <c r="AN159" s="761"/>
      <c r="AO159" s="761"/>
      <c r="AS159" s="760"/>
      <c r="AT159" s="760"/>
      <c r="AU159" s="761"/>
      <c r="AV159" s="761"/>
      <c r="AW159" s="761"/>
      <c r="BA159" s="760"/>
      <c r="BB159" s="760"/>
      <c r="BC159" s="761"/>
      <c r="BD159" s="761"/>
      <c r="BE159" s="761"/>
      <c r="BI159" s="760"/>
      <c r="BJ159" s="760"/>
      <c r="BK159" s="761"/>
      <c r="BL159" s="761"/>
      <c r="BM159" s="761"/>
      <c r="BQ159" s="760"/>
      <c r="BR159" s="760"/>
      <c r="BS159" s="761"/>
      <c r="BT159" s="761"/>
      <c r="BU159" s="761"/>
      <c r="BY159" s="760"/>
      <c r="BZ159" s="760"/>
      <c r="CA159" s="761"/>
      <c r="CB159" s="761"/>
      <c r="CC159" s="761"/>
      <c r="CG159" s="760"/>
      <c r="CH159" s="760"/>
      <c r="CI159" s="761"/>
      <c r="CJ159" s="761"/>
      <c r="CK159" s="761"/>
      <c r="CO159" s="760"/>
      <c r="CP159" s="760"/>
      <c r="CQ159" s="761"/>
      <c r="CR159" s="761"/>
      <c r="CS159" s="761"/>
      <c r="CW159" s="760"/>
      <c r="CX159" s="760"/>
      <c r="CY159" s="761"/>
      <c r="CZ159" s="761"/>
      <c r="DA159" s="761"/>
    </row>
    <row r="160" spans="1:107" ht="22.5" hidden="1" customHeight="1">
      <c r="B160" s="624"/>
      <c r="C160" s="759"/>
      <c r="D160" s="760"/>
      <c r="E160" s="760"/>
      <c r="F160" s="761"/>
      <c r="G160" s="761"/>
      <c r="H160" s="761"/>
      <c r="M160" s="760"/>
      <c r="N160" s="760"/>
      <c r="O160" s="761"/>
      <c r="P160" s="761"/>
      <c r="Q160" s="761"/>
      <c r="U160" s="760"/>
      <c r="V160" s="760"/>
      <c r="W160" s="761"/>
      <c r="X160" s="761"/>
      <c r="Y160" s="761"/>
      <c r="AC160" s="760"/>
      <c r="AD160" s="760"/>
      <c r="AE160" s="761"/>
      <c r="AF160" s="761"/>
      <c r="AG160" s="761"/>
      <c r="AK160" s="760"/>
      <c r="AL160" s="760"/>
      <c r="AM160" s="761"/>
      <c r="AN160" s="761"/>
      <c r="AO160" s="761"/>
      <c r="AS160" s="760"/>
      <c r="AT160" s="760"/>
      <c r="AU160" s="761"/>
      <c r="AV160" s="761"/>
      <c r="AW160" s="761"/>
      <c r="BA160" s="760"/>
      <c r="BB160" s="760"/>
      <c r="BC160" s="761"/>
      <c r="BD160" s="761"/>
      <c r="BE160" s="761"/>
      <c r="BI160" s="760"/>
      <c r="BJ160" s="760"/>
      <c r="BK160" s="761"/>
      <c r="BL160" s="761"/>
      <c r="BM160" s="761"/>
      <c r="BQ160" s="760"/>
      <c r="BR160" s="760"/>
      <c r="BS160" s="761"/>
      <c r="BT160" s="761"/>
      <c r="BU160" s="761"/>
      <c r="BY160" s="760"/>
      <c r="BZ160" s="760"/>
      <c r="CA160" s="761"/>
      <c r="CB160" s="761"/>
      <c r="CC160" s="761"/>
      <c r="CG160" s="760"/>
      <c r="CH160" s="760"/>
      <c r="CI160" s="761"/>
      <c r="CJ160" s="761"/>
      <c r="CK160" s="761"/>
      <c r="CO160" s="760"/>
      <c r="CP160" s="760"/>
      <c r="CQ160" s="761"/>
      <c r="CR160" s="761"/>
      <c r="CS160" s="761"/>
      <c r="CW160" s="760"/>
      <c r="CX160" s="760"/>
      <c r="CY160" s="761"/>
      <c r="CZ160" s="761"/>
      <c r="DA160" s="761"/>
    </row>
    <row r="161" spans="2:108" ht="22.5" hidden="1" customHeight="1">
      <c r="B161" s="624"/>
      <c r="C161" s="759"/>
      <c r="D161" s="760"/>
      <c r="E161" s="760"/>
      <c r="F161" s="761"/>
      <c r="G161" s="761"/>
      <c r="H161" s="761"/>
      <c r="M161" s="760"/>
      <c r="N161" s="760"/>
      <c r="O161" s="761"/>
      <c r="P161" s="761"/>
      <c r="Q161" s="761"/>
      <c r="U161" s="760"/>
      <c r="V161" s="760"/>
      <c r="W161" s="761"/>
      <c r="X161" s="761"/>
      <c r="Y161" s="761"/>
      <c r="AC161" s="760"/>
      <c r="AD161" s="760"/>
      <c r="AE161" s="761"/>
      <c r="AF161" s="761"/>
      <c r="AG161" s="761"/>
      <c r="AK161" s="760"/>
      <c r="AL161" s="760"/>
      <c r="AM161" s="761"/>
      <c r="AN161" s="761"/>
      <c r="AO161" s="761"/>
      <c r="AS161" s="760"/>
      <c r="AT161" s="760"/>
      <c r="AU161" s="761"/>
      <c r="AV161" s="761"/>
      <c r="AW161" s="761"/>
      <c r="BA161" s="760"/>
      <c r="BB161" s="760"/>
      <c r="BC161" s="761"/>
      <c r="BD161" s="761"/>
      <c r="BE161" s="761"/>
      <c r="BI161" s="760"/>
      <c r="BJ161" s="760"/>
      <c r="BK161" s="761"/>
      <c r="BL161" s="761"/>
      <c r="BM161" s="761"/>
      <c r="BQ161" s="760"/>
      <c r="BR161" s="760"/>
      <c r="BS161" s="761"/>
      <c r="BT161" s="761"/>
      <c r="BU161" s="761"/>
      <c r="BY161" s="760"/>
      <c r="BZ161" s="760"/>
      <c r="CA161" s="761"/>
      <c r="CB161" s="761"/>
      <c r="CC161" s="761"/>
      <c r="CG161" s="760"/>
      <c r="CH161" s="760"/>
      <c r="CI161" s="761"/>
      <c r="CJ161" s="761"/>
      <c r="CK161" s="761"/>
      <c r="CO161" s="760"/>
      <c r="CP161" s="760"/>
      <c r="CQ161" s="761"/>
      <c r="CR161" s="761"/>
      <c r="CS161" s="761"/>
      <c r="CW161" s="760"/>
      <c r="CX161" s="760"/>
      <c r="CY161" s="761"/>
      <c r="CZ161" s="761"/>
      <c r="DA161" s="761"/>
    </row>
    <row r="162" spans="2:108" ht="22.5" hidden="1" customHeight="1">
      <c r="B162" s="624"/>
      <c r="C162" s="759"/>
      <c r="D162" s="760"/>
      <c r="E162" s="760"/>
      <c r="F162" s="761"/>
      <c r="G162" s="761"/>
      <c r="H162" s="761"/>
      <c r="M162" s="760"/>
      <c r="N162" s="760"/>
      <c r="O162" s="761"/>
      <c r="P162" s="761"/>
      <c r="Q162" s="761"/>
      <c r="U162" s="760"/>
      <c r="V162" s="760"/>
      <c r="W162" s="761"/>
      <c r="X162" s="761"/>
      <c r="Y162" s="761"/>
      <c r="AC162" s="760"/>
      <c r="AD162" s="760"/>
      <c r="AE162" s="761"/>
      <c r="AF162" s="761"/>
      <c r="AG162" s="761"/>
      <c r="AK162" s="760"/>
      <c r="AL162" s="760"/>
      <c r="AM162" s="761"/>
      <c r="AN162" s="761"/>
      <c r="AO162" s="761"/>
      <c r="AS162" s="760"/>
      <c r="AT162" s="760"/>
      <c r="AU162" s="761"/>
      <c r="AV162" s="761"/>
      <c r="AW162" s="761"/>
      <c r="BA162" s="760"/>
      <c r="BB162" s="760"/>
      <c r="BC162" s="761"/>
      <c r="BD162" s="761"/>
      <c r="BE162" s="761"/>
      <c r="BI162" s="760"/>
      <c r="BJ162" s="760"/>
      <c r="BK162" s="761"/>
      <c r="BL162" s="761"/>
      <c r="BM162" s="761"/>
      <c r="BQ162" s="760"/>
      <c r="BR162" s="760"/>
      <c r="BS162" s="761"/>
      <c r="BT162" s="761"/>
      <c r="BU162" s="761"/>
      <c r="BY162" s="760"/>
      <c r="BZ162" s="760"/>
      <c r="CA162" s="761"/>
      <c r="CB162" s="761"/>
      <c r="CC162" s="761"/>
      <c r="CG162" s="760"/>
      <c r="CH162" s="760"/>
      <c r="CI162" s="761"/>
      <c r="CJ162" s="761"/>
      <c r="CK162" s="761"/>
      <c r="CO162" s="760"/>
      <c r="CP162" s="760"/>
      <c r="CQ162" s="761"/>
      <c r="CR162" s="761"/>
      <c r="CS162" s="761"/>
      <c r="CW162" s="760"/>
      <c r="CX162" s="760"/>
      <c r="CY162" s="761"/>
      <c r="CZ162" s="761"/>
      <c r="DA162" s="761"/>
    </row>
    <row r="163" spans="2:108" ht="22.5" hidden="1" customHeight="1">
      <c r="B163" s="624"/>
      <c r="C163" s="759"/>
      <c r="D163" s="760"/>
      <c r="E163" s="760"/>
      <c r="F163" s="761"/>
      <c r="G163" s="761"/>
      <c r="H163" s="761"/>
      <c r="M163" s="760"/>
      <c r="N163" s="760"/>
      <c r="O163" s="761"/>
      <c r="P163" s="761"/>
      <c r="Q163" s="761"/>
      <c r="U163" s="760"/>
      <c r="V163" s="760"/>
      <c r="W163" s="761"/>
      <c r="X163" s="761"/>
      <c r="Y163" s="761"/>
      <c r="AC163" s="760"/>
      <c r="AD163" s="760"/>
      <c r="AE163" s="761"/>
      <c r="AF163" s="761"/>
      <c r="AG163" s="761"/>
      <c r="AK163" s="760"/>
      <c r="AL163" s="760"/>
      <c r="AM163" s="761"/>
      <c r="AN163" s="761"/>
      <c r="AO163" s="761"/>
      <c r="AS163" s="760"/>
      <c r="AT163" s="760"/>
      <c r="AU163" s="761"/>
      <c r="AV163" s="761"/>
      <c r="AW163" s="761"/>
      <c r="BA163" s="760"/>
      <c r="BB163" s="760"/>
      <c r="BC163" s="761"/>
      <c r="BD163" s="761"/>
      <c r="BE163" s="761"/>
      <c r="BI163" s="760"/>
      <c r="BJ163" s="760"/>
      <c r="BK163" s="761"/>
      <c r="BL163" s="761"/>
      <c r="BM163" s="761"/>
      <c r="BQ163" s="760"/>
      <c r="BR163" s="760"/>
      <c r="BS163" s="761"/>
      <c r="BT163" s="761"/>
      <c r="BU163" s="761"/>
      <c r="BY163" s="760"/>
      <c r="BZ163" s="760"/>
      <c r="CA163" s="761"/>
      <c r="CB163" s="761"/>
      <c r="CC163" s="761"/>
      <c r="CG163" s="760"/>
      <c r="CH163" s="760"/>
      <c r="CI163" s="761"/>
      <c r="CJ163" s="761"/>
      <c r="CK163" s="761"/>
      <c r="CO163" s="760"/>
      <c r="CP163" s="760"/>
      <c r="CQ163" s="761"/>
      <c r="CR163" s="761"/>
      <c r="CS163" s="761"/>
      <c r="CW163" s="760"/>
      <c r="CX163" s="760"/>
      <c r="CY163" s="761"/>
      <c r="CZ163" s="761"/>
      <c r="DA163" s="761"/>
    </row>
    <row r="164" spans="2:108" ht="25.5" customHeight="1">
      <c r="B164" s="762" t="s">
        <v>199</v>
      </c>
      <c r="C164" s="763"/>
      <c r="D164" s="764">
        <f>71*3*365*58</f>
        <v>4509210</v>
      </c>
      <c r="E164" s="764"/>
      <c r="F164" s="763"/>
      <c r="G164" s="765"/>
      <c r="H164" s="763"/>
      <c r="M164" s="764">
        <f>71*3*365*58</f>
        <v>4509210</v>
      </c>
      <c r="N164" s="764"/>
      <c r="O164" s="763"/>
      <c r="P164" s="765"/>
      <c r="Q164" s="763"/>
      <c r="U164" s="764">
        <f>71*3*365*58</f>
        <v>4509210</v>
      </c>
      <c r="V164" s="764"/>
      <c r="W164" s="763"/>
      <c r="X164" s="765"/>
      <c r="Y164" s="763"/>
      <c r="AC164" s="764">
        <f>71*3*365*58</f>
        <v>4509210</v>
      </c>
      <c r="AD164" s="764"/>
      <c r="AE164" s="763"/>
      <c r="AF164" s="765"/>
      <c r="AG164" s="763"/>
      <c r="AK164" s="764">
        <f>71*3*365*58</f>
        <v>4509210</v>
      </c>
      <c r="AL164" s="764"/>
      <c r="AM164" s="763"/>
      <c r="AN164" s="765"/>
      <c r="AO164" s="763"/>
      <c r="AS164" s="764">
        <f>71*3*365*58</f>
        <v>4509210</v>
      </c>
      <c r="AT164" s="764"/>
      <c r="AU164" s="763"/>
      <c r="AV164" s="765"/>
      <c r="AW164" s="763"/>
      <c r="BA164" s="764">
        <f>71*3*365*58</f>
        <v>4509210</v>
      </c>
      <c r="BB164" s="764"/>
      <c r="BC164" s="763"/>
      <c r="BD164" s="765"/>
      <c r="BE164" s="763"/>
      <c r="BI164" s="764">
        <f>71*3*365*58</f>
        <v>4509210</v>
      </c>
      <c r="BJ164" s="764"/>
      <c r="BK164" s="763"/>
      <c r="BL164" s="765"/>
      <c r="BM164" s="763"/>
      <c r="BQ164" s="764">
        <f>71*3*365*58</f>
        <v>4509210</v>
      </c>
      <c r="BR164" s="764"/>
      <c r="BS164" s="763"/>
      <c r="BT164" s="765"/>
      <c r="BU164" s="763"/>
      <c r="BY164" s="764">
        <f>71*3*365*58</f>
        <v>4509210</v>
      </c>
      <c r="BZ164" s="764"/>
      <c r="CA164" s="763"/>
      <c r="CB164" s="765"/>
      <c r="CC164" s="763"/>
      <c r="CG164" s="764">
        <f>71*3*365*58</f>
        <v>4509210</v>
      </c>
      <c r="CH164" s="764"/>
      <c r="CI164" s="763"/>
      <c r="CJ164" s="765"/>
      <c r="CK164" s="763"/>
      <c r="CO164" s="764">
        <f>71*3*365*58</f>
        <v>4509210</v>
      </c>
      <c r="CP164" s="764"/>
      <c r="CQ164" s="763"/>
      <c r="CR164" s="765"/>
      <c r="CS164" s="763"/>
      <c r="CW164" s="764">
        <f>71*3*365*58</f>
        <v>4509210</v>
      </c>
      <c r="CX164" s="764"/>
      <c r="CY164" s="763"/>
      <c r="CZ164" s="765"/>
      <c r="DA164" s="763"/>
    </row>
    <row r="165" spans="2:108">
      <c r="B165" s="766" t="s">
        <v>200</v>
      </c>
      <c r="D165" s="767">
        <f>D145*1000/D164</f>
        <v>3231.1884725615496</v>
      </c>
      <c r="E165" s="767"/>
      <c r="M165" s="767">
        <f>M145*1000/M164</f>
        <v>166.99147498120513</v>
      </c>
      <c r="N165" s="767"/>
      <c r="U165" s="767">
        <f>U145*1000/U164</f>
        <v>105.39894314968699</v>
      </c>
      <c r="V165" s="767"/>
      <c r="AC165" s="767">
        <f>AC145*1000/AC164</f>
        <v>278.44971907052457</v>
      </c>
      <c r="AD165" s="767"/>
      <c r="AK165" s="767">
        <f>AK145*1000/AK164</f>
        <v>273.400158770605</v>
      </c>
      <c r="AL165" s="767"/>
      <c r="AS165" s="767">
        <f>AS145*1000/AS164</f>
        <v>241.5411504383251</v>
      </c>
      <c r="AT165" s="767"/>
      <c r="BA165" s="767">
        <f>BA145*1000/BA164</f>
        <v>0</v>
      </c>
      <c r="BB165" s="767"/>
      <c r="BI165" s="767">
        <f>BI145*1000/BI164</f>
        <v>0</v>
      </c>
      <c r="BJ165" s="767"/>
      <c r="BQ165" s="767">
        <f>BQ145*1000/BQ164</f>
        <v>0</v>
      </c>
      <c r="BR165" s="767"/>
      <c r="BY165" s="767">
        <f>BY145*1000/BY164</f>
        <v>0</v>
      </c>
      <c r="BZ165" s="767"/>
      <c r="CG165" s="767">
        <f>CG145*1000/CG164</f>
        <v>0</v>
      </c>
      <c r="CH165" s="767"/>
      <c r="CO165" s="767">
        <f>CO145*1000/CO164</f>
        <v>0</v>
      </c>
      <c r="CP165" s="767"/>
      <c r="CW165" s="767">
        <f>CW145*1000/CW164</f>
        <v>0</v>
      </c>
      <c r="CX165" s="767"/>
    </row>
    <row r="166" spans="2:108">
      <c r="D166" s="768">
        <f>(F166+G166+H166)/58</f>
        <v>3036.4708743083625</v>
      </c>
      <c r="E166" s="769"/>
      <c r="F166" s="768">
        <f>F151*(8.61+2.371)*2</f>
        <v>65396.934923579473</v>
      </c>
      <c r="G166" s="768">
        <f>G152*9.46</f>
        <v>48882.807786305544</v>
      </c>
      <c r="H166" s="768">
        <f>H153*(22.232+6.502)</f>
        <v>61835.567999999999</v>
      </c>
      <c r="I166" s="668"/>
      <c r="J166" s="668"/>
      <c r="K166" s="668"/>
      <c r="L166" s="668"/>
      <c r="M166" s="768">
        <f>(O166+P166+Q166)/58</f>
        <v>3036.5210730267563</v>
      </c>
      <c r="N166" s="769"/>
      <c r="O166" s="768">
        <f>O151*(8.61+2.371)*2</f>
        <v>65402.8319175012</v>
      </c>
      <c r="P166" s="768">
        <f>P152*9.46</f>
        <v>48879.820000000007</v>
      </c>
      <c r="Q166" s="768">
        <f>Q153*(22.232+6.502)</f>
        <v>61835.570318050661</v>
      </c>
      <c r="R166" s="668"/>
      <c r="S166" s="668"/>
      <c r="T166" s="668"/>
      <c r="U166" s="768">
        <f>(W166+X166+Y166)/58</f>
        <v>3038.1382075118509</v>
      </c>
      <c r="V166" s="769"/>
      <c r="W166" s="768">
        <f>W151*(8.61+2.371)*2</f>
        <v>65402.840055005305</v>
      </c>
      <c r="X166" s="768">
        <f>X152*9.46</f>
        <v>48879.820000000014</v>
      </c>
      <c r="Y166" s="768">
        <f>Y153*(22.232+6.502)</f>
        <v>61929.355980682049</v>
      </c>
      <c r="Z166" s="668"/>
      <c r="AA166" s="668"/>
      <c r="AB166" s="668"/>
      <c r="AC166" s="768">
        <f>(AE166+AF166+AG166)/58</f>
        <v>3038.7498858253175</v>
      </c>
      <c r="AD166" s="769"/>
      <c r="AE166" s="768">
        <f>AE151*(8.61+2.371)*2</f>
        <v>65402.834508046581</v>
      </c>
      <c r="AF166" s="768">
        <f>AF152*9.46</f>
        <v>48880.627276300547</v>
      </c>
      <c r="AG166" s="768">
        <f>AG153*(22.232+6.502)</f>
        <v>61964.031593521271</v>
      </c>
      <c r="AH166" s="668"/>
      <c r="AI166" s="668"/>
      <c r="AJ166" s="668"/>
      <c r="AK166" s="768">
        <f>(AM166+AN166+AO166)/58</f>
        <v>3037.7713615501034</v>
      </c>
      <c r="AL166" s="769"/>
      <c r="AM166" s="768">
        <f>AM151*(8.61+2.371)*2</f>
        <v>65402.83598455094</v>
      </c>
      <c r="AN166" s="768">
        <f>AN152*9.46</f>
        <v>48878.967145242816</v>
      </c>
      <c r="AO166" s="768">
        <f>AO153*(22.232+6.502)</f>
        <v>61908.935840112259</v>
      </c>
      <c r="AP166" s="668"/>
      <c r="AQ166" s="668"/>
      <c r="AR166" s="668"/>
      <c r="AS166" s="768">
        <f>(AU166+AV166+AW166)/58</f>
        <v>3042.1842332262117</v>
      </c>
      <c r="AT166" s="769"/>
      <c r="AU166" s="768">
        <f>AU151*(8.61+2.371)*2</f>
        <v>65402.836909993493</v>
      </c>
      <c r="AV166" s="768">
        <f>AV152*9.46</f>
        <v>48878.626230502399</v>
      </c>
      <c r="AW166" s="768">
        <f>AW153*(22.232+6.502)</f>
        <v>62165.222386624388</v>
      </c>
      <c r="AX166" s="668"/>
      <c r="AY166" s="668"/>
      <c r="AZ166" s="668"/>
      <c r="BA166" s="768" t="e">
        <f>(BC166+BD166+BE166)/58</f>
        <v>#DIV/0!</v>
      </c>
      <c r="BB166" s="769"/>
      <c r="BC166" s="768" t="e">
        <f>BC151*(8.61+2.371)*2</f>
        <v>#DIV/0!</v>
      </c>
      <c r="BD166" s="768" t="e">
        <f>BD152*9.46</f>
        <v>#DIV/0!</v>
      </c>
      <c r="BE166" s="768" t="e">
        <f>BE153*(22.232+6.502)</f>
        <v>#DIV/0!</v>
      </c>
      <c r="BF166" s="668"/>
      <c r="BG166" s="668"/>
      <c r="BH166" s="668"/>
      <c r="BI166" s="768" t="e">
        <f>(BK166+BL166+BM166)/58</f>
        <v>#DIV/0!</v>
      </c>
      <c r="BJ166" s="769"/>
      <c r="BK166" s="768" t="e">
        <f>BK151*(8.61+2.371)*2</f>
        <v>#DIV/0!</v>
      </c>
      <c r="BL166" s="768" t="e">
        <f>BL152*9.46</f>
        <v>#DIV/0!</v>
      </c>
      <c r="BM166" s="768" t="e">
        <f>BM153*(22.232+6.502)</f>
        <v>#DIV/0!</v>
      </c>
      <c r="BN166" s="668"/>
      <c r="BO166" s="668"/>
      <c r="BP166" s="668"/>
      <c r="BQ166" s="768" t="e">
        <f>(BS166+BT166+BU166)/58</f>
        <v>#DIV/0!</v>
      </c>
      <c r="BR166" s="769"/>
      <c r="BS166" s="768" t="e">
        <f>BS151*(8.61+2.371)*2</f>
        <v>#DIV/0!</v>
      </c>
      <c r="BT166" s="768" t="e">
        <f>BT152*9.46</f>
        <v>#DIV/0!</v>
      </c>
      <c r="BU166" s="768" t="e">
        <f>BU153*(22.232+6.502)</f>
        <v>#DIV/0!</v>
      </c>
      <c r="BV166" s="668"/>
      <c r="BW166" s="668"/>
      <c r="BX166" s="668"/>
      <c r="BY166" s="768" t="e">
        <f>(CA166+CB166+CC166)/58</f>
        <v>#DIV/0!</v>
      </c>
      <c r="BZ166" s="769"/>
      <c r="CA166" s="768" t="e">
        <f>CA151*(8.61+2.371)*2</f>
        <v>#DIV/0!</v>
      </c>
      <c r="CB166" s="768" t="e">
        <f>CB152*9.46</f>
        <v>#DIV/0!</v>
      </c>
      <c r="CC166" s="768" t="e">
        <f>CC153*(22.232+6.502)</f>
        <v>#DIV/0!</v>
      </c>
      <c r="CD166" s="668"/>
      <c r="CE166" s="668"/>
      <c r="CF166" s="668"/>
      <c r="CG166" s="768" t="e">
        <f>(CI166+CJ166+CK166)/58</f>
        <v>#DIV/0!</v>
      </c>
      <c r="CH166" s="769"/>
      <c r="CI166" s="768" t="e">
        <f>CI151*(8.61+2.371)*2</f>
        <v>#DIV/0!</v>
      </c>
      <c r="CJ166" s="768" t="e">
        <f>CJ152*9.46</f>
        <v>#DIV/0!</v>
      </c>
      <c r="CK166" s="768" t="e">
        <f>CK153*(22.232+6.502)</f>
        <v>#DIV/0!</v>
      </c>
      <c r="CL166" s="668"/>
      <c r="CM166" s="668"/>
      <c r="CN166" s="668"/>
      <c r="CO166" s="768" t="e">
        <f>(CQ166+CR166+CS166)/58</f>
        <v>#DIV/0!</v>
      </c>
      <c r="CP166" s="769"/>
      <c r="CQ166" s="768" t="e">
        <f>CQ151*(8.61+2.371)*2</f>
        <v>#DIV/0!</v>
      </c>
      <c r="CR166" s="768" t="e">
        <f>CR152*9.46</f>
        <v>#DIV/0!</v>
      </c>
      <c r="CS166" s="768" t="e">
        <f>CS153*(22.232+6.502)</f>
        <v>#DIV/0!</v>
      </c>
      <c r="CT166" s="668"/>
      <c r="CU166" s="668"/>
      <c r="CV166" s="668"/>
      <c r="CW166" s="768" t="e">
        <f>(CY166+CZ166+DA166)/58</f>
        <v>#DIV/0!</v>
      </c>
      <c r="CX166" s="769"/>
      <c r="CY166" s="768" t="e">
        <f>CY151*(8.61+2.371)*2</f>
        <v>#DIV/0!</v>
      </c>
      <c r="CZ166" s="768" t="e">
        <f>CZ152*9.46</f>
        <v>#DIV/0!</v>
      </c>
      <c r="DA166" s="768" t="e">
        <f>DA153*(22.232+6.502)</f>
        <v>#DIV/0!</v>
      </c>
      <c r="DB166" s="668"/>
      <c r="DC166" s="668"/>
      <c r="DD166" s="668"/>
    </row>
    <row r="167" spans="2:108">
      <c r="E167" s="768"/>
      <c r="I167" s="768"/>
      <c r="J167" s="768"/>
      <c r="K167" s="768"/>
      <c r="N167" s="768"/>
      <c r="R167" s="768"/>
      <c r="S167" s="768"/>
      <c r="V167" s="768"/>
      <c r="Z167" s="768"/>
      <c r="AA167" s="768"/>
      <c r="AD167" s="768"/>
      <c r="AH167" s="768"/>
      <c r="AI167" s="768"/>
      <c r="AL167" s="768"/>
      <c r="AP167" s="768"/>
      <c r="AQ167" s="768"/>
      <c r="AT167" s="768"/>
      <c r="AX167" s="768"/>
      <c r="AY167" s="768"/>
      <c r="BB167" s="768"/>
      <c r="BF167" s="768"/>
      <c r="BG167" s="768"/>
      <c r="BJ167" s="768"/>
      <c r="BN167" s="768"/>
      <c r="BO167" s="768"/>
      <c r="BR167" s="768"/>
      <c r="BV167" s="768"/>
      <c r="BW167" s="768"/>
      <c r="BZ167" s="768"/>
      <c r="CD167" s="768"/>
      <c r="CE167" s="768"/>
      <c r="CH167" s="768"/>
      <c r="CL167" s="768"/>
      <c r="CM167" s="768"/>
      <c r="CP167" s="768"/>
      <c r="CT167" s="768"/>
      <c r="CU167" s="768"/>
      <c r="CX167" s="768"/>
      <c r="DB167" s="768"/>
      <c r="DC167" s="768"/>
    </row>
    <row r="168" spans="2:108">
      <c r="D168" s="770"/>
      <c r="E168" s="770"/>
      <c r="F168" s="768"/>
      <c r="G168" s="768"/>
      <c r="H168" s="768"/>
      <c r="I168" s="768"/>
      <c r="J168" s="768"/>
      <c r="K168" s="768"/>
      <c r="L168" s="771"/>
      <c r="M168" s="770"/>
      <c r="N168" s="770"/>
      <c r="O168" s="768"/>
      <c r="P168" s="768"/>
      <c r="Q168" s="768"/>
      <c r="R168" s="768"/>
      <c r="S168" s="768"/>
      <c r="T168" s="771"/>
      <c r="U168" s="770"/>
      <c r="V168" s="770"/>
      <c r="W168" s="768"/>
      <c r="X168" s="768"/>
      <c r="Y168" s="768"/>
      <c r="Z168" s="768"/>
      <c r="AA168" s="768"/>
      <c r="AB168" s="771"/>
      <c r="AC168" s="770"/>
      <c r="AD168" s="770"/>
      <c r="AE168" s="768"/>
      <c r="AF168" s="768"/>
      <c r="AG168" s="768"/>
      <c r="AH168" s="768"/>
      <c r="AI168" s="768"/>
      <c r="AJ168" s="771"/>
      <c r="AK168" s="770"/>
      <c r="AL168" s="770"/>
      <c r="AM168" s="768"/>
      <c r="AN168" s="768"/>
      <c r="AO168" s="768"/>
      <c r="AP168" s="768"/>
      <c r="AQ168" s="768"/>
      <c r="AR168" s="771"/>
      <c r="AS168" s="770"/>
      <c r="AT168" s="770"/>
      <c r="AU168" s="768"/>
      <c r="AV168" s="768"/>
      <c r="AW168" s="768"/>
      <c r="AX168" s="768"/>
      <c r="AY168" s="768"/>
      <c r="AZ168" s="771"/>
      <c r="BA168" s="770"/>
      <c r="BB168" s="770"/>
      <c r="BC168" s="768"/>
      <c r="BD168" s="768"/>
      <c r="BE168" s="768"/>
      <c r="BF168" s="768"/>
      <c r="BG168" s="768"/>
      <c r="BH168" s="771"/>
      <c r="BI168" s="770"/>
      <c r="BJ168" s="770"/>
      <c r="BK168" s="768"/>
      <c r="BL168" s="768"/>
      <c r="BM168" s="768"/>
      <c r="BN168" s="768"/>
      <c r="BO168" s="768"/>
      <c r="BP168" s="771"/>
      <c r="BQ168" s="770"/>
      <c r="BR168" s="770"/>
      <c r="BS168" s="768"/>
      <c r="BT168" s="768"/>
      <c r="BU168" s="768"/>
      <c r="BV168" s="768"/>
      <c r="BW168" s="768"/>
      <c r="BX168" s="771"/>
      <c r="BY168" s="770"/>
      <c r="BZ168" s="770"/>
      <c r="CA168" s="768"/>
      <c r="CB168" s="768"/>
      <c r="CC168" s="768"/>
      <c r="CD168" s="768"/>
      <c r="CE168" s="768"/>
      <c r="CF168" s="771"/>
      <c r="CG168" s="770"/>
      <c r="CH168" s="770"/>
      <c r="CI168" s="768"/>
      <c r="CJ168" s="768"/>
      <c r="CK168" s="768"/>
      <c r="CL168" s="768"/>
      <c r="CM168" s="768"/>
      <c r="CN168" s="771"/>
      <c r="CO168" s="770"/>
      <c r="CP168" s="770"/>
      <c r="CQ168" s="768"/>
      <c r="CR168" s="768"/>
      <c r="CS168" s="768"/>
      <c r="CT168" s="768"/>
      <c r="CU168" s="768"/>
      <c r="CV168" s="771"/>
      <c r="CW168" s="770"/>
      <c r="CX168" s="770"/>
      <c r="CY168" s="768"/>
      <c r="CZ168" s="768"/>
      <c r="DA168" s="768"/>
      <c r="DB168" s="768"/>
      <c r="DC168" s="768"/>
      <c r="DD168" s="771"/>
    </row>
    <row r="170" spans="2:108" ht="21" customHeight="1">
      <c r="B170" s="772" t="s">
        <v>382</v>
      </c>
      <c r="C170" s="773"/>
      <c r="D170" s="774"/>
      <c r="E170" s="774"/>
      <c r="F170" s="774"/>
      <c r="G170" s="774"/>
      <c r="H170" s="774"/>
      <c r="I170" s="773"/>
      <c r="J170" s="773"/>
      <c r="K170" s="773"/>
      <c r="L170" s="773"/>
      <c r="M170" s="774"/>
      <c r="N170" s="774"/>
      <c r="O170" s="774"/>
      <c r="P170" s="774"/>
      <c r="Q170" s="774"/>
      <c r="R170" s="773"/>
      <c r="S170" s="773"/>
      <c r="T170" s="773"/>
      <c r="U170" s="774"/>
      <c r="V170" s="774"/>
      <c r="W170" s="774"/>
      <c r="X170" s="774"/>
      <c r="Y170" s="774"/>
      <c r="Z170" s="773"/>
      <c r="AA170" s="773"/>
      <c r="AB170" s="773"/>
      <c r="AC170" s="774"/>
      <c r="AD170" s="774"/>
      <c r="AE170" s="774"/>
      <c r="AF170" s="774"/>
      <c r="AG170" s="774"/>
      <c r="AH170" s="773"/>
      <c r="AI170" s="773"/>
      <c r="AJ170" s="773"/>
      <c r="AK170" s="774"/>
      <c r="AL170" s="774"/>
      <c r="AM170" s="774"/>
      <c r="AN170" s="774"/>
      <c r="AO170" s="774"/>
      <c r="AP170" s="773"/>
      <c r="AQ170" s="773"/>
      <c r="AR170" s="773"/>
      <c r="AS170" s="774"/>
      <c r="AT170" s="774"/>
      <c r="AU170" s="774"/>
      <c r="AV170" s="774"/>
      <c r="AW170" s="774"/>
      <c r="AX170" s="773"/>
      <c r="AY170" s="773"/>
    </row>
    <row r="171" spans="2:108" ht="21" customHeight="1">
      <c r="B171" s="773" t="s">
        <v>383</v>
      </c>
      <c r="C171" s="773"/>
      <c r="D171" s="774"/>
      <c r="E171" s="774"/>
      <c r="F171" s="774"/>
      <c r="G171" s="774"/>
      <c r="H171" s="774"/>
      <c r="I171" s="773"/>
      <c r="J171" s="773"/>
      <c r="K171" s="773"/>
      <c r="L171" s="773"/>
      <c r="M171" s="774"/>
      <c r="N171" s="774"/>
      <c r="O171" s="774"/>
      <c r="P171" s="774"/>
      <c r="Q171" s="774"/>
      <c r="R171" s="773"/>
      <c r="S171" s="773"/>
      <c r="T171" s="773"/>
      <c r="U171" s="774"/>
      <c r="V171" s="774"/>
      <c r="W171" s="774"/>
      <c r="X171" s="774"/>
      <c r="Y171" s="774"/>
      <c r="Z171" s="773"/>
      <c r="AA171" s="773"/>
      <c r="AB171" s="773"/>
      <c r="AC171" s="774"/>
      <c r="AD171" s="774"/>
      <c r="AE171" s="774"/>
      <c r="AF171" s="774"/>
      <c r="AG171" s="774"/>
      <c r="AH171" s="773"/>
      <c r="AI171" s="773"/>
      <c r="AJ171" s="773"/>
      <c r="AK171" s="774"/>
      <c r="AL171" s="774"/>
      <c r="AM171" s="774"/>
      <c r="AN171" s="774"/>
      <c r="AO171" s="774"/>
      <c r="AP171" s="773"/>
      <c r="AQ171" s="773"/>
      <c r="AR171" s="773"/>
      <c r="AS171" s="774"/>
      <c r="AT171" s="774"/>
      <c r="AU171" s="774"/>
      <c r="AV171" s="774"/>
      <c r="AW171" s="774"/>
      <c r="AX171" s="773"/>
      <c r="AY171" s="773"/>
    </row>
    <row r="172" spans="2:108" ht="45.75" customHeight="1">
      <c r="B172" s="775" t="s">
        <v>5</v>
      </c>
      <c r="C172" s="773"/>
      <c r="D172" s="774"/>
      <c r="E172" s="774"/>
      <c r="F172" s="774"/>
      <c r="G172" s="774"/>
      <c r="H172" s="774"/>
      <c r="I172" s="773"/>
      <c r="J172" s="773"/>
      <c r="K172" s="773"/>
      <c r="L172" s="773"/>
      <c r="M172" s="776">
        <f>M173</f>
        <v>29.446830000000002</v>
      </c>
      <c r="N172" s="774"/>
      <c r="O172" s="774"/>
      <c r="P172" s="774"/>
      <c r="Q172" s="774"/>
      <c r="R172" s="773"/>
      <c r="S172" s="773"/>
      <c r="T172" s="773"/>
      <c r="U172" s="776">
        <f>U173</f>
        <v>0</v>
      </c>
      <c r="V172" s="774"/>
      <c r="W172" s="773"/>
      <c r="X172" s="774"/>
      <c r="Y172" s="774"/>
      <c r="Z172" s="773"/>
      <c r="AA172" s="773"/>
      <c r="AB172" s="773"/>
      <c r="AC172" s="776">
        <f>AC173</f>
        <v>0</v>
      </c>
      <c r="AD172" s="774"/>
      <c r="AE172" s="774"/>
      <c r="AF172" s="774"/>
      <c r="AG172" s="774"/>
      <c r="AH172" s="773"/>
      <c r="AI172" s="773"/>
      <c r="AJ172" s="773"/>
      <c r="AK172" s="776">
        <f>AK173</f>
        <v>0</v>
      </c>
      <c r="AL172" s="774"/>
      <c r="AM172" s="774"/>
      <c r="AN172" s="774"/>
      <c r="AO172" s="774"/>
      <c r="AP172" s="773"/>
      <c r="AQ172" s="773"/>
      <c r="AR172" s="773"/>
      <c r="AS172" s="776">
        <f>AS173</f>
        <v>0</v>
      </c>
      <c r="AT172" s="774"/>
      <c r="AU172" s="777"/>
      <c r="AV172" s="774"/>
      <c r="AW172" s="774"/>
      <c r="AX172" s="773"/>
      <c r="AY172" s="773"/>
    </row>
    <row r="173" spans="2:108" ht="21" customHeight="1">
      <c r="B173" s="778" t="s">
        <v>384</v>
      </c>
      <c r="C173" s="773"/>
      <c r="D173" s="774"/>
      <c r="E173" s="774"/>
      <c r="F173" s="774"/>
      <c r="G173" s="774"/>
      <c r="H173" s="774"/>
      <c r="I173" s="773"/>
      <c r="J173" s="773"/>
      <c r="K173" s="773"/>
      <c r="L173" s="773"/>
      <c r="M173" s="776">
        <f>29446.83/1000</f>
        <v>29.446830000000002</v>
      </c>
      <c r="N173" s="776"/>
      <c r="O173" s="776"/>
      <c r="P173" s="776"/>
      <c r="Q173" s="776"/>
      <c r="R173" s="779"/>
      <c r="S173" s="779"/>
      <c r="T173" s="779"/>
      <c r="U173" s="776"/>
      <c r="V173" s="776"/>
      <c r="W173" s="776"/>
      <c r="X173" s="776"/>
      <c r="Y173" s="776"/>
      <c r="Z173" s="779"/>
      <c r="AA173" s="779"/>
      <c r="AB173" s="779"/>
      <c r="AC173" s="776"/>
      <c r="AD173" s="776"/>
      <c r="AE173" s="776"/>
      <c r="AF173" s="776"/>
      <c r="AG173" s="776"/>
      <c r="AH173" s="779"/>
      <c r="AI173" s="779"/>
      <c r="AJ173" s="779"/>
      <c r="AK173" s="776"/>
      <c r="AL173" s="776"/>
      <c r="AM173" s="776"/>
      <c r="AN173" s="776"/>
      <c r="AO173" s="776"/>
      <c r="AP173" s="779"/>
      <c r="AQ173" s="779"/>
      <c r="AR173" s="779"/>
      <c r="AS173" s="776"/>
      <c r="AT173" s="776"/>
      <c r="AU173" s="776"/>
      <c r="AV173" s="776"/>
      <c r="AW173" s="776"/>
      <c r="AX173" s="779"/>
      <c r="AY173" s="779"/>
    </row>
    <row r="174" spans="2:108" ht="21" customHeight="1">
      <c r="B174" s="775" t="s">
        <v>274</v>
      </c>
      <c r="C174" s="773"/>
      <c r="D174" s="780"/>
      <c r="E174" s="780"/>
      <c r="F174" s="774"/>
      <c r="G174" s="774"/>
      <c r="H174" s="774"/>
      <c r="I174" s="773"/>
      <c r="J174" s="773"/>
      <c r="K174" s="773"/>
      <c r="L174" s="773"/>
      <c r="M174" s="776">
        <f>SUM(M175:M179)</f>
        <v>3230.1860000000001</v>
      </c>
      <c r="N174" s="776"/>
      <c r="O174" s="776"/>
      <c r="P174" s="776"/>
      <c r="Q174" s="776"/>
      <c r="R174" s="779"/>
      <c r="S174" s="779"/>
      <c r="T174" s="779"/>
      <c r="U174" s="776">
        <f>SUM(U175:U179)</f>
        <v>76309.190999999992</v>
      </c>
      <c r="V174" s="776"/>
      <c r="W174" s="776"/>
      <c r="X174" s="776"/>
      <c r="Y174" s="776"/>
      <c r="Z174" s="779"/>
      <c r="AA174" s="779"/>
      <c r="AB174" s="779"/>
      <c r="AC174" s="776">
        <f>SUM(AC175:AC179)</f>
        <v>38249.745999999999</v>
      </c>
      <c r="AD174" s="776"/>
      <c r="AE174" s="776"/>
      <c r="AF174" s="776"/>
      <c r="AG174" s="776"/>
      <c r="AH174" s="779"/>
      <c r="AI174" s="779"/>
      <c r="AJ174" s="779"/>
      <c r="AK174" s="776">
        <f>SUM(AK175:AK179)</f>
        <v>18967.977000000003</v>
      </c>
      <c r="AL174" s="776"/>
      <c r="AM174" s="776"/>
      <c r="AN174" s="776"/>
      <c r="AO174" s="776"/>
      <c r="AP174" s="779"/>
      <c r="AQ174" s="779"/>
      <c r="AR174" s="779"/>
      <c r="AS174" s="776">
        <f>SUM(AS175:AS179)</f>
        <v>4808.4780700000001</v>
      </c>
      <c r="AT174" s="776"/>
      <c r="AU174" s="776"/>
      <c r="AV174" s="776"/>
      <c r="AW174" s="776"/>
      <c r="AX174" s="779"/>
      <c r="AY174" s="779"/>
      <c r="BA174" s="760"/>
      <c r="BB174" s="760"/>
      <c r="BI174" s="760"/>
      <c r="BJ174" s="760"/>
      <c r="BQ174" s="760"/>
      <c r="BR174" s="760"/>
      <c r="BY174" s="760"/>
      <c r="BZ174" s="760"/>
      <c r="CG174" s="760"/>
      <c r="CH174" s="760"/>
      <c r="CO174" s="760"/>
      <c r="CP174" s="760"/>
      <c r="CW174" s="760"/>
      <c r="CX174" s="760"/>
    </row>
    <row r="175" spans="2:108" ht="21" customHeight="1">
      <c r="B175" s="778" t="s">
        <v>385</v>
      </c>
      <c r="C175" s="773"/>
      <c r="D175" s="774"/>
      <c r="E175" s="774"/>
      <c r="F175" s="774"/>
      <c r="G175" s="774"/>
      <c r="H175" s="774"/>
      <c r="I175" s="773"/>
      <c r="J175" s="773"/>
      <c r="K175" s="773"/>
      <c r="L175" s="773"/>
      <c r="M175" s="776">
        <f>3230186/1000</f>
        <v>3230.1860000000001</v>
      </c>
      <c r="N175" s="776"/>
      <c r="O175" s="776"/>
      <c r="P175" s="776"/>
      <c r="Q175" s="776"/>
      <c r="R175" s="779"/>
      <c r="S175" s="779"/>
      <c r="T175" s="779"/>
      <c r="U175" s="776"/>
      <c r="V175" s="776"/>
      <c r="W175" s="776"/>
      <c r="X175" s="776"/>
      <c r="Y175" s="776"/>
      <c r="Z175" s="779"/>
      <c r="AA175" s="779"/>
      <c r="AB175" s="779"/>
      <c r="AC175" s="776"/>
      <c r="AD175" s="776"/>
      <c r="AE175" s="776"/>
      <c r="AF175" s="776"/>
      <c r="AG175" s="776"/>
      <c r="AH175" s="779"/>
      <c r="AI175" s="779"/>
      <c r="AJ175" s="779"/>
      <c r="AK175" s="776">
        <f>18860526/1000</f>
        <v>18860.526000000002</v>
      </c>
      <c r="AL175" s="776"/>
      <c r="AM175" s="776"/>
      <c r="AN175" s="776"/>
      <c r="AO175" s="776"/>
      <c r="AP175" s="779"/>
      <c r="AQ175" s="779"/>
      <c r="AR175" s="779"/>
      <c r="AS175" s="776">
        <f>4517157.78/1000</f>
        <v>4517.1577800000005</v>
      </c>
      <c r="AT175" s="776"/>
      <c r="AU175" s="776"/>
      <c r="AV175" s="776"/>
      <c r="AW175" s="776"/>
      <c r="AX175" s="779"/>
      <c r="AY175" s="779"/>
    </row>
    <row r="176" spans="2:108" ht="21" customHeight="1">
      <c r="B176" s="778" t="s">
        <v>386</v>
      </c>
      <c r="C176" s="773"/>
      <c r="D176" s="774"/>
      <c r="E176" s="774"/>
      <c r="F176" s="774"/>
      <c r="G176" s="774"/>
      <c r="H176" s="774"/>
      <c r="I176" s="773"/>
      <c r="J176" s="773"/>
      <c r="K176" s="773"/>
      <c r="L176" s="773"/>
      <c r="M176" s="776"/>
      <c r="N176" s="776"/>
      <c r="O176" s="776"/>
      <c r="P176" s="776"/>
      <c r="Q176" s="776"/>
      <c r="R176" s="779"/>
      <c r="S176" s="779"/>
      <c r="T176" s="779"/>
      <c r="U176" s="776">
        <f>(76162543+342)/1000</f>
        <v>76162.884999999995</v>
      </c>
      <c r="V176" s="776"/>
      <c r="W176" s="779"/>
      <c r="X176" s="776"/>
      <c r="Y176" s="776"/>
      <c r="Z176" s="779"/>
      <c r="AA176" s="779"/>
      <c r="AB176" s="779"/>
      <c r="AC176" s="776"/>
      <c r="AD176" s="776"/>
      <c r="AE176" s="776"/>
      <c r="AF176" s="776"/>
      <c r="AG176" s="776"/>
      <c r="AH176" s="779"/>
      <c r="AI176" s="779"/>
      <c r="AJ176" s="779"/>
      <c r="AK176" s="776"/>
      <c r="AL176" s="776"/>
      <c r="AM176" s="776"/>
      <c r="AN176" s="776"/>
      <c r="AO176" s="776"/>
      <c r="AP176" s="779"/>
      <c r="AQ176" s="779"/>
      <c r="AR176" s="779"/>
      <c r="AS176" s="776"/>
      <c r="AT176" s="776"/>
      <c r="AU176" s="776"/>
      <c r="AV176" s="776"/>
      <c r="AW176" s="776"/>
      <c r="AX176" s="779"/>
      <c r="AY176" s="779"/>
    </row>
    <row r="177" spans="2:104" ht="21" customHeight="1">
      <c r="B177" s="778" t="s">
        <v>387</v>
      </c>
      <c r="C177" s="773"/>
      <c r="D177" s="774"/>
      <c r="E177" s="774"/>
      <c r="F177" s="774"/>
      <c r="G177" s="774"/>
      <c r="H177" s="774"/>
      <c r="I177" s="773"/>
      <c r="J177" s="773"/>
      <c r="K177" s="773"/>
      <c r="L177" s="773"/>
      <c r="M177" s="776"/>
      <c r="N177" s="776"/>
      <c r="O177" s="776"/>
      <c r="P177" s="776"/>
      <c r="Q177" s="776"/>
      <c r="R177" s="779"/>
      <c r="S177" s="779"/>
      <c r="T177" s="779"/>
      <c r="U177" s="776">
        <f>53571/1000</f>
        <v>53.570999999999998</v>
      </c>
      <c r="V177" s="776"/>
      <c r="W177" s="779"/>
      <c r="X177" s="776"/>
      <c r="Y177" s="776"/>
      <c r="Z177" s="779"/>
      <c r="AA177" s="779"/>
      <c r="AB177" s="779"/>
      <c r="AC177" s="776"/>
      <c r="AD177" s="776"/>
      <c r="AE177" s="776"/>
      <c r="AF177" s="776"/>
      <c r="AG177" s="776"/>
      <c r="AH177" s="779"/>
      <c r="AI177" s="779"/>
      <c r="AJ177" s="779"/>
      <c r="AK177" s="776">
        <f>103554/1000</f>
        <v>103.554</v>
      </c>
      <c r="AL177" s="776"/>
      <c r="AM177" s="776"/>
      <c r="AN177" s="776"/>
      <c r="AO177" s="776"/>
      <c r="AP177" s="779"/>
      <c r="AQ177" s="779"/>
      <c r="AR177" s="779"/>
      <c r="AS177" s="776">
        <f>(107142.86+178571.43)/1000</f>
        <v>285.71429000000001</v>
      </c>
      <c r="AT177" s="776"/>
      <c r="AU177" s="776"/>
      <c r="AV177" s="776"/>
      <c r="AW177" s="776"/>
      <c r="AX177" s="779"/>
      <c r="AY177" s="779"/>
    </row>
    <row r="178" spans="2:104" ht="21" customHeight="1">
      <c r="B178" s="778" t="s">
        <v>388</v>
      </c>
      <c r="C178" s="773"/>
      <c r="D178" s="774"/>
      <c r="E178" s="774"/>
      <c r="F178" s="774"/>
      <c r="G178" s="774"/>
      <c r="H178" s="774"/>
      <c r="I178" s="773"/>
      <c r="J178" s="773"/>
      <c r="K178" s="773"/>
      <c r="L178" s="773"/>
      <c r="M178" s="776"/>
      <c r="N178" s="776"/>
      <c r="O178" s="776"/>
      <c r="P178" s="776"/>
      <c r="Q178" s="776"/>
      <c r="R178" s="779"/>
      <c r="S178" s="779"/>
      <c r="T178" s="779"/>
      <c r="U178" s="776">
        <f>92735/1000</f>
        <v>92.734999999999999</v>
      </c>
      <c r="V178" s="776"/>
      <c r="W178" s="779"/>
      <c r="X178" s="776"/>
      <c r="Y178" s="776"/>
      <c r="Z178" s="779"/>
      <c r="AA178" s="779"/>
      <c r="AB178" s="779"/>
      <c r="AC178" s="776"/>
      <c r="AD178" s="776"/>
      <c r="AE178" s="776"/>
      <c r="AF178" s="776"/>
      <c r="AG178" s="776"/>
      <c r="AH178" s="779"/>
      <c r="AI178" s="779"/>
      <c r="AJ178" s="779"/>
      <c r="AK178" s="776">
        <f>3897/1000</f>
        <v>3.8969999999999998</v>
      </c>
      <c r="AL178" s="776"/>
      <c r="AM178" s="776"/>
      <c r="AN178" s="776"/>
      <c r="AO178" s="776"/>
      <c r="AP178" s="779"/>
      <c r="AQ178" s="779"/>
      <c r="AR178" s="779"/>
      <c r="AS178" s="776">
        <f>(734+120+4752)/1000</f>
        <v>5.6059999999999999</v>
      </c>
      <c r="AT178" s="776"/>
      <c r="AU178" s="776"/>
      <c r="AV178" s="776"/>
      <c r="AW178" s="776"/>
      <c r="AX178" s="779"/>
      <c r="AY178" s="779"/>
    </row>
    <row r="179" spans="2:104" ht="21" customHeight="1">
      <c r="B179" s="778" t="s">
        <v>389</v>
      </c>
      <c r="C179" s="773"/>
      <c r="D179" s="774"/>
      <c r="E179" s="774"/>
      <c r="F179" s="774"/>
      <c r="G179" s="774"/>
      <c r="H179" s="774"/>
      <c r="I179" s="773"/>
      <c r="J179" s="773"/>
      <c r="K179" s="773"/>
      <c r="L179" s="773"/>
      <c r="M179" s="776"/>
      <c r="N179" s="776"/>
      <c r="O179" s="776"/>
      <c r="P179" s="776"/>
      <c r="Q179" s="776"/>
      <c r="R179" s="779"/>
      <c r="S179" s="779"/>
      <c r="T179" s="779"/>
      <c r="U179" s="776"/>
      <c r="V179" s="776"/>
      <c r="W179" s="776"/>
      <c r="X179" s="776"/>
      <c r="Y179" s="776"/>
      <c r="Z179" s="779"/>
      <c r="AA179" s="779"/>
      <c r="AB179" s="779"/>
      <c r="AC179" s="776">
        <f>(35714+38214032)/1000</f>
        <v>38249.745999999999</v>
      </c>
      <c r="AD179" s="776"/>
      <c r="AE179" s="776"/>
      <c r="AF179" s="776"/>
      <c r="AG179" s="776"/>
      <c r="AH179" s="779"/>
      <c r="AI179" s="779"/>
      <c r="AJ179" s="779"/>
      <c r="AK179" s="776"/>
      <c r="AL179" s="776"/>
      <c r="AM179" s="776"/>
      <c r="AN179" s="776"/>
      <c r="AO179" s="776"/>
      <c r="AP179" s="779"/>
      <c r="AQ179" s="779"/>
      <c r="AR179" s="779"/>
      <c r="AS179" s="776"/>
      <c r="AT179" s="776"/>
      <c r="AU179" s="776"/>
      <c r="AV179" s="776"/>
      <c r="AW179" s="776"/>
      <c r="AX179" s="779"/>
      <c r="AY179" s="779"/>
    </row>
    <row r="180" spans="2:104">
      <c r="AU180" s="781"/>
    </row>
    <row r="182" spans="2:104">
      <c r="B182" s="759" t="s">
        <v>463</v>
      </c>
    </row>
    <row r="183" spans="2:104">
      <c r="B183" s="759"/>
      <c r="G183" s="760"/>
      <c r="P183" s="760"/>
      <c r="X183" s="760"/>
      <c r="AF183" s="760"/>
      <c r="AN183" s="760"/>
      <c r="AU183" s="782"/>
      <c r="AV183" s="782"/>
      <c r="AW183" s="782"/>
      <c r="AX183" s="783"/>
      <c r="AY183" s="783"/>
      <c r="BD183" s="760"/>
      <c r="BL183" s="760"/>
      <c r="BT183" s="760"/>
      <c r="CB183" s="760"/>
      <c r="CJ183" s="760"/>
      <c r="CR183" s="760"/>
      <c r="CZ183" s="760"/>
    </row>
    <row r="184" spans="2:104">
      <c r="B184" s="759" t="s">
        <v>181</v>
      </c>
      <c r="AX184" s="756"/>
      <c r="AY184" s="756"/>
    </row>
    <row r="192" spans="2:104">
      <c r="F192" s="784"/>
      <c r="G192" s="784"/>
      <c r="H192" s="784"/>
      <c r="I192" s="784"/>
    </row>
    <row r="193" spans="6:9">
      <c r="F193" s="784"/>
      <c r="G193" s="784"/>
      <c r="H193" s="784"/>
      <c r="I193" s="784"/>
    </row>
    <row r="194" spans="6:9">
      <c r="F194" s="784"/>
      <c r="G194" s="784"/>
      <c r="H194" s="784"/>
      <c r="I194" s="784"/>
    </row>
    <row r="195" spans="6:9">
      <c r="F195" s="784"/>
      <c r="G195" s="784"/>
      <c r="H195" s="784"/>
      <c r="I195" s="784"/>
    </row>
    <row r="196" spans="6:9">
      <c r="F196" s="784"/>
      <c r="G196" s="784"/>
      <c r="H196" s="784"/>
      <c r="I196" s="784"/>
    </row>
  </sheetData>
  <mergeCells count="22">
    <mergeCell ref="A8:A9"/>
    <mergeCell ref="B8:B9"/>
    <mergeCell ref="C8:C9"/>
    <mergeCell ref="D8:I8"/>
    <mergeCell ref="M8:S8"/>
    <mergeCell ref="DF15:DJ15"/>
    <mergeCell ref="A146:A150"/>
    <mergeCell ref="B146:B150"/>
    <mergeCell ref="A151:A155"/>
    <mergeCell ref="B151:B155"/>
    <mergeCell ref="U8:AA8"/>
    <mergeCell ref="CG8:CM8"/>
    <mergeCell ref="CO8:CU8"/>
    <mergeCell ref="CW8:DC8"/>
    <mergeCell ref="DF11:DJ11"/>
    <mergeCell ref="BY8:CE8"/>
    <mergeCell ref="AC8:AI8"/>
    <mergeCell ref="AK8:AQ8"/>
    <mergeCell ref="AS8:AY8"/>
    <mergeCell ref="BA8:BG8"/>
    <mergeCell ref="BI8:BO8"/>
    <mergeCell ref="BQ8:BW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S169"/>
  <sheetViews>
    <sheetView zoomScale="60" zoomScaleNormal="6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L14" sqref="L14"/>
    </sheetView>
  </sheetViews>
  <sheetFormatPr defaultColWidth="9.140625" defaultRowHeight="20.25" outlineLevelRow="1"/>
  <cols>
    <col min="1" max="1" width="8.28515625" style="80" customWidth="1"/>
    <col min="2" max="2" width="58.5703125" style="1" customWidth="1"/>
    <col min="3" max="3" width="0.42578125" style="1" hidden="1" customWidth="1"/>
    <col min="4" max="4" width="20.7109375" style="37" customWidth="1"/>
    <col min="5" max="5" width="18.7109375" style="37" customWidth="1"/>
    <col min="6" max="6" width="19.28515625" style="37" customWidth="1"/>
    <col min="7" max="7" width="15.42578125" style="37" customWidth="1"/>
    <col min="8" max="8" width="13.28515625" style="1" customWidth="1"/>
    <col min="9" max="9" width="3.5703125" style="1" customWidth="1"/>
    <col min="10" max="10" width="3.7109375" style="1" customWidth="1"/>
    <col min="11" max="11" width="21.85546875" style="37" customWidth="1"/>
    <col min="12" max="13" width="19.140625" style="37" customWidth="1"/>
    <col min="14" max="14" width="14.7109375" style="37" customWidth="1"/>
    <col min="15" max="15" width="13.140625" style="1" customWidth="1"/>
    <col min="16" max="16" width="2" style="1" customWidth="1"/>
    <col min="17" max="17" width="15.85546875" style="1" customWidth="1"/>
    <col min="18" max="18" width="20.28515625" style="324" customWidth="1"/>
    <col min="19" max="19" width="16.85546875" style="324" customWidth="1"/>
    <col min="20" max="20" width="11.42578125" style="1" customWidth="1"/>
    <col min="21" max="22" width="16.140625" style="1" customWidth="1"/>
    <col min="23" max="29" width="4.42578125" style="1" customWidth="1"/>
    <col min="30" max="32" width="4.42578125" style="1" hidden="1" customWidth="1"/>
    <col min="33" max="33" width="16.42578125" style="37" hidden="1" customWidth="1"/>
    <col min="34" max="34" width="16.140625" style="37" hidden="1" customWidth="1"/>
    <col min="35" max="35" width="8.85546875" style="1" hidden="1" customWidth="1"/>
    <col min="36" max="36" width="0" style="1" hidden="1" customWidth="1"/>
    <col min="37" max="37" width="19.85546875" style="37" hidden="1" customWidth="1"/>
    <col min="38" max="38" width="17.28515625" style="37" hidden="1" customWidth="1"/>
    <col min="39" max="39" width="16.5703125" style="37" hidden="1" customWidth="1"/>
    <col min="40" max="40" width="15.42578125" style="37" hidden="1" customWidth="1"/>
    <col min="41" max="41" width="14.140625" style="41" hidden="1" customWidth="1"/>
    <col min="42" max="42" width="14.5703125" style="37" hidden="1" customWidth="1"/>
    <col min="43" max="43" width="13.5703125" style="1" hidden="1" customWidth="1"/>
    <col min="44" max="44" width="3.7109375" style="1" hidden="1" customWidth="1"/>
    <col min="45" max="45" width="14.5703125" style="1" hidden="1" customWidth="1"/>
    <col min="46" max="16384" width="9.140625" style="1"/>
  </cols>
  <sheetData>
    <row r="1" spans="1:43" s="2" customFormat="1" ht="24.75" customHeight="1">
      <c r="A1" s="786" t="s">
        <v>111</v>
      </c>
      <c r="B1" s="786"/>
      <c r="C1" s="786"/>
      <c r="D1" s="786"/>
      <c r="E1" s="786"/>
      <c r="F1" s="786"/>
      <c r="G1" s="786"/>
      <c r="H1" s="786"/>
      <c r="K1" s="199"/>
      <c r="L1" s="200"/>
      <c r="M1" s="200"/>
      <c r="N1" s="200"/>
      <c r="O1" s="199"/>
      <c r="R1" s="323"/>
      <c r="S1" s="323"/>
      <c r="AG1" s="21"/>
      <c r="AH1" s="21"/>
    </row>
    <row r="2" spans="1:43" s="2" customFormat="1" ht="12" customHeight="1">
      <c r="A2" s="81"/>
      <c r="B2" s="787"/>
      <c r="C2" s="787"/>
      <c r="D2" s="213"/>
      <c r="E2" s="213"/>
      <c r="F2" s="213"/>
      <c r="G2" s="213"/>
      <c r="H2" s="213"/>
      <c r="I2" s="220"/>
      <c r="K2" s="170"/>
      <c r="L2" s="198"/>
      <c r="M2" s="198"/>
      <c r="N2" s="198"/>
      <c r="O2" s="198"/>
      <c r="P2" s="206"/>
      <c r="R2" s="323"/>
      <c r="S2" s="323"/>
      <c r="AG2" s="21"/>
      <c r="AH2" s="21"/>
      <c r="AK2" s="802"/>
      <c r="AL2" s="802"/>
      <c r="AM2" s="802"/>
      <c r="AN2" s="802"/>
      <c r="AO2" s="802"/>
      <c r="AP2" s="802"/>
      <c r="AQ2" s="802"/>
    </row>
    <row r="3" spans="1:43" s="2" customFormat="1" ht="24" customHeight="1">
      <c r="A3" s="788" t="s">
        <v>0</v>
      </c>
      <c r="B3" s="789" t="s">
        <v>1</v>
      </c>
      <c r="C3" s="789" t="s">
        <v>2</v>
      </c>
      <c r="D3" s="790" t="s">
        <v>190</v>
      </c>
      <c r="E3" s="791"/>
      <c r="F3" s="791"/>
      <c r="G3" s="791"/>
      <c r="H3" s="792"/>
      <c r="I3" s="116"/>
      <c r="K3" s="809" t="s">
        <v>191</v>
      </c>
      <c r="L3" s="809"/>
      <c r="M3" s="809"/>
      <c r="N3" s="809"/>
      <c r="O3" s="809"/>
      <c r="P3" s="206"/>
      <c r="R3" s="323"/>
      <c r="S3" s="323"/>
      <c r="AG3" s="806" t="s">
        <v>192</v>
      </c>
      <c r="AH3" s="807"/>
      <c r="AI3" s="808"/>
      <c r="AK3" s="803" t="s">
        <v>191</v>
      </c>
      <c r="AL3" s="804"/>
      <c r="AM3" s="804"/>
      <c r="AN3" s="804"/>
      <c r="AO3" s="804"/>
      <c r="AP3" s="804"/>
      <c r="AQ3" s="805"/>
    </row>
    <row r="4" spans="1:43" ht="112.5" customHeight="1">
      <c r="A4" s="788"/>
      <c r="B4" s="789"/>
      <c r="C4" s="789"/>
      <c r="D4" s="363" t="s">
        <v>3</v>
      </c>
      <c r="E4" s="73" t="s">
        <v>173</v>
      </c>
      <c r="F4" s="73" t="s">
        <v>174</v>
      </c>
      <c r="G4" s="73" t="s">
        <v>197</v>
      </c>
      <c r="H4" s="73" t="s">
        <v>198</v>
      </c>
      <c r="K4" s="363" t="s">
        <v>3</v>
      </c>
      <c r="L4" s="73" t="s">
        <v>173</v>
      </c>
      <c r="M4" s="73" t="s">
        <v>174</v>
      </c>
      <c r="N4" s="73" t="s">
        <v>197</v>
      </c>
      <c r="O4" s="73" t="s">
        <v>198</v>
      </c>
      <c r="R4" s="356"/>
      <c r="AG4" s="87" t="s">
        <v>187</v>
      </c>
      <c r="AH4" s="87" t="s">
        <v>188</v>
      </c>
      <c r="AI4" s="87" t="s">
        <v>189</v>
      </c>
      <c r="AK4" s="363" t="s">
        <v>3</v>
      </c>
      <c r="AL4" s="73" t="s">
        <v>173</v>
      </c>
      <c r="AM4" s="73" t="s">
        <v>174</v>
      </c>
      <c r="AN4" s="73" t="s">
        <v>138</v>
      </c>
      <c r="AO4" s="73" t="s">
        <v>139</v>
      </c>
      <c r="AP4" s="73" t="s">
        <v>140</v>
      </c>
      <c r="AQ4" s="73" t="s">
        <v>141</v>
      </c>
    </row>
    <row r="5" spans="1:43" s="11" customFormat="1" ht="12" customHeight="1">
      <c r="A5" s="77">
        <v>1</v>
      </c>
      <c r="B5" s="10">
        <v>2</v>
      </c>
      <c r="C5" s="10">
        <v>3</v>
      </c>
      <c r="D5" s="22">
        <v>4</v>
      </c>
      <c r="E5" s="23">
        <v>5</v>
      </c>
      <c r="F5" s="23">
        <v>6</v>
      </c>
      <c r="G5" s="23">
        <v>7</v>
      </c>
      <c r="H5" s="23">
        <v>8</v>
      </c>
      <c r="K5" s="22">
        <v>4</v>
      </c>
      <c r="L5" s="23">
        <v>5</v>
      </c>
      <c r="M5" s="23">
        <v>6</v>
      </c>
      <c r="N5" s="23">
        <v>7</v>
      </c>
      <c r="O5" s="23">
        <v>8</v>
      </c>
      <c r="R5" s="325"/>
      <c r="S5" s="325"/>
      <c r="AG5" s="90"/>
      <c r="AH5" s="90"/>
      <c r="AI5" s="88"/>
      <c r="AK5" s="22">
        <v>4</v>
      </c>
      <c r="AL5" s="23">
        <v>5</v>
      </c>
      <c r="AM5" s="23">
        <v>6</v>
      </c>
      <c r="AN5" s="23">
        <v>7</v>
      </c>
      <c r="AO5" s="24">
        <v>8</v>
      </c>
      <c r="AP5" s="23">
        <v>9</v>
      </c>
      <c r="AQ5" s="23">
        <v>10</v>
      </c>
    </row>
    <row r="6" spans="1:43" s="4" customFormat="1" ht="45.75" customHeight="1">
      <c r="A6" s="19" t="s">
        <v>4</v>
      </c>
      <c r="B6" s="17" t="s">
        <v>5</v>
      </c>
      <c r="C6" s="361" t="s">
        <v>6</v>
      </c>
      <c r="D6" s="27">
        <f>D8+D26+D32+D33+D34</f>
        <v>5159291.7473876858</v>
      </c>
      <c r="E6" s="27">
        <f>E8+E26+E32+E33+E34</f>
        <v>1447498.3096553106</v>
      </c>
      <c r="F6" s="27">
        <f>F8+F26+F32+F33+F34</f>
        <v>1219417.8712746401</v>
      </c>
      <c r="G6" s="27">
        <f>G8+G26+G32+G33+G34</f>
        <v>2326969.2301867921</v>
      </c>
      <c r="H6" s="27">
        <f t="shared" ref="H6" si="0">H8+H26+H32+H33+H34</f>
        <v>165406.3362709441</v>
      </c>
      <c r="K6" s="27">
        <f>K8+K26+K32+K33+K34</f>
        <v>4760881.1499521928</v>
      </c>
      <c r="L6" s="27">
        <f>L8+L26+L32+L33+L34</f>
        <v>1206591.1778228325</v>
      </c>
      <c r="M6" s="27">
        <f>M8+M26+M32+M33+M34</f>
        <v>1067571.6598018231</v>
      </c>
      <c r="N6" s="27">
        <f>N8+N26+N32+N33+N34</f>
        <v>2389628.0201660753</v>
      </c>
      <c r="O6" s="27">
        <f t="shared" ref="O6" si="1">O8+O26+O32+O33+O34</f>
        <v>97090.292161462014</v>
      </c>
      <c r="Q6" s="15"/>
      <c r="R6" s="326">
        <v>4760881.1499521928</v>
      </c>
      <c r="S6" s="327">
        <f>K6-R6</f>
        <v>0</v>
      </c>
      <c r="T6" s="319"/>
      <c r="U6" s="327">
        <f>K6-(L6+M6+N6+O6)</f>
        <v>0</v>
      </c>
      <c r="V6" s="319"/>
      <c r="AG6" s="99" t="e">
        <f>AG8+AG26+AG32+AG33+AG34</f>
        <v>#REF!</v>
      </c>
      <c r="AH6" s="91" t="e">
        <f>D6-AG6</f>
        <v>#REF!</v>
      </c>
      <c r="AI6" s="96" t="e">
        <f>100%-(AG6/D6)</f>
        <v>#REF!</v>
      </c>
      <c r="AK6" s="27" t="e">
        <f>AK8+AK26+AK32+AK33+AK34</f>
        <v>#REF!</v>
      </c>
      <c r="AL6" s="27" t="e">
        <f>AL8+AL26+AL32+AL33+AL34</f>
        <v>#REF!</v>
      </c>
      <c r="AM6" s="27" t="e">
        <f>AM8+AM26+AM32+AM33+AM34</f>
        <v>#REF!</v>
      </c>
      <c r="AN6" s="27" t="e">
        <f>AN8+AN26+AN32+AN33+AN34</f>
        <v>#REF!</v>
      </c>
      <c r="AO6" s="27" t="e">
        <f t="shared" ref="AO6:AQ6" si="2">AO8+AO26+AO32+AO33+AO34</f>
        <v>#REF!</v>
      </c>
      <c r="AP6" s="27" t="e">
        <f t="shared" si="2"/>
        <v>#REF!</v>
      </c>
      <c r="AQ6" s="27" t="e">
        <f t="shared" si="2"/>
        <v>#REF!</v>
      </c>
    </row>
    <row r="7" spans="1:43" s="4" customFormat="1">
      <c r="A7" s="13"/>
      <c r="B7" s="12" t="s">
        <v>7</v>
      </c>
      <c r="C7" s="211"/>
      <c r="D7" s="25"/>
      <c r="E7" s="25"/>
      <c r="F7" s="25"/>
      <c r="G7" s="25"/>
      <c r="H7" s="25"/>
      <c r="K7" s="25"/>
      <c r="L7" s="25"/>
      <c r="M7" s="25"/>
      <c r="N7" s="25"/>
      <c r="O7" s="25"/>
      <c r="R7" s="328"/>
      <c r="S7" s="327"/>
      <c r="T7" s="246"/>
      <c r="U7" s="327"/>
      <c r="V7" s="246"/>
      <c r="AG7" s="92"/>
      <c r="AH7" s="92"/>
      <c r="AI7" s="95"/>
      <c r="AK7" s="25"/>
      <c r="AL7" s="25"/>
      <c r="AM7" s="25"/>
      <c r="AN7" s="25"/>
      <c r="AO7" s="26"/>
      <c r="AP7" s="25"/>
      <c r="AQ7" s="25"/>
    </row>
    <row r="8" spans="1:43" s="6" customFormat="1" ht="29.25" customHeight="1">
      <c r="A8" s="19" t="s">
        <v>8</v>
      </c>
      <c r="B8" s="17" t="s">
        <v>272</v>
      </c>
      <c r="C8" s="361" t="s">
        <v>9</v>
      </c>
      <c r="D8" s="27">
        <f>D10+D22+D25</f>
        <v>548661.31319345045</v>
      </c>
      <c r="E8" s="27">
        <f t="shared" ref="E8:AG8" si="3">E10+E22+E25</f>
        <v>36298.008209999367</v>
      </c>
      <c r="F8" s="27">
        <f t="shared" si="3"/>
        <v>57750.842511479997</v>
      </c>
      <c r="G8" s="27">
        <f t="shared" si="3"/>
        <v>448926.33135050663</v>
      </c>
      <c r="H8" s="27">
        <f t="shared" si="3"/>
        <v>5686.1311214643792</v>
      </c>
      <c r="K8" s="27">
        <f>K10+K22+K25</f>
        <v>484789.71351999656</v>
      </c>
      <c r="L8" s="27">
        <f t="shared" ref="L8:O8" si="4">L10+L22+L25</f>
        <v>28969.482017815768</v>
      </c>
      <c r="M8" s="27">
        <f t="shared" si="4"/>
        <v>40427.468625454683</v>
      </c>
      <c r="N8" s="27">
        <f t="shared" si="4"/>
        <v>413209.14728455362</v>
      </c>
      <c r="O8" s="27">
        <f t="shared" si="4"/>
        <v>2183.615592172529</v>
      </c>
      <c r="R8" s="326">
        <v>484789.71351999656</v>
      </c>
      <c r="S8" s="327">
        <f t="shared" ref="S8:S71" si="5">K8-R8</f>
        <v>0</v>
      </c>
      <c r="U8" s="327">
        <f t="shared" ref="U8:U71" si="6">K8-(L8+M8+N8+O8)</f>
        <v>0</v>
      </c>
      <c r="AG8" s="99" t="e">
        <f t="shared" si="3"/>
        <v>#REF!</v>
      </c>
      <c r="AH8" s="91" t="e">
        <f>D8-AG8</f>
        <v>#REF!</v>
      </c>
      <c r="AI8" s="98" t="e">
        <f>100%-(AG8/D8)</f>
        <v>#REF!</v>
      </c>
      <c r="AK8" s="27" t="e">
        <f>AK10+AK22+AK25</f>
        <v>#REF!</v>
      </c>
      <c r="AL8" s="27" t="e">
        <f t="shared" ref="AL8:AQ8" si="7">AL10+AL22+AL25</f>
        <v>#REF!</v>
      </c>
      <c r="AM8" s="27" t="e">
        <f t="shared" si="7"/>
        <v>#REF!</v>
      </c>
      <c r="AN8" s="27" t="e">
        <f t="shared" si="7"/>
        <v>#REF!</v>
      </c>
      <c r="AO8" s="27" t="e">
        <f t="shared" si="7"/>
        <v>#REF!</v>
      </c>
      <c r="AP8" s="27" t="e">
        <f t="shared" si="7"/>
        <v>#REF!</v>
      </c>
      <c r="AQ8" s="27" t="e">
        <f t="shared" si="7"/>
        <v>#REF!</v>
      </c>
    </row>
    <row r="9" spans="1:43" s="4" customFormat="1">
      <c r="A9" s="13"/>
      <c r="B9" s="12" t="s">
        <v>7</v>
      </c>
      <c r="C9" s="211"/>
      <c r="D9" s="25"/>
      <c r="E9" s="25"/>
      <c r="F9" s="25"/>
      <c r="G9" s="25"/>
      <c r="H9" s="25"/>
      <c r="K9" s="25"/>
      <c r="L9" s="25"/>
      <c r="M9" s="25"/>
      <c r="N9" s="25"/>
      <c r="O9" s="25"/>
      <c r="R9" s="326"/>
      <c r="S9" s="327"/>
      <c r="U9" s="327"/>
      <c r="AG9" s="92"/>
      <c r="AH9" s="92"/>
      <c r="AI9" s="97"/>
      <c r="AK9" s="25"/>
      <c r="AL9" s="25"/>
      <c r="AM9" s="25"/>
      <c r="AN9" s="25"/>
      <c r="AO9" s="25"/>
      <c r="AP9" s="25"/>
      <c r="AQ9" s="25"/>
    </row>
    <row r="10" spans="1:43" s="4" customFormat="1" ht="30" customHeight="1">
      <c r="A10" s="13" t="s">
        <v>10</v>
      </c>
      <c r="B10" s="12" t="s">
        <v>11</v>
      </c>
      <c r="C10" s="211" t="s">
        <v>9</v>
      </c>
      <c r="D10" s="25">
        <f>SUM(D11:D21)</f>
        <v>161398.1160753826</v>
      </c>
      <c r="E10" s="25">
        <f t="shared" ref="E10:H10" si="8">SUM(E11:E21)</f>
        <v>25702.125475761815</v>
      </c>
      <c r="F10" s="25">
        <f t="shared" si="8"/>
        <v>41743.180377293291</v>
      </c>
      <c r="G10" s="25">
        <f t="shared" si="8"/>
        <v>88977.296961526939</v>
      </c>
      <c r="H10" s="25">
        <f t="shared" si="8"/>
        <v>4975.5132608005451</v>
      </c>
      <c r="K10" s="25">
        <f>SUM(K11:K21)</f>
        <v>111957.85165392877</v>
      </c>
      <c r="L10" s="25">
        <f t="shared" ref="L10:O10" si="9">SUM(L11:L21)</f>
        <v>18829.091618240342</v>
      </c>
      <c r="M10" s="25">
        <f t="shared" si="9"/>
        <v>24965.808837825552</v>
      </c>
      <c r="N10" s="25">
        <f t="shared" si="9"/>
        <v>66446.423639007233</v>
      </c>
      <c r="O10" s="25">
        <f t="shared" si="9"/>
        <v>1716.5275588556301</v>
      </c>
      <c r="R10" s="326">
        <v>111957.85165392877</v>
      </c>
      <c r="S10" s="327">
        <f t="shared" si="5"/>
        <v>0</v>
      </c>
      <c r="U10" s="327">
        <f t="shared" si="6"/>
        <v>0</v>
      </c>
      <c r="AG10" s="92" t="e">
        <f>SUM(AG11:AG21)</f>
        <v>#REF!</v>
      </c>
      <c r="AH10" s="92" t="e">
        <f t="shared" ref="AH10:AH26" si="10">D10-AG10</f>
        <v>#REF!</v>
      </c>
      <c r="AI10" s="97" t="e">
        <f t="shared" ref="AI10:AI26" si="11">100%-(AG10/D10)</f>
        <v>#REF!</v>
      </c>
      <c r="AK10" s="25" t="e">
        <f>SUM(AK11:AK21)</f>
        <v>#REF!</v>
      </c>
      <c r="AL10" s="25" t="e">
        <f t="shared" ref="AL10:AQ10" si="12">SUM(AL11:AL21)</f>
        <v>#REF!</v>
      </c>
      <c r="AM10" s="25" t="e">
        <f t="shared" si="12"/>
        <v>#REF!</v>
      </c>
      <c r="AN10" s="25" t="e">
        <f t="shared" si="12"/>
        <v>#REF!</v>
      </c>
      <c r="AO10" s="25" t="e">
        <f t="shared" si="12"/>
        <v>#REF!</v>
      </c>
      <c r="AP10" s="25" t="e">
        <f t="shared" si="12"/>
        <v>#REF!</v>
      </c>
      <c r="AQ10" s="25" t="e">
        <f t="shared" si="12"/>
        <v>#REF!</v>
      </c>
    </row>
    <row r="11" spans="1:43" s="4" customFormat="1" ht="20.25" customHeight="1">
      <c r="A11" s="13"/>
      <c r="B11" s="18" t="s">
        <v>81</v>
      </c>
      <c r="C11" s="361" t="s">
        <v>9</v>
      </c>
      <c r="D11" s="28">
        <f t="shared" ref="D11:D25" si="13">SUM(E11:H11)</f>
        <v>1366.7430000000002</v>
      </c>
      <c r="E11" s="28">
        <v>128.08839227284304</v>
      </c>
      <c r="F11" s="28">
        <v>176.63030768542865</v>
      </c>
      <c r="G11" s="28">
        <v>970.92422700717316</v>
      </c>
      <c r="H11" s="29">
        <v>91.100073034555095</v>
      </c>
      <c r="I11" s="214"/>
      <c r="J11" s="214"/>
      <c r="K11" s="28">
        <v>806.75099999999998</v>
      </c>
      <c r="L11" s="28">
        <v>58.939221758667763</v>
      </c>
      <c r="M11" s="28">
        <v>95.694741265028753</v>
      </c>
      <c r="N11" s="320">
        <f t="shared" ref="N11:N21" si="14">K11-L11-M11-O11</f>
        <v>621.03083608963857</v>
      </c>
      <c r="O11" s="28">
        <v>31.086200886665022</v>
      </c>
      <c r="R11" s="326">
        <v>806.75099999999998</v>
      </c>
      <c r="S11" s="327">
        <f t="shared" si="5"/>
        <v>0</v>
      </c>
      <c r="U11" s="327">
        <f t="shared" si="6"/>
        <v>0</v>
      </c>
      <c r="AG11" s="93" t="e">
        <f>#REF!</f>
        <v>#REF!</v>
      </c>
      <c r="AH11" s="93" t="e">
        <f t="shared" si="10"/>
        <v>#REF!</v>
      </c>
      <c r="AI11" s="97" t="e">
        <f t="shared" si="11"/>
        <v>#REF!</v>
      </c>
      <c r="AK11" s="28" t="e">
        <f>SUM(AL11:AQ11)</f>
        <v>#REF!</v>
      </c>
      <c r="AL11" s="28" t="e">
        <f>#REF!</f>
        <v>#REF!</v>
      </c>
      <c r="AM11" s="28" t="e">
        <f>#REF!</f>
        <v>#REF!</v>
      </c>
      <c r="AN11" s="28" t="e">
        <f>#REF!</f>
        <v>#REF!</v>
      </c>
      <c r="AO11" s="28" t="e">
        <f>#REF!</f>
        <v>#REF!</v>
      </c>
      <c r="AP11" s="28" t="e">
        <f>#REF!</f>
        <v>#REF!</v>
      </c>
      <c r="AQ11" s="28" t="e">
        <f>#REF!</f>
        <v>#REF!</v>
      </c>
    </row>
    <row r="12" spans="1:43" s="4" customFormat="1" ht="20.25" customHeight="1" outlineLevel="1">
      <c r="A12" s="13"/>
      <c r="B12" s="18" t="s">
        <v>177</v>
      </c>
      <c r="C12" s="361" t="s">
        <v>9</v>
      </c>
      <c r="D12" s="28">
        <f t="shared" si="13"/>
        <v>17499.689889948448</v>
      </c>
      <c r="E12" s="28">
        <v>226.86691023553198</v>
      </c>
      <c r="F12" s="28">
        <v>11873.486751230033</v>
      </c>
      <c r="G12" s="28">
        <v>5399.3362284828809</v>
      </c>
      <c r="H12" s="29"/>
      <c r="I12" s="214"/>
      <c r="J12" s="214"/>
      <c r="K12" s="28">
        <v>5337.4310388234471</v>
      </c>
      <c r="L12" s="28">
        <v>112.512023841711</v>
      </c>
      <c r="M12" s="28">
        <v>4237.1046492823352</v>
      </c>
      <c r="N12" s="320">
        <f t="shared" si="14"/>
        <v>987.8143656994007</v>
      </c>
      <c r="O12" s="29"/>
      <c r="R12" s="326">
        <v>5337.4310388234471</v>
      </c>
      <c r="S12" s="327">
        <f t="shared" si="5"/>
        <v>0</v>
      </c>
      <c r="U12" s="327">
        <f t="shared" si="6"/>
        <v>0</v>
      </c>
      <c r="AG12" s="93" t="e">
        <f>#REF!</f>
        <v>#REF!</v>
      </c>
      <c r="AH12" s="93" t="e">
        <f t="shared" si="10"/>
        <v>#REF!</v>
      </c>
      <c r="AI12" s="97" t="e">
        <f t="shared" si="11"/>
        <v>#REF!</v>
      </c>
      <c r="AK12" s="28" t="e">
        <f t="shared" ref="AK12:AK25" si="15">SUM(AL12:AQ12)</f>
        <v>#REF!</v>
      </c>
      <c r="AL12" s="28" t="e">
        <f>#REF!</f>
        <v>#REF!</v>
      </c>
      <c r="AM12" s="28" t="e">
        <f>#REF!</f>
        <v>#REF!</v>
      </c>
      <c r="AN12" s="28" t="e">
        <f>#REF!</f>
        <v>#REF!</v>
      </c>
      <c r="AO12" s="28" t="e">
        <f>#REF!</f>
        <v>#REF!</v>
      </c>
      <c r="AP12" s="28" t="e">
        <f>#REF!</f>
        <v>#REF!</v>
      </c>
      <c r="AQ12" s="28" t="e">
        <f>#REF!</f>
        <v>#REF!</v>
      </c>
    </row>
    <row r="13" spans="1:43" s="4" customFormat="1" ht="35.25" customHeight="1" outlineLevel="1">
      <c r="A13" s="13"/>
      <c r="B13" s="18" t="s">
        <v>178</v>
      </c>
      <c r="C13" s="361" t="s">
        <v>9</v>
      </c>
      <c r="D13" s="28">
        <f t="shared" si="13"/>
        <v>35143.661362267871</v>
      </c>
      <c r="E13" s="49">
        <v>12599.674621934211</v>
      </c>
      <c r="F13" s="49">
        <v>19144.999991779725</v>
      </c>
      <c r="G13" s="28">
        <v>3398.9867485539357</v>
      </c>
      <c r="H13" s="50"/>
      <c r="I13" s="214"/>
      <c r="J13" s="214"/>
      <c r="K13" s="28">
        <v>29338.055386615877</v>
      </c>
      <c r="L13" s="49">
        <v>10518.253863796914</v>
      </c>
      <c r="M13" s="49">
        <v>15982.315113548211</v>
      </c>
      <c r="N13" s="320">
        <f t="shared" si="14"/>
        <v>2837.4864092707503</v>
      </c>
      <c r="O13" s="49">
        <v>0</v>
      </c>
      <c r="R13" s="326">
        <v>29338.055386615877</v>
      </c>
      <c r="S13" s="327">
        <f t="shared" si="5"/>
        <v>0</v>
      </c>
      <c r="U13" s="327">
        <f t="shared" si="6"/>
        <v>0</v>
      </c>
      <c r="AG13" s="93" t="e">
        <f>#REF!</f>
        <v>#REF!</v>
      </c>
      <c r="AH13" s="93" t="e">
        <f t="shared" si="10"/>
        <v>#REF!</v>
      </c>
      <c r="AI13" s="97" t="e">
        <f t="shared" si="11"/>
        <v>#REF!</v>
      </c>
      <c r="AK13" s="28" t="e">
        <f t="shared" si="15"/>
        <v>#REF!</v>
      </c>
      <c r="AL13" s="28" t="e">
        <f>#REF!</f>
        <v>#REF!</v>
      </c>
      <c r="AM13" s="28" t="e">
        <f>#REF!</f>
        <v>#REF!</v>
      </c>
      <c r="AN13" s="28" t="e">
        <f>#REF!</f>
        <v>#REF!</v>
      </c>
      <c r="AO13" s="28" t="e">
        <f>#REF!</f>
        <v>#REF!</v>
      </c>
      <c r="AP13" s="28" t="e">
        <f>#REF!</f>
        <v>#REF!</v>
      </c>
      <c r="AQ13" s="28" t="e">
        <f>#REF!</f>
        <v>#REF!</v>
      </c>
    </row>
    <row r="14" spans="1:43" s="4" customFormat="1" ht="20.25" customHeight="1" outlineLevel="1">
      <c r="A14" s="13"/>
      <c r="B14" s="18" t="s">
        <v>132</v>
      </c>
      <c r="C14" s="361" t="s">
        <v>9</v>
      </c>
      <c r="D14" s="28">
        <f t="shared" si="13"/>
        <v>3332.3595</v>
      </c>
      <c r="E14" s="28"/>
      <c r="F14" s="28"/>
      <c r="G14" s="28">
        <v>2997.8150000000001</v>
      </c>
      <c r="H14" s="29">
        <v>334.54450000000003</v>
      </c>
      <c r="I14" s="214"/>
      <c r="J14" s="214"/>
      <c r="K14" s="28">
        <v>3332.3595</v>
      </c>
      <c r="L14" s="28"/>
      <c r="M14" s="28"/>
      <c r="N14" s="320">
        <f t="shared" si="14"/>
        <v>2997.8150000000001</v>
      </c>
      <c r="O14" s="29">
        <v>334.54450000000003</v>
      </c>
      <c r="R14" s="326">
        <v>3332.3595</v>
      </c>
      <c r="S14" s="327">
        <f t="shared" si="5"/>
        <v>0</v>
      </c>
      <c r="U14" s="327">
        <f t="shared" si="6"/>
        <v>0</v>
      </c>
      <c r="AG14" s="93" t="e">
        <f>#REF!</f>
        <v>#REF!</v>
      </c>
      <c r="AH14" s="93" t="e">
        <f t="shared" si="10"/>
        <v>#REF!</v>
      </c>
      <c r="AI14" s="97" t="e">
        <f t="shared" si="11"/>
        <v>#REF!</v>
      </c>
      <c r="AK14" s="28" t="e">
        <f t="shared" si="15"/>
        <v>#REF!</v>
      </c>
      <c r="AL14" s="28" t="e">
        <f>#REF!</f>
        <v>#REF!</v>
      </c>
      <c r="AM14" s="28" t="e">
        <f>#REF!</f>
        <v>#REF!</v>
      </c>
      <c r="AN14" s="28" t="e">
        <f>#REF!</f>
        <v>#REF!</v>
      </c>
      <c r="AO14" s="28" t="e">
        <f>#REF!</f>
        <v>#REF!</v>
      </c>
      <c r="AP14" s="28" t="e">
        <f>#REF!</f>
        <v>#REF!</v>
      </c>
      <c r="AQ14" s="28" t="e">
        <f>#REF!</f>
        <v>#REF!</v>
      </c>
    </row>
    <row r="15" spans="1:43" s="4" customFormat="1" ht="20.25" customHeight="1" outlineLevel="1">
      <c r="A15" s="13"/>
      <c r="B15" s="18" t="s">
        <v>82</v>
      </c>
      <c r="C15" s="361" t="s">
        <v>9</v>
      </c>
      <c r="D15" s="28">
        <f t="shared" si="13"/>
        <v>30488.188357142855</v>
      </c>
      <c r="E15" s="28"/>
      <c r="F15" s="28"/>
      <c r="G15" s="28">
        <v>30488.188357142855</v>
      </c>
      <c r="H15" s="29"/>
      <c r="I15" s="214"/>
      <c r="J15" s="214"/>
      <c r="K15" s="28">
        <v>30488.188357142855</v>
      </c>
      <c r="L15" s="28"/>
      <c r="M15" s="28"/>
      <c r="N15" s="320">
        <f t="shared" si="14"/>
        <v>30488.188357142855</v>
      </c>
      <c r="O15" s="29"/>
      <c r="R15" s="326">
        <v>30488.188357142855</v>
      </c>
      <c r="S15" s="327">
        <f t="shared" si="5"/>
        <v>0</v>
      </c>
      <c r="U15" s="327">
        <f t="shared" si="6"/>
        <v>0</v>
      </c>
      <c r="AG15" s="93" t="e">
        <f>#REF!</f>
        <v>#REF!</v>
      </c>
      <c r="AH15" s="93" t="e">
        <f t="shared" si="10"/>
        <v>#REF!</v>
      </c>
      <c r="AI15" s="97" t="e">
        <f t="shared" si="11"/>
        <v>#REF!</v>
      </c>
      <c r="AK15" s="28" t="e">
        <f t="shared" si="15"/>
        <v>#REF!</v>
      </c>
      <c r="AL15" s="28" t="e">
        <f>#REF!</f>
        <v>#REF!</v>
      </c>
      <c r="AM15" s="28" t="e">
        <f>#REF!</f>
        <v>#REF!</v>
      </c>
      <c r="AN15" s="28" t="e">
        <f>#REF!</f>
        <v>#REF!</v>
      </c>
      <c r="AO15" s="28" t="e">
        <f>#REF!</f>
        <v>#REF!</v>
      </c>
      <c r="AP15" s="28" t="e">
        <f>#REF!</f>
        <v>#REF!</v>
      </c>
      <c r="AQ15" s="28" t="e">
        <f>#REF!</f>
        <v>#REF!</v>
      </c>
    </row>
    <row r="16" spans="1:43" s="4" customFormat="1" ht="20.25" customHeight="1" outlineLevel="1">
      <c r="A16" s="13"/>
      <c r="B16" s="18" t="s">
        <v>122</v>
      </c>
      <c r="C16" s="361" t="s">
        <v>9</v>
      </c>
      <c r="D16" s="28">
        <f t="shared" si="13"/>
        <v>9919.672340000001</v>
      </c>
      <c r="E16" s="28">
        <v>929.65164767918395</v>
      </c>
      <c r="F16" s="28">
        <v>1281.9636007302297</v>
      </c>
      <c r="G16" s="28">
        <v>7046.8626500219407</v>
      </c>
      <c r="H16" s="29">
        <v>661.1944415686462</v>
      </c>
      <c r="I16" s="214"/>
      <c r="J16" s="214"/>
      <c r="K16" s="28">
        <v>1681.6496399999999</v>
      </c>
      <c r="L16" s="28">
        <v>122.85714062002253</v>
      </c>
      <c r="M16" s="28">
        <v>199.47298137619754</v>
      </c>
      <c r="N16" s="320">
        <f t="shared" si="14"/>
        <v>1294.521211549833</v>
      </c>
      <c r="O16" s="28">
        <v>64.798306453946651</v>
      </c>
      <c r="R16" s="326">
        <v>1681.6496399999999</v>
      </c>
      <c r="S16" s="327">
        <f t="shared" si="5"/>
        <v>0</v>
      </c>
      <c r="U16" s="327">
        <f t="shared" si="6"/>
        <v>0</v>
      </c>
      <c r="AG16" s="93" t="e">
        <f>#REF!</f>
        <v>#REF!</v>
      </c>
      <c r="AH16" s="93" t="e">
        <f t="shared" si="10"/>
        <v>#REF!</v>
      </c>
      <c r="AI16" s="97" t="e">
        <f t="shared" si="11"/>
        <v>#REF!</v>
      </c>
      <c r="AK16" s="28" t="e">
        <f t="shared" si="15"/>
        <v>#REF!</v>
      </c>
      <c r="AL16" s="28" t="e">
        <f>#REF!</f>
        <v>#REF!</v>
      </c>
      <c r="AM16" s="28" t="e">
        <f>#REF!</f>
        <v>#REF!</v>
      </c>
      <c r="AN16" s="28" t="e">
        <f>#REF!</f>
        <v>#REF!</v>
      </c>
      <c r="AO16" s="28" t="e">
        <f>#REF!</f>
        <v>#REF!</v>
      </c>
      <c r="AP16" s="28" t="e">
        <f>#REF!</f>
        <v>#REF!</v>
      </c>
      <c r="AQ16" s="28" t="e">
        <f>#REF!</f>
        <v>#REF!</v>
      </c>
    </row>
    <row r="17" spans="1:43" s="4" customFormat="1" ht="20.25" customHeight="1" outlineLevel="1">
      <c r="A17" s="13"/>
      <c r="B17" s="18" t="s">
        <v>136</v>
      </c>
      <c r="C17" s="361"/>
      <c r="D17" s="28">
        <f t="shared" si="13"/>
        <v>8962.011229285712</v>
      </c>
      <c r="E17" s="49">
        <v>1981.0299127778831</v>
      </c>
      <c r="F17" s="49">
        <v>2953.3238697950178</v>
      </c>
      <c r="G17" s="28">
        <v>3490.5042770004429</v>
      </c>
      <c r="H17" s="50">
        <v>537.15316971236825</v>
      </c>
      <c r="I17" s="214"/>
      <c r="J17" s="214"/>
      <c r="K17" s="28">
        <v>5262.5255149999975</v>
      </c>
      <c r="L17" s="49">
        <v>575.18565974657213</v>
      </c>
      <c r="M17" s="49">
        <v>907.81433677054122</v>
      </c>
      <c r="N17" s="320">
        <f t="shared" si="14"/>
        <v>3740.0940042314164</v>
      </c>
      <c r="O17" s="50">
        <v>39.431514251467881</v>
      </c>
      <c r="R17" s="326">
        <v>5262.5255149999975</v>
      </c>
      <c r="S17" s="327">
        <f t="shared" si="5"/>
        <v>0</v>
      </c>
      <c r="U17" s="327">
        <f t="shared" si="6"/>
        <v>0</v>
      </c>
      <c r="AG17" s="93" t="e">
        <f>#REF!</f>
        <v>#REF!</v>
      </c>
      <c r="AH17" s="93" t="e">
        <f t="shared" si="10"/>
        <v>#REF!</v>
      </c>
      <c r="AI17" s="97" t="e">
        <f t="shared" si="11"/>
        <v>#REF!</v>
      </c>
      <c r="AK17" s="28" t="e">
        <f t="shared" si="15"/>
        <v>#REF!</v>
      </c>
      <c r="AL17" s="28" t="e">
        <f>#REF!</f>
        <v>#REF!</v>
      </c>
      <c r="AM17" s="28" t="e">
        <f>#REF!</f>
        <v>#REF!</v>
      </c>
      <c r="AN17" s="28" t="e">
        <f>#REF!</f>
        <v>#REF!</v>
      </c>
      <c r="AO17" s="28" t="e">
        <f>#REF!</f>
        <v>#REF!</v>
      </c>
      <c r="AP17" s="28" t="e">
        <f>#REF!</f>
        <v>#REF!</v>
      </c>
      <c r="AQ17" s="28" t="e">
        <f>#REF!</f>
        <v>#REF!</v>
      </c>
    </row>
    <row r="18" spans="1:43" s="4" customFormat="1" ht="20.25" customHeight="1" outlineLevel="1">
      <c r="A18" s="13"/>
      <c r="B18" s="18" t="s">
        <v>142</v>
      </c>
      <c r="C18" s="361" t="s">
        <v>9</v>
      </c>
      <c r="D18" s="28">
        <f t="shared" si="13"/>
        <v>5709.0828729281766</v>
      </c>
      <c r="E18" s="49">
        <v>535.04371088477785</v>
      </c>
      <c r="F18" s="49">
        <v>737.8103011662871</v>
      </c>
      <c r="G18" s="28">
        <v>4055.6907006786805</v>
      </c>
      <c r="H18" s="50">
        <v>380.53816019843129</v>
      </c>
      <c r="I18" s="214"/>
      <c r="J18" s="214"/>
      <c r="K18" s="28">
        <v>2818.8024861878453</v>
      </c>
      <c r="L18" s="49">
        <v>205.93469958798866</v>
      </c>
      <c r="M18" s="49">
        <v>334.3591450062853</v>
      </c>
      <c r="N18" s="320">
        <f t="shared" si="14"/>
        <v>2169.8928972741141</v>
      </c>
      <c r="O18" s="49">
        <v>108.61574431945689</v>
      </c>
      <c r="R18" s="326">
        <v>2818.8024861878453</v>
      </c>
      <c r="S18" s="327">
        <f t="shared" si="5"/>
        <v>0</v>
      </c>
      <c r="U18" s="327">
        <f t="shared" si="6"/>
        <v>0</v>
      </c>
      <c r="AG18" s="93" t="e">
        <f>#REF!</f>
        <v>#REF!</v>
      </c>
      <c r="AH18" s="93" t="e">
        <f t="shared" si="10"/>
        <v>#REF!</v>
      </c>
      <c r="AI18" s="97" t="e">
        <f t="shared" si="11"/>
        <v>#REF!</v>
      </c>
      <c r="AK18" s="28" t="e">
        <f t="shared" si="15"/>
        <v>#REF!</v>
      </c>
      <c r="AL18" s="28" t="e">
        <f>#REF!</f>
        <v>#REF!</v>
      </c>
      <c r="AM18" s="28" t="e">
        <f>#REF!</f>
        <v>#REF!</v>
      </c>
      <c r="AN18" s="28" t="e">
        <f>#REF!</f>
        <v>#REF!</v>
      </c>
      <c r="AO18" s="28" t="e">
        <f>#REF!</f>
        <v>#REF!</v>
      </c>
      <c r="AP18" s="28" t="e">
        <f>#REF!</f>
        <v>#REF!</v>
      </c>
      <c r="AQ18" s="28" t="e">
        <f>#REF!</f>
        <v>#REF!</v>
      </c>
    </row>
    <row r="19" spans="1:43" s="4" customFormat="1" ht="37.5" customHeight="1" outlineLevel="1">
      <c r="A19" s="13"/>
      <c r="B19" s="18" t="s">
        <v>83</v>
      </c>
      <c r="C19" s="361" t="s">
        <v>9</v>
      </c>
      <c r="D19" s="28">
        <f t="shared" si="13"/>
        <v>37722.178952380957</v>
      </c>
      <c r="E19" s="49">
        <v>3535.246388705817</v>
      </c>
      <c r="F19" s="49">
        <v>4875.0058166925664</v>
      </c>
      <c r="G19" s="28">
        <v>26797.559921921486</v>
      </c>
      <c r="H19" s="50">
        <v>2514.3668250610849</v>
      </c>
      <c r="I19" s="214"/>
      <c r="J19" s="214"/>
      <c r="K19" s="28">
        <v>21637.560158730161</v>
      </c>
      <c r="L19" s="49">
        <v>1580.7863349557811</v>
      </c>
      <c r="M19" s="49">
        <v>2566.5920723943041</v>
      </c>
      <c r="N19" s="320">
        <f t="shared" si="14"/>
        <v>16656.430641320607</v>
      </c>
      <c r="O19" s="49">
        <v>833.75111005946735</v>
      </c>
      <c r="R19" s="326">
        <v>21637.560158730161</v>
      </c>
      <c r="S19" s="327">
        <f t="shared" si="5"/>
        <v>0</v>
      </c>
      <c r="U19" s="327">
        <f t="shared" si="6"/>
        <v>0</v>
      </c>
      <c r="AG19" s="93" t="e">
        <f>#REF!</f>
        <v>#REF!</v>
      </c>
      <c r="AH19" s="93" t="e">
        <f t="shared" si="10"/>
        <v>#REF!</v>
      </c>
      <c r="AI19" s="97" t="e">
        <f t="shared" si="11"/>
        <v>#REF!</v>
      </c>
      <c r="AK19" s="28" t="e">
        <f t="shared" si="15"/>
        <v>#REF!</v>
      </c>
      <c r="AL19" s="28" t="e">
        <f>#REF!</f>
        <v>#REF!</v>
      </c>
      <c r="AM19" s="28" t="e">
        <f>#REF!</f>
        <v>#REF!</v>
      </c>
      <c r="AN19" s="28" t="e">
        <f>#REF!</f>
        <v>#REF!</v>
      </c>
      <c r="AO19" s="28" t="e">
        <f>#REF!</f>
        <v>#REF!</v>
      </c>
      <c r="AP19" s="28" t="e">
        <f>#REF!</f>
        <v>#REF!</v>
      </c>
      <c r="AQ19" s="28" t="e">
        <f>#REF!</f>
        <v>#REF!</v>
      </c>
    </row>
    <row r="20" spans="1:43" s="4" customFormat="1" ht="20.25" customHeight="1" outlineLevel="1">
      <c r="A20" s="362"/>
      <c r="B20" s="56" t="s">
        <v>113</v>
      </c>
      <c r="C20" s="364"/>
      <c r="D20" s="28">
        <f t="shared" si="13"/>
        <v>5258.9285714285706</v>
      </c>
      <c r="E20" s="49">
        <v>5258.9285714285706</v>
      </c>
      <c r="F20" s="49"/>
      <c r="G20" s="28"/>
      <c r="H20" s="50"/>
      <c r="I20" s="214"/>
      <c r="J20" s="214"/>
      <c r="K20" s="28">
        <v>5258.9285714285706</v>
      </c>
      <c r="L20" s="49">
        <v>5258.9285714285706</v>
      </c>
      <c r="M20" s="49"/>
      <c r="N20" s="320">
        <f t="shared" si="14"/>
        <v>0</v>
      </c>
      <c r="O20" s="50"/>
      <c r="R20" s="326">
        <v>5258.9285714285706</v>
      </c>
      <c r="S20" s="327">
        <f t="shared" si="5"/>
        <v>0</v>
      </c>
      <c r="U20" s="327">
        <f t="shared" si="6"/>
        <v>0</v>
      </c>
      <c r="AG20" s="93" t="e">
        <f>#REF!</f>
        <v>#REF!</v>
      </c>
      <c r="AH20" s="93" t="e">
        <f t="shared" si="10"/>
        <v>#REF!</v>
      </c>
      <c r="AI20" s="97" t="e">
        <f t="shared" si="11"/>
        <v>#REF!</v>
      </c>
      <c r="AK20" s="28" t="e">
        <f t="shared" si="15"/>
        <v>#REF!</v>
      </c>
      <c r="AL20" s="28" t="e">
        <f>#REF!</f>
        <v>#REF!</v>
      </c>
      <c r="AM20" s="28" t="e">
        <f>#REF!</f>
        <v>#REF!</v>
      </c>
      <c r="AN20" s="28" t="e">
        <f>#REF!</f>
        <v>#REF!</v>
      </c>
      <c r="AO20" s="28" t="e">
        <f>#REF!</f>
        <v>#REF!</v>
      </c>
      <c r="AP20" s="28" t="e">
        <f>#REF!</f>
        <v>#REF!</v>
      </c>
      <c r="AQ20" s="28" t="e">
        <f>#REF!</f>
        <v>#REF!</v>
      </c>
    </row>
    <row r="21" spans="1:43" s="4" customFormat="1" ht="20.25" customHeight="1" outlineLevel="1">
      <c r="A21" s="362"/>
      <c r="B21" s="56" t="s">
        <v>143</v>
      </c>
      <c r="C21" s="364"/>
      <c r="D21" s="28">
        <f t="shared" si="13"/>
        <v>5995.5999999999995</v>
      </c>
      <c r="E21" s="49">
        <v>507.59531984299343</v>
      </c>
      <c r="F21" s="49">
        <v>699.95973821400116</v>
      </c>
      <c r="G21" s="28">
        <v>4331.4288507175461</v>
      </c>
      <c r="H21" s="50">
        <v>456.61609122545889</v>
      </c>
      <c r="I21" s="214"/>
      <c r="J21" s="214"/>
      <c r="K21" s="28">
        <v>5995.6</v>
      </c>
      <c r="L21" s="49">
        <v>395.6941025041138</v>
      </c>
      <c r="M21" s="49">
        <v>642.45579818264707</v>
      </c>
      <c r="N21" s="320">
        <f t="shared" si="14"/>
        <v>4653.1499164286124</v>
      </c>
      <c r="O21" s="50">
        <v>304.30018288462634</v>
      </c>
      <c r="R21" s="326">
        <v>5995.6</v>
      </c>
      <c r="S21" s="327">
        <f t="shared" si="5"/>
        <v>0</v>
      </c>
      <c r="U21" s="327">
        <f t="shared" si="6"/>
        <v>0</v>
      </c>
      <c r="AG21" s="93" t="e">
        <f>#REF!</f>
        <v>#REF!</v>
      </c>
      <c r="AH21" s="93" t="e">
        <f t="shared" si="10"/>
        <v>#REF!</v>
      </c>
      <c r="AI21" s="97" t="e">
        <f t="shared" si="11"/>
        <v>#REF!</v>
      </c>
      <c r="AK21" s="28" t="e">
        <f t="shared" si="15"/>
        <v>#REF!</v>
      </c>
      <c r="AL21" s="28" t="e">
        <f>#REF!</f>
        <v>#REF!</v>
      </c>
      <c r="AM21" s="28" t="e">
        <f>#REF!</f>
        <v>#REF!</v>
      </c>
      <c r="AN21" s="28" t="e">
        <f>#REF!</f>
        <v>#REF!</v>
      </c>
      <c r="AO21" s="28" t="e">
        <f>#REF!</f>
        <v>#REF!</v>
      </c>
      <c r="AP21" s="28" t="e">
        <f>#REF!</f>
        <v>#REF!</v>
      </c>
      <c r="AQ21" s="28" t="e">
        <f>#REF!</f>
        <v>#REF!</v>
      </c>
    </row>
    <row r="22" spans="1:43" s="4" customFormat="1" ht="32.25" customHeight="1">
      <c r="A22" s="13" t="s">
        <v>12</v>
      </c>
      <c r="B22" s="12" t="s">
        <v>13</v>
      </c>
      <c r="C22" s="211" t="s">
        <v>9</v>
      </c>
      <c r="D22" s="25">
        <f t="shared" si="13"/>
        <v>310983.29278606782</v>
      </c>
      <c r="E22" s="25">
        <f>E23+E24</f>
        <v>8956.2787828052278</v>
      </c>
      <c r="F22" s="25">
        <f t="shared" ref="F22:H22" si="16">F23+F24</f>
        <v>13516.310684360516</v>
      </c>
      <c r="G22" s="25">
        <f t="shared" si="16"/>
        <v>288041.94750963821</v>
      </c>
      <c r="H22" s="25">
        <f t="shared" si="16"/>
        <v>468.75580926383361</v>
      </c>
      <c r="K22" s="25">
        <f>K23+K24</f>
        <v>310983.29078606778</v>
      </c>
      <c r="L22" s="25">
        <f>L23+L24</f>
        <v>8810.981790305972</v>
      </c>
      <c r="M22" s="25">
        <f t="shared" ref="M22:O22" si="17">M23+M24</f>
        <v>13441.645098580871</v>
      </c>
      <c r="N22" s="25">
        <f t="shared" si="17"/>
        <v>288459.68022986408</v>
      </c>
      <c r="O22" s="25">
        <f t="shared" si="17"/>
        <v>270.98366731689896</v>
      </c>
      <c r="R22" s="326">
        <v>310983.29078606778</v>
      </c>
      <c r="S22" s="327">
        <f t="shared" si="5"/>
        <v>0</v>
      </c>
      <c r="U22" s="327">
        <f t="shared" si="6"/>
        <v>0</v>
      </c>
      <c r="AG22" s="93" t="e">
        <f>#REF!</f>
        <v>#REF!</v>
      </c>
      <c r="AH22" s="92" t="e">
        <f t="shared" si="10"/>
        <v>#REF!</v>
      </c>
      <c r="AI22" s="97" t="e">
        <f t="shared" si="11"/>
        <v>#REF!</v>
      </c>
      <c r="AK22" s="25" t="e">
        <f t="shared" si="15"/>
        <v>#REF!</v>
      </c>
      <c r="AL22" s="25" t="e">
        <f>AL23+AL24</f>
        <v>#REF!</v>
      </c>
      <c r="AM22" s="25" t="e">
        <f t="shared" ref="AM22:AQ22" si="18">AM23+AM24</f>
        <v>#REF!</v>
      </c>
      <c r="AN22" s="25" t="e">
        <f t="shared" si="18"/>
        <v>#REF!</v>
      </c>
      <c r="AO22" s="25" t="e">
        <f t="shared" si="18"/>
        <v>#REF!</v>
      </c>
      <c r="AP22" s="25" t="e">
        <f t="shared" si="18"/>
        <v>#REF!</v>
      </c>
      <c r="AQ22" s="25" t="e">
        <f t="shared" si="18"/>
        <v>#REF!</v>
      </c>
    </row>
    <row r="23" spans="1:43" s="4" customFormat="1" outlineLevel="1">
      <c r="A23" s="13"/>
      <c r="B23" s="18" t="s">
        <v>175</v>
      </c>
      <c r="C23" s="9"/>
      <c r="D23" s="28">
        <f t="shared" si="13"/>
        <v>288011.72281999997</v>
      </c>
      <c r="E23" s="49">
        <v>4836.5382165168403</v>
      </c>
      <c r="F23" s="49">
        <v>7290.4744786452684</v>
      </c>
      <c r="G23" s="28">
        <v>275588.26658931054</v>
      </c>
      <c r="H23" s="49">
        <v>296.44353552733543</v>
      </c>
      <c r="I23" s="214"/>
      <c r="J23" s="214"/>
      <c r="K23" s="28">
        <v>288011.72081999999</v>
      </c>
      <c r="L23" s="49">
        <v>4744.6514560327087</v>
      </c>
      <c r="M23" s="49">
        <v>7243.2554108919412</v>
      </c>
      <c r="N23" s="320">
        <f>K23-L23-M23-O23</f>
        <v>275852.44247456698</v>
      </c>
      <c r="O23" s="49">
        <v>171.37147850835498</v>
      </c>
      <c r="R23" s="326">
        <v>288011.72081999999</v>
      </c>
      <c r="S23" s="327">
        <f t="shared" si="5"/>
        <v>0</v>
      </c>
      <c r="U23" s="327">
        <f t="shared" si="6"/>
        <v>0</v>
      </c>
      <c r="AG23" s="93" t="e">
        <f>#REF!</f>
        <v>#REF!</v>
      </c>
      <c r="AH23" s="93" t="e">
        <f t="shared" si="10"/>
        <v>#REF!</v>
      </c>
      <c r="AI23" s="97" t="e">
        <f t="shared" si="11"/>
        <v>#REF!</v>
      </c>
      <c r="AK23" s="28" t="e">
        <f t="shared" si="15"/>
        <v>#REF!</v>
      </c>
      <c r="AL23" s="49" t="e">
        <f>#REF!</f>
        <v>#REF!</v>
      </c>
      <c r="AM23" s="49" t="e">
        <f>#REF!</f>
        <v>#REF!</v>
      </c>
      <c r="AN23" s="49" t="e">
        <f>#REF!</f>
        <v>#REF!</v>
      </c>
      <c r="AO23" s="49" t="e">
        <f>#REF!</f>
        <v>#REF!</v>
      </c>
      <c r="AP23" s="49" t="e">
        <f>#REF!</f>
        <v>#REF!</v>
      </c>
      <c r="AQ23" s="49" t="e">
        <f>#REF!</f>
        <v>#REF!</v>
      </c>
    </row>
    <row r="24" spans="1:43" s="4" customFormat="1" outlineLevel="1">
      <c r="A24" s="13"/>
      <c r="B24" s="18" t="s">
        <v>14</v>
      </c>
      <c r="C24" s="9"/>
      <c r="D24" s="28">
        <f t="shared" si="13"/>
        <v>22971.569966067822</v>
      </c>
      <c r="E24" s="49">
        <v>4119.7405662883866</v>
      </c>
      <c r="F24" s="49">
        <v>6225.8362057152472</v>
      </c>
      <c r="G24" s="28">
        <v>12453.68092032769</v>
      </c>
      <c r="H24" s="49">
        <v>172.31227373649816</v>
      </c>
      <c r="I24" s="214"/>
      <c r="J24" s="214"/>
      <c r="K24" s="28">
        <v>22971.569966067818</v>
      </c>
      <c r="L24" s="49">
        <v>4066.3303342732629</v>
      </c>
      <c r="M24" s="49">
        <v>6198.3896876889303</v>
      </c>
      <c r="N24" s="320">
        <f>K24-L24-M24-O24</f>
        <v>12607.237755297083</v>
      </c>
      <c r="O24" s="49">
        <v>99.612188808543962</v>
      </c>
      <c r="R24" s="326">
        <v>22971.569966067818</v>
      </c>
      <c r="S24" s="327">
        <f t="shared" si="5"/>
        <v>0</v>
      </c>
      <c r="U24" s="327">
        <f t="shared" si="6"/>
        <v>0</v>
      </c>
      <c r="AG24" s="93" t="e">
        <f>#REF!</f>
        <v>#REF!</v>
      </c>
      <c r="AH24" s="93" t="e">
        <f t="shared" si="10"/>
        <v>#REF!</v>
      </c>
      <c r="AI24" s="97" t="e">
        <f t="shared" si="11"/>
        <v>#REF!</v>
      </c>
      <c r="AK24" s="28" t="e">
        <f t="shared" si="15"/>
        <v>#REF!</v>
      </c>
      <c r="AL24" s="49" t="e">
        <f>#REF!</f>
        <v>#REF!</v>
      </c>
      <c r="AM24" s="49" t="e">
        <f>#REF!</f>
        <v>#REF!</v>
      </c>
      <c r="AN24" s="49" t="e">
        <f>#REF!</f>
        <v>#REF!</v>
      </c>
      <c r="AO24" s="49" t="e">
        <f>#REF!</f>
        <v>#REF!</v>
      </c>
      <c r="AP24" s="49" t="e">
        <f>#REF!</f>
        <v>#REF!</v>
      </c>
      <c r="AQ24" s="49" t="e">
        <f>#REF!</f>
        <v>#REF!</v>
      </c>
    </row>
    <row r="25" spans="1:43" s="4" customFormat="1" ht="33.75" customHeight="1">
      <c r="A25" s="13" t="s">
        <v>15</v>
      </c>
      <c r="B25" s="12" t="s">
        <v>179</v>
      </c>
      <c r="C25" s="211" t="s">
        <v>9</v>
      </c>
      <c r="D25" s="25">
        <f t="shared" si="13"/>
        <v>76279.90433200002</v>
      </c>
      <c r="E25" s="52">
        <v>1639.6039514323304</v>
      </c>
      <c r="F25" s="52">
        <v>2491.3514498261839</v>
      </c>
      <c r="G25" s="25">
        <v>71907.086879341499</v>
      </c>
      <c r="H25" s="52">
        <v>241.86205139999996</v>
      </c>
      <c r="K25" s="25">
        <v>61848.571080000009</v>
      </c>
      <c r="L25" s="52">
        <v>1329.408609269457</v>
      </c>
      <c r="M25" s="52">
        <v>2020.014689048257</v>
      </c>
      <c r="N25" s="321">
        <f>K25-L25-M25-O25</f>
        <v>58303.043415682296</v>
      </c>
      <c r="O25" s="52">
        <v>196.10436599999997</v>
      </c>
      <c r="R25" s="326">
        <v>61848.571080000009</v>
      </c>
      <c r="S25" s="327">
        <f t="shared" si="5"/>
        <v>0</v>
      </c>
      <c r="U25" s="327">
        <f t="shared" si="6"/>
        <v>0</v>
      </c>
      <c r="AG25" s="92" t="e">
        <f>#REF!</f>
        <v>#REF!</v>
      </c>
      <c r="AH25" s="92" t="e">
        <f t="shared" si="10"/>
        <v>#REF!</v>
      </c>
      <c r="AI25" s="97" t="e">
        <f t="shared" si="11"/>
        <v>#REF!</v>
      </c>
      <c r="AK25" s="25" t="e">
        <f t="shared" si="15"/>
        <v>#REF!</v>
      </c>
      <c r="AL25" s="52" t="e">
        <f>#REF!</f>
        <v>#REF!</v>
      </c>
      <c r="AM25" s="52" t="e">
        <f>#REF!</f>
        <v>#REF!</v>
      </c>
      <c r="AN25" s="52" t="e">
        <f>#REF!</f>
        <v>#REF!</v>
      </c>
      <c r="AO25" s="52" t="e">
        <f>#REF!</f>
        <v>#REF!</v>
      </c>
      <c r="AP25" s="52" t="e">
        <f>#REF!</f>
        <v>#REF!</v>
      </c>
      <c r="AQ25" s="52" t="e">
        <f>#REF!</f>
        <v>#REF!</v>
      </c>
    </row>
    <row r="26" spans="1:43" s="6" customFormat="1" ht="33" customHeight="1">
      <c r="A26" s="19" t="s">
        <v>16</v>
      </c>
      <c r="B26" s="17" t="s">
        <v>273</v>
      </c>
      <c r="C26" s="361" t="s">
        <v>9</v>
      </c>
      <c r="D26" s="27">
        <f>SUM(D28:D31)</f>
        <v>1206129.5796632001</v>
      </c>
      <c r="E26" s="27">
        <f t="shared" ref="E26:H26" si="19">SUM(E28:E31)</f>
        <v>112257.6431603157</v>
      </c>
      <c r="F26" s="27">
        <f t="shared" si="19"/>
        <v>154800.14776992027</v>
      </c>
      <c r="G26" s="27">
        <f t="shared" si="19"/>
        <v>858902.35124417162</v>
      </c>
      <c r="H26" s="27">
        <f t="shared" si="19"/>
        <v>80169.437488792464</v>
      </c>
      <c r="K26" s="27">
        <f>SUM(K28:K31)</f>
        <v>1196407.4733271997</v>
      </c>
      <c r="L26" s="27">
        <f t="shared" ref="L26:O26" si="20">SUM(L28:L31)</f>
        <v>105958.85517350391</v>
      </c>
      <c r="M26" s="27">
        <f t="shared" si="20"/>
        <v>150763.89370804635</v>
      </c>
      <c r="N26" s="27">
        <f t="shared" si="20"/>
        <v>867350.10817682138</v>
      </c>
      <c r="O26" s="27">
        <f t="shared" si="20"/>
        <v>72334.61626882838</v>
      </c>
      <c r="Q26" s="48"/>
      <c r="R26" s="326">
        <v>1196407.4733271997</v>
      </c>
      <c r="S26" s="327">
        <f t="shared" si="5"/>
        <v>0</v>
      </c>
      <c r="U26" s="327">
        <f t="shared" si="6"/>
        <v>0</v>
      </c>
      <c r="AG26" s="91" t="e">
        <f>SUM(AG28:AG31)</f>
        <v>#REF!</v>
      </c>
      <c r="AH26" s="91" t="e">
        <f t="shared" si="10"/>
        <v>#REF!</v>
      </c>
      <c r="AI26" s="98" t="e">
        <f t="shared" si="11"/>
        <v>#REF!</v>
      </c>
      <c r="AK26" s="27" t="e">
        <f>SUM(AK28:AK31)</f>
        <v>#REF!</v>
      </c>
      <c r="AL26" s="27" t="e">
        <f t="shared" ref="AL26:AQ26" si="21">SUM(AL28:AL31)</f>
        <v>#REF!</v>
      </c>
      <c r="AM26" s="27" t="e">
        <f t="shared" si="21"/>
        <v>#REF!</v>
      </c>
      <c r="AN26" s="27" t="e">
        <f t="shared" si="21"/>
        <v>#REF!</v>
      </c>
      <c r="AO26" s="27" t="e">
        <f t="shared" si="21"/>
        <v>#REF!</v>
      </c>
      <c r="AP26" s="27" t="e">
        <f t="shared" si="21"/>
        <v>#REF!</v>
      </c>
      <c r="AQ26" s="27" t="e">
        <f t="shared" si="21"/>
        <v>#REF!</v>
      </c>
    </row>
    <row r="27" spans="1:43" s="4" customFormat="1">
      <c r="A27" s="13"/>
      <c r="B27" s="12" t="s">
        <v>7</v>
      </c>
      <c r="C27" s="211"/>
      <c r="D27" s="25"/>
      <c r="E27" s="25"/>
      <c r="F27" s="25"/>
      <c r="G27" s="25"/>
      <c r="H27" s="33"/>
      <c r="K27" s="25"/>
      <c r="L27" s="25"/>
      <c r="M27" s="25"/>
      <c r="N27" s="25"/>
      <c r="O27" s="33"/>
      <c r="R27" s="326"/>
      <c r="S27" s="327"/>
      <c r="U27" s="327"/>
      <c r="AG27" s="92"/>
      <c r="AH27" s="92"/>
      <c r="AI27" s="97"/>
      <c r="AK27" s="25"/>
      <c r="AL27" s="25"/>
      <c r="AM27" s="25"/>
      <c r="AN27" s="25"/>
      <c r="AO27" s="32"/>
      <c r="AP27" s="33"/>
      <c r="AQ27" s="33"/>
    </row>
    <row r="28" spans="1:43" s="4" customFormat="1" ht="27" customHeight="1">
      <c r="A28" s="13" t="s">
        <v>17</v>
      </c>
      <c r="B28" s="12" t="s">
        <v>18</v>
      </c>
      <c r="C28" s="211" t="s">
        <v>9</v>
      </c>
      <c r="D28" s="25">
        <f>SUM(E28:H28)</f>
        <v>1075601.3768</v>
      </c>
      <c r="E28" s="25">
        <v>100803.18763715524</v>
      </c>
      <c r="F28" s="25">
        <v>139004.77421947994</v>
      </c>
      <c r="G28" s="25">
        <v>764099.34811255021</v>
      </c>
      <c r="H28" s="33">
        <v>71694.066830814583</v>
      </c>
      <c r="K28" s="25">
        <v>1073915.2327999999</v>
      </c>
      <c r="L28" s="25">
        <v>95890.776263006876</v>
      </c>
      <c r="M28" s="25">
        <v>136333.47497875191</v>
      </c>
      <c r="N28" s="321">
        <f>K28-L28-M28-O28</f>
        <v>776447.3392924784</v>
      </c>
      <c r="O28" s="33">
        <v>65243.642265762763</v>
      </c>
      <c r="R28" s="326">
        <v>1073915.2327999999</v>
      </c>
      <c r="S28" s="327">
        <f t="shared" si="5"/>
        <v>0</v>
      </c>
      <c r="U28" s="327">
        <f t="shared" si="6"/>
        <v>0</v>
      </c>
      <c r="AG28" s="92" t="e">
        <f>#REF!</f>
        <v>#REF!</v>
      </c>
      <c r="AH28" s="92" t="e">
        <f>D28-AG28</f>
        <v>#REF!</v>
      </c>
      <c r="AI28" s="97" t="e">
        <f>100%-(AG28/D28)</f>
        <v>#REF!</v>
      </c>
      <c r="AK28" s="25" t="e">
        <f t="shared" ref="AK28:AK32" si="22">SUM(AL28:AQ28)</f>
        <v>#REF!</v>
      </c>
      <c r="AL28" s="25" t="e">
        <f>#REF!</f>
        <v>#REF!</v>
      </c>
      <c r="AM28" s="25" t="e">
        <f>#REF!</f>
        <v>#REF!</v>
      </c>
      <c r="AN28" s="25" t="e">
        <f>#REF!</f>
        <v>#REF!</v>
      </c>
      <c r="AO28" s="25" t="e">
        <f>#REF!</f>
        <v>#REF!</v>
      </c>
      <c r="AP28" s="25" t="e">
        <f>#REF!</f>
        <v>#REF!</v>
      </c>
      <c r="AQ28" s="25" t="e">
        <f>#REF!</f>
        <v>#REF!</v>
      </c>
    </row>
    <row r="29" spans="1:43" s="4" customFormat="1" ht="29.25" customHeight="1">
      <c r="A29" s="13" t="s">
        <v>19</v>
      </c>
      <c r="B29" s="12" t="s">
        <v>20</v>
      </c>
      <c r="C29" s="211" t="s">
        <v>9</v>
      </c>
      <c r="D29" s="25">
        <f>SUM(E29:H29)</f>
        <v>106484.53630320002</v>
      </c>
      <c r="E29" s="25">
        <v>9979.5155760783673</v>
      </c>
      <c r="F29" s="25">
        <v>13761.472647728513</v>
      </c>
      <c r="G29" s="25">
        <v>75645.835463142488</v>
      </c>
      <c r="H29" s="33">
        <v>7097.7126162506447</v>
      </c>
      <c r="K29" s="25">
        <v>106317.60804719999</v>
      </c>
      <c r="L29" s="25">
        <v>9493.1868500376822</v>
      </c>
      <c r="M29" s="25">
        <v>13497.014022896439</v>
      </c>
      <c r="N29" s="321">
        <f>K29-L29-M29-O29</f>
        <v>76868.286589955344</v>
      </c>
      <c r="O29" s="33">
        <v>6459.1205843105136</v>
      </c>
      <c r="R29" s="326">
        <v>106317.60804719999</v>
      </c>
      <c r="S29" s="327">
        <f t="shared" si="5"/>
        <v>0</v>
      </c>
      <c r="U29" s="327">
        <f t="shared" si="6"/>
        <v>0</v>
      </c>
      <c r="AG29" s="92" t="e">
        <f>#REF!</f>
        <v>#REF!</v>
      </c>
      <c r="AH29" s="92" t="e">
        <f>D29-AG29</f>
        <v>#REF!</v>
      </c>
      <c r="AI29" s="97" t="e">
        <f>100%-(AG29/D29)</f>
        <v>#REF!</v>
      </c>
      <c r="AK29" s="25" t="e">
        <f t="shared" si="22"/>
        <v>#REF!</v>
      </c>
      <c r="AL29" s="25" t="e">
        <f>#REF!</f>
        <v>#REF!</v>
      </c>
      <c r="AM29" s="25" t="e">
        <f>#REF!</f>
        <v>#REF!</v>
      </c>
      <c r="AN29" s="25" t="e">
        <f>#REF!</f>
        <v>#REF!</v>
      </c>
      <c r="AO29" s="25" t="e">
        <f>#REF!</f>
        <v>#REF!</v>
      </c>
      <c r="AP29" s="25" t="e">
        <f>#REF!</f>
        <v>#REF!</v>
      </c>
      <c r="AQ29" s="25" t="e">
        <f>#REF!</f>
        <v>#REF!</v>
      </c>
    </row>
    <row r="30" spans="1:43" s="4" customFormat="1" ht="37.5" customHeight="1">
      <c r="A30" s="362" t="s">
        <v>144</v>
      </c>
      <c r="B30" s="59" t="s">
        <v>145</v>
      </c>
      <c r="C30" s="363"/>
      <c r="D30" s="25">
        <f>SUM(E30:H30)</f>
        <v>8305.5984000000008</v>
      </c>
      <c r="E30" s="60"/>
      <c r="F30" s="60"/>
      <c r="G30" s="25">
        <v>7976.9592000000002</v>
      </c>
      <c r="H30" s="61">
        <v>328.63920000000002</v>
      </c>
      <c r="K30" s="25">
        <v>8305.5984000000008</v>
      </c>
      <c r="L30" s="60"/>
      <c r="M30" s="60"/>
      <c r="N30" s="321">
        <f>K30-L30-M30-O30</f>
        <v>7976.9592000000011</v>
      </c>
      <c r="O30" s="61">
        <v>328.63920000000002</v>
      </c>
      <c r="R30" s="326">
        <v>8305.5984000000008</v>
      </c>
      <c r="S30" s="327">
        <f t="shared" si="5"/>
        <v>0</v>
      </c>
      <c r="U30" s="327">
        <f t="shared" si="6"/>
        <v>0</v>
      </c>
      <c r="AG30" s="92" t="e">
        <f>#REF!</f>
        <v>#REF!</v>
      </c>
      <c r="AH30" s="92" t="e">
        <f>D30-AG30</f>
        <v>#REF!</v>
      </c>
      <c r="AI30" s="97" t="e">
        <f>100%-(AG30/D30)</f>
        <v>#REF!</v>
      </c>
      <c r="AK30" s="25" t="e">
        <f t="shared" si="22"/>
        <v>#REF!</v>
      </c>
      <c r="AL30" s="25" t="e">
        <f>#REF!</f>
        <v>#REF!</v>
      </c>
      <c r="AM30" s="25" t="e">
        <f>#REF!</f>
        <v>#REF!</v>
      </c>
      <c r="AN30" s="25" t="e">
        <f>#REF!</f>
        <v>#REF!</v>
      </c>
      <c r="AO30" s="25" t="e">
        <f>#REF!</f>
        <v>#REF!</v>
      </c>
      <c r="AP30" s="25" t="e">
        <f>#REF!</f>
        <v>#REF!</v>
      </c>
      <c r="AQ30" s="25" t="e">
        <f>#REF!</f>
        <v>#REF!</v>
      </c>
    </row>
    <row r="31" spans="1:43" s="4" customFormat="1" ht="29.25" customHeight="1">
      <c r="A31" s="362" t="s">
        <v>146</v>
      </c>
      <c r="B31" s="59" t="s">
        <v>147</v>
      </c>
      <c r="C31" s="363"/>
      <c r="D31" s="25">
        <f>SUM(E31:H31)</f>
        <v>15738.068159999999</v>
      </c>
      <c r="E31" s="60">
        <v>1474.9399470820929</v>
      </c>
      <c r="F31" s="60">
        <v>2033.9009027118102</v>
      </c>
      <c r="G31" s="25">
        <v>11180.208468478861</v>
      </c>
      <c r="H31" s="61">
        <v>1049.018841727235</v>
      </c>
      <c r="K31" s="25">
        <v>7869.0340800000004</v>
      </c>
      <c r="L31" s="60">
        <v>574.89206045934145</v>
      </c>
      <c r="M31" s="60">
        <v>933.40470639800094</v>
      </c>
      <c r="N31" s="321">
        <f>K31-L31-M31-O31</f>
        <v>6057.5230943875613</v>
      </c>
      <c r="O31" s="60">
        <v>303.21421875509708</v>
      </c>
      <c r="R31" s="326">
        <v>7869.0340800000004</v>
      </c>
      <c r="S31" s="327">
        <f t="shared" si="5"/>
        <v>0</v>
      </c>
      <c r="U31" s="327">
        <f t="shared" si="6"/>
        <v>0</v>
      </c>
      <c r="AG31" s="92" t="e">
        <f>#REF!</f>
        <v>#REF!</v>
      </c>
      <c r="AH31" s="92" t="e">
        <f>D31-AG31</f>
        <v>#REF!</v>
      </c>
      <c r="AI31" s="97" t="e">
        <f>100%-(AG31/D31)</f>
        <v>#REF!</v>
      </c>
      <c r="AK31" s="25" t="e">
        <f t="shared" si="22"/>
        <v>#REF!</v>
      </c>
      <c r="AL31" s="25" t="e">
        <f>#REF!</f>
        <v>#REF!</v>
      </c>
      <c r="AM31" s="25" t="e">
        <f>#REF!</f>
        <v>#REF!</v>
      </c>
      <c r="AN31" s="25" t="e">
        <f>#REF!</f>
        <v>#REF!</v>
      </c>
      <c r="AO31" s="25" t="e">
        <f>#REF!</f>
        <v>#REF!</v>
      </c>
      <c r="AP31" s="25" t="e">
        <f>#REF!</f>
        <v>#REF!</v>
      </c>
      <c r="AQ31" s="25" t="e">
        <f>#REF!</f>
        <v>#REF!</v>
      </c>
    </row>
    <row r="32" spans="1:43" s="6" customFormat="1" ht="50.25" customHeight="1">
      <c r="A32" s="78" t="s">
        <v>21</v>
      </c>
      <c r="B32" s="17" t="s">
        <v>22</v>
      </c>
      <c r="C32" s="43" t="s">
        <v>9</v>
      </c>
      <c r="D32" s="31">
        <f>SUM(E32:H32)</f>
        <v>2489153.803894788</v>
      </c>
      <c r="E32" s="46">
        <v>1099839.5662673169</v>
      </c>
      <c r="F32" s="46">
        <v>837186.90265264537</v>
      </c>
      <c r="G32" s="46">
        <v>500769.89668170922</v>
      </c>
      <c r="H32" s="46">
        <v>51357.438293116582</v>
      </c>
      <c r="K32" s="31">
        <v>2220718.321853674</v>
      </c>
      <c r="L32" s="46">
        <v>895527.52671471401</v>
      </c>
      <c r="M32" s="46">
        <v>736461.054635223</v>
      </c>
      <c r="N32" s="322">
        <f>K32-L32-M32-O32</f>
        <v>579338.61477020697</v>
      </c>
      <c r="O32" s="46">
        <v>9391.1257335300597</v>
      </c>
      <c r="Q32" s="48"/>
      <c r="R32" s="326">
        <v>2220718.321853674</v>
      </c>
      <c r="S32" s="327">
        <f t="shared" si="5"/>
        <v>0</v>
      </c>
      <c r="U32" s="327">
        <f t="shared" si="6"/>
        <v>0</v>
      </c>
      <c r="AG32" s="91" t="e">
        <f>#REF!</f>
        <v>#REF!</v>
      </c>
      <c r="AH32" s="91" t="e">
        <f>D32-AG32</f>
        <v>#REF!</v>
      </c>
      <c r="AI32" s="98" t="e">
        <f>100%-(AG32/D32)</f>
        <v>#REF!</v>
      </c>
      <c r="AK32" s="31" t="e">
        <f t="shared" si="22"/>
        <v>#REF!</v>
      </c>
      <c r="AL32" s="46" t="e">
        <f>#REF!</f>
        <v>#REF!</v>
      </c>
      <c r="AM32" s="46" t="e">
        <f>#REF!</f>
        <v>#REF!</v>
      </c>
      <c r="AN32" s="46" t="e">
        <f>#REF!</f>
        <v>#REF!</v>
      </c>
      <c r="AO32" s="46" t="e">
        <f>#REF!</f>
        <v>#REF!</v>
      </c>
      <c r="AP32" s="46" t="e">
        <f>#REF!</f>
        <v>#REF!</v>
      </c>
      <c r="AQ32" s="46" t="e">
        <f>#REF!</f>
        <v>#REF!</v>
      </c>
    </row>
    <row r="33" spans="1:43" s="6" customFormat="1" ht="40.5" customHeight="1">
      <c r="A33" s="19" t="s">
        <v>23</v>
      </c>
      <c r="B33" s="17" t="s">
        <v>24</v>
      </c>
      <c r="C33" s="361" t="s">
        <v>9</v>
      </c>
      <c r="D33" s="31">
        <f>SUM(E33:G33)</f>
        <v>0</v>
      </c>
      <c r="E33" s="31"/>
      <c r="F33" s="31"/>
      <c r="G33" s="31"/>
      <c r="H33" s="31"/>
      <c r="K33" s="31">
        <v>0</v>
      </c>
      <c r="L33" s="31"/>
      <c r="M33" s="31"/>
      <c r="N33" s="31"/>
      <c r="O33" s="31"/>
      <c r="R33" s="326">
        <v>0</v>
      </c>
      <c r="S33" s="327">
        <f t="shared" si="5"/>
        <v>0</v>
      </c>
      <c r="U33" s="327">
        <f t="shared" si="6"/>
        <v>0</v>
      </c>
      <c r="AG33" s="91"/>
      <c r="AH33" s="92"/>
      <c r="AI33" s="97"/>
      <c r="AK33" s="31">
        <f>SUM(AL33:AP33)</f>
        <v>0</v>
      </c>
      <c r="AL33" s="31"/>
      <c r="AM33" s="31"/>
      <c r="AN33" s="31"/>
      <c r="AO33" s="31"/>
      <c r="AP33" s="31"/>
      <c r="AQ33" s="31"/>
    </row>
    <row r="34" spans="1:43" s="6" customFormat="1" ht="36" customHeight="1">
      <c r="A34" s="19" t="s">
        <v>25</v>
      </c>
      <c r="B34" s="17" t="s">
        <v>26</v>
      </c>
      <c r="C34" s="361" t="s">
        <v>9</v>
      </c>
      <c r="D34" s="31">
        <f>SUM(E34:H34)</f>
        <v>915347.05063624796</v>
      </c>
      <c r="E34" s="27">
        <f>E36+E37+E38+E39+E45+E68+E70+E75</f>
        <v>199103.09201767843</v>
      </c>
      <c r="F34" s="27">
        <f t="shared" ref="F34:AG34" si="23">F36+F37+F38+F39+F45+F68+F70+F75</f>
        <v>169679.97834059433</v>
      </c>
      <c r="G34" s="27">
        <f t="shared" si="23"/>
        <v>518370.65091040451</v>
      </c>
      <c r="H34" s="27">
        <f t="shared" si="23"/>
        <v>28193.329367570681</v>
      </c>
      <c r="K34" s="31">
        <f>SUM(L34:O34)</f>
        <v>858965.64125132258</v>
      </c>
      <c r="L34" s="27">
        <f>L36+L37+L38+L39+L45+L68+L70+L75</f>
        <v>176135.31391679883</v>
      </c>
      <c r="M34" s="27">
        <f t="shared" ref="M34:O34" si="24">M36+M37+M38+M39+M45+M68+M70+M75</f>
        <v>139919.24283309907</v>
      </c>
      <c r="N34" s="27">
        <f t="shared" si="24"/>
        <v>529730.14993449359</v>
      </c>
      <c r="O34" s="27">
        <f t="shared" si="24"/>
        <v>13180.934566931046</v>
      </c>
      <c r="R34" s="326">
        <v>858965.64125132258</v>
      </c>
      <c r="S34" s="327">
        <f t="shared" si="5"/>
        <v>0</v>
      </c>
      <c r="U34" s="327">
        <f t="shared" si="6"/>
        <v>0</v>
      </c>
      <c r="AG34" s="99" t="e">
        <f t="shared" si="23"/>
        <v>#REF!</v>
      </c>
      <c r="AH34" s="91" t="e">
        <f>D34-AG34</f>
        <v>#REF!</v>
      </c>
      <c r="AI34" s="98" t="e">
        <f>100%-(AG34/D34)</f>
        <v>#REF!</v>
      </c>
      <c r="AK34" s="31" t="e">
        <f>SUM(AL34:AQ34)</f>
        <v>#REF!</v>
      </c>
      <c r="AL34" s="27" t="e">
        <f>AL36+AL37+AL38+AL39+AL45+AL68+AL70+AL75</f>
        <v>#REF!</v>
      </c>
      <c r="AM34" s="27" t="e">
        <f t="shared" ref="AM34:AQ34" si="25">AM36+AM37+AM38+AM39+AM45+AM68+AM70+AM75</f>
        <v>#REF!</v>
      </c>
      <c r="AN34" s="27" t="e">
        <f t="shared" si="25"/>
        <v>#REF!</v>
      </c>
      <c r="AO34" s="27" t="e">
        <f t="shared" si="25"/>
        <v>#REF!</v>
      </c>
      <c r="AP34" s="27" t="e">
        <f t="shared" si="25"/>
        <v>#REF!</v>
      </c>
      <c r="AQ34" s="27" t="e">
        <f t="shared" si="25"/>
        <v>#REF!</v>
      </c>
    </row>
    <row r="35" spans="1:43" s="4" customFormat="1" ht="27" customHeight="1">
      <c r="A35" s="13"/>
      <c r="B35" s="12" t="s">
        <v>7</v>
      </c>
      <c r="C35" s="211"/>
      <c r="D35" s="25"/>
      <c r="E35" s="31"/>
      <c r="F35" s="31"/>
      <c r="G35" s="31"/>
      <c r="H35" s="33"/>
      <c r="K35" s="25"/>
      <c r="L35" s="31"/>
      <c r="M35" s="31"/>
      <c r="N35" s="31"/>
      <c r="O35" s="33"/>
      <c r="R35" s="326"/>
      <c r="S35" s="327">
        <f t="shared" si="5"/>
        <v>0</v>
      </c>
      <c r="U35" s="327">
        <f t="shared" si="6"/>
        <v>0</v>
      </c>
      <c r="AG35" s="92"/>
      <c r="AH35" s="92"/>
      <c r="AI35" s="97"/>
      <c r="AK35" s="25"/>
      <c r="AL35" s="31"/>
      <c r="AM35" s="31"/>
      <c r="AN35" s="31"/>
      <c r="AO35" s="32"/>
      <c r="AP35" s="33"/>
      <c r="AQ35" s="33"/>
    </row>
    <row r="36" spans="1:43" s="4" customFormat="1" ht="27" customHeight="1">
      <c r="A36" s="13" t="s">
        <v>27</v>
      </c>
      <c r="B36" s="12" t="s">
        <v>28</v>
      </c>
      <c r="C36" s="211" t="s">
        <v>9</v>
      </c>
      <c r="D36" s="25">
        <f t="shared" ref="D36:D74" si="26">SUM(E36:H36)</f>
        <v>6258.5412933942844</v>
      </c>
      <c r="E36" s="25">
        <v>586.53784379658339</v>
      </c>
      <c r="F36" s="25">
        <v>808.81926910486698</v>
      </c>
      <c r="G36" s="25">
        <v>4446.0219422973596</v>
      </c>
      <c r="H36" s="33">
        <v>417.16223819547525</v>
      </c>
      <c r="K36" s="25">
        <v>6258.5412933942862</v>
      </c>
      <c r="L36" s="25">
        <v>457.23346258900847</v>
      </c>
      <c r="M36" s="25">
        <v>742.37216906810738</v>
      </c>
      <c r="N36" s="321">
        <f>K36-L36-M36-O36</f>
        <v>4817.7778919867224</v>
      </c>
      <c r="O36" s="25">
        <v>241.15776975044733</v>
      </c>
      <c r="R36" s="326">
        <v>6258.5412933942862</v>
      </c>
      <c r="S36" s="327">
        <f t="shared" si="5"/>
        <v>0</v>
      </c>
      <c r="U36" s="327">
        <f t="shared" si="6"/>
        <v>0</v>
      </c>
      <c r="AG36" s="92" t="e">
        <f>#REF!</f>
        <v>#REF!</v>
      </c>
      <c r="AH36" s="92" t="e">
        <f t="shared" ref="AH36:AH89" si="27">D36-AG36</f>
        <v>#REF!</v>
      </c>
      <c r="AI36" s="97" t="e">
        <f t="shared" ref="AI36:AI89" si="28">100%-(AG36/D36)</f>
        <v>#REF!</v>
      </c>
      <c r="AK36" s="25" t="e">
        <f t="shared" ref="AK36:AK89" si="29">SUM(AL36:AQ36)</f>
        <v>#REF!</v>
      </c>
      <c r="AL36" s="25" t="e">
        <f>#REF!</f>
        <v>#REF!</v>
      </c>
      <c r="AM36" s="25" t="e">
        <f>#REF!</f>
        <v>#REF!</v>
      </c>
      <c r="AN36" s="25" t="e">
        <f>#REF!</f>
        <v>#REF!</v>
      </c>
      <c r="AO36" s="25" t="e">
        <f>#REF!</f>
        <v>#REF!</v>
      </c>
      <c r="AP36" s="25" t="e">
        <f>#REF!</f>
        <v>#REF!</v>
      </c>
      <c r="AQ36" s="25" t="e">
        <f>#REF!</f>
        <v>#REF!</v>
      </c>
    </row>
    <row r="37" spans="1:43" s="4" customFormat="1" ht="27" customHeight="1">
      <c r="A37" s="13" t="s">
        <v>29</v>
      </c>
      <c r="B37" s="12" t="s">
        <v>30</v>
      </c>
      <c r="C37" s="211" t="s">
        <v>9</v>
      </c>
      <c r="D37" s="25">
        <f t="shared" si="26"/>
        <v>2234.5857982142852</v>
      </c>
      <c r="E37" s="25">
        <v>209.42086572895963</v>
      </c>
      <c r="F37" s="25">
        <v>288.78551204438469</v>
      </c>
      <c r="G37" s="25">
        <v>1587.4334010215616</v>
      </c>
      <c r="H37" s="33">
        <v>148.94601941937952</v>
      </c>
      <c r="K37" s="25">
        <v>1398.3066999999996</v>
      </c>
      <c r="L37" s="25">
        <v>102.15681006646523</v>
      </c>
      <c r="M37" s="25">
        <v>165.86356616311124</v>
      </c>
      <c r="N37" s="321">
        <f>K37-L37-M37-O37</f>
        <v>1076.4059530273196</v>
      </c>
      <c r="O37" s="25">
        <v>53.880370743103676</v>
      </c>
      <c r="R37" s="326">
        <v>1398.3066999999996</v>
      </c>
      <c r="S37" s="327">
        <f t="shared" si="5"/>
        <v>0</v>
      </c>
      <c r="U37" s="327">
        <f t="shared" si="6"/>
        <v>0</v>
      </c>
      <c r="AG37" s="92" t="e">
        <f>#REF!</f>
        <v>#REF!</v>
      </c>
      <c r="AH37" s="92" t="e">
        <f t="shared" si="27"/>
        <v>#REF!</v>
      </c>
      <c r="AI37" s="97" t="e">
        <f t="shared" si="28"/>
        <v>#REF!</v>
      </c>
      <c r="AK37" s="25" t="e">
        <f t="shared" si="29"/>
        <v>#REF!</v>
      </c>
      <c r="AL37" s="25" t="e">
        <f>#REF!</f>
        <v>#REF!</v>
      </c>
      <c r="AM37" s="25" t="e">
        <f>#REF!</f>
        <v>#REF!</v>
      </c>
      <c r="AN37" s="25" t="e">
        <f>#REF!</f>
        <v>#REF!</v>
      </c>
      <c r="AO37" s="25" t="e">
        <f>#REF!</f>
        <v>#REF!</v>
      </c>
      <c r="AP37" s="25" t="e">
        <f>#REF!</f>
        <v>#REF!</v>
      </c>
      <c r="AQ37" s="25" t="e">
        <f>#REF!</f>
        <v>#REF!</v>
      </c>
    </row>
    <row r="38" spans="1:43" s="4" customFormat="1" ht="27" customHeight="1">
      <c r="A38" s="13" t="s">
        <v>31</v>
      </c>
      <c r="B38" s="12" t="s">
        <v>32</v>
      </c>
      <c r="C38" s="211" t="s">
        <v>9</v>
      </c>
      <c r="D38" s="25">
        <f t="shared" si="26"/>
        <v>20478.45736</v>
      </c>
      <c r="E38" s="25">
        <v>1919.1996443152584</v>
      </c>
      <c r="F38" s="25">
        <v>2646.522590142939</v>
      </c>
      <c r="G38" s="25">
        <v>14547.74627165265</v>
      </c>
      <c r="H38" s="33">
        <v>1364.9888538891528</v>
      </c>
      <c r="K38" s="25">
        <v>15026.88236</v>
      </c>
      <c r="L38" s="25">
        <v>1097.8266550118349</v>
      </c>
      <c r="M38" s="25">
        <v>1782.450371254854</v>
      </c>
      <c r="N38" s="321">
        <f>K38-L38-M38-O38</f>
        <v>11567.580722988183</v>
      </c>
      <c r="O38" s="25">
        <v>579.02461074512826</v>
      </c>
      <c r="R38" s="326">
        <v>15026.88236</v>
      </c>
      <c r="S38" s="327">
        <f t="shared" si="5"/>
        <v>0</v>
      </c>
      <c r="U38" s="327">
        <f t="shared" si="6"/>
        <v>0</v>
      </c>
      <c r="AG38" s="92" t="e">
        <f>#REF!</f>
        <v>#REF!</v>
      </c>
      <c r="AH38" s="92" t="e">
        <f t="shared" si="27"/>
        <v>#REF!</v>
      </c>
      <c r="AI38" s="97" t="e">
        <f t="shared" si="28"/>
        <v>#REF!</v>
      </c>
      <c r="AK38" s="25" t="e">
        <f>SUM(AL38:AQ38)</f>
        <v>#REF!</v>
      </c>
      <c r="AL38" s="25" t="e">
        <f>#REF!</f>
        <v>#REF!</v>
      </c>
      <c r="AM38" s="25" t="e">
        <f>#REF!</f>
        <v>#REF!</v>
      </c>
      <c r="AN38" s="25" t="e">
        <f>#REF!</f>
        <v>#REF!</v>
      </c>
      <c r="AO38" s="25" t="e">
        <f>#REF!</f>
        <v>#REF!</v>
      </c>
      <c r="AP38" s="25" t="e">
        <f>#REF!</f>
        <v>#REF!</v>
      </c>
      <c r="AQ38" s="25" t="e">
        <f>#REF!</f>
        <v>#REF!</v>
      </c>
    </row>
    <row r="39" spans="1:43" s="4" customFormat="1" ht="27" customHeight="1">
      <c r="A39" s="13" t="s">
        <v>33</v>
      </c>
      <c r="B39" s="12" t="s">
        <v>34</v>
      </c>
      <c r="C39" s="361" t="s">
        <v>9</v>
      </c>
      <c r="D39" s="25">
        <f t="shared" si="26"/>
        <v>390838.78575275984</v>
      </c>
      <c r="E39" s="25">
        <f>SUM(E40:E44)</f>
        <v>170983.24303371712</v>
      </c>
      <c r="F39" s="25">
        <f t="shared" ref="F39:H39" si="30">SUM(F40:F44)</f>
        <v>130506.12212375256</v>
      </c>
      <c r="G39" s="25">
        <f t="shared" si="30"/>
        <v>81359.742869789654</v>
      </c>
      <c r="H39" s="25">
        <f t="shared" si="30"/>
        <v>7989.6777255004772</v>
      </c>
      <c r="K39" s="25">
        <f t="shared" ref="K39:K70" si="31">SUM(L39:O39)</f>
        <v>327658.90089290572</v>
      </c>
      <c r="L39" s="25">
        <f>SUM(L40:L44)</f>
        <v>154848.74486784448</v>
      </c>
      <c r="M39" s="25">
        <f t="shared" ref="M39:O39" si="32">SUM(M40:M44)</f>
        <v>105652.49394080233</v>
      </c>
      <c r="N39" s="25">
        <f t="shared" si="32"/>
        <v>65927.677329824379</v>
      </c>
      <c r="O39" s="25">
        <f t="shared" si="32"/>
        <v>1229.984754434571</v>
      </c>
      <c r="R39" s="326">
        <v>327658.90089290572</v>
      </c>
      <c r="S39" s="327">
        <f t="shared" si="5"/>
        <v>0</v>
      </c>
      <c r="U39" s="327">
        <f t="shared" si="6"/>
        <v>0</v>
      </c>
      <c r="AG39" s="92" t="e">
        <f>SUM(AG40:AG44)</f>
        <v>#REF!</v>
      </c>
      <c r="AH39" s="92" t="e">
        <f t="shared" si="27"/>
        <v>#REF!</v>
      </c>
      <c r="AI39" s="97" t="e">
        <f t="shared" si="28"/>
        <v>#REF!</v>
      </c>
      <c r="AK39" s="25" t="e">
        <f t="shared" si="29"/>
        <v>#REF!</v>
      </c>
      <c r="AL39" s="25" t="e">
        <f>SUM(AL40:AL44)</f>
        <v>#REF!</v>
      </c>
      <c r="AM39" s="25" t="e">
        <f t="shared" ref="AM39:AQ39" si="33">SUM(AM40:AM44)</f>
        <v>#REF!</v>
      </c>
      <c r="AN39" s="25" t="e">
        <f t="shared" si="33"/>
        <v>#REF!</v>
      </c>
      <c r="AO39" s="25" t="e">
        <f t="shared" si="33"/>
        <v>#REF!</v>
      </c>
      <c r="AP39" s="25" t="e">
        <f t="shared" si="33"/>
        <v>#REF!</v>
      </c>
      <c r="AQ39" s="25" t="e">
        <f t="shared" si="33"/>
        <v>#REF!</v>
      </c>
    </row>
    <row r="40" spans="1:43" s="4" customFormat="1" ht="19.5" customHeight="1">
      <c r="A40" s="13"/>
      <c r="B40" s="18" t="s">
        <v>148</v>
      </c>
      <c r="C40" s="361" t="s">
        <v>9</v>
      </c>
      <c r="D40" s="28">
        <f t="shared" si="26"/>
        <v>7049.5699300135602</v>
      </c>
      <c r="E40" s="49">
        <v>3114.8721794794146</v>
      </c>
      <c r="F40" s="49">
        <v>2371.0096200189391</v>
      </c>
      <c r="G40" s="49">
        <v>1418.2379570035564</v>
      </c>
      <c r="H40" s="50">
        <v>145.45017351165043</v>
      </c>
      <c r="I40" s="214"/>
      <c r="J40" s="214"/>
      <c r="K40" s="28">
        <v>7049.5699299999997</v>
      </c>
      <c r="L40" s="49">
        <v>3372.379204687255</v>
      </c>
      <c r="M40" s="49">
        <v>2292.3527335277031</v>
      </c>
      <c r="N40" s="320">
        <f>K40-L40-M40-O40</f>
        <v>1358.3819500110114</v>
      </c>
      <c r="O40" s="49">
        <v>26.456041774030052</v>
      </c>
      <c r="R40" s="326">
        <v>7049.5699299999997</v>
      </c>
      <c r="S40" s="327">
        <f t="shared" si="5"/>
        <v>0</v>
      </c>
      <c r="U40" s="327">
        <f t="shared" si="6"/>
        <v>0</v>
      </c>
      <c r="AG40" s="93" t="e">
        <f>#REF!</f>
        <v>#REF!</v>
      </c>
      <c r="AH40" s="93" t="e">
        <f t="shared" si="27"/>
        <v>#REF!</v>
      </c>
      <c r="AI40" s="97" t="e">
        <f t="shared" si="28"/>
        <v>#REF!</v>
      </c>
      <c r="AK40" s="28" t="e">
        <f t="shared" si="29"/>
        <v>#REF!</v>
      </c>
      <c r="AL40" s="49" t="e">
        <f>#REF!</f>
        <v>#REF!</v>
      </c>
      <c r="AM40" s="49" t="e">
        <f>#REF!</f>
        <v>#REF!</v>
      </c>
      <c r="AN40" s="49" t="e">
        <f>#REF!</f>
        <v>#REF!</v>
      </c>
      <c r="AO40" s="49" t="e">
        <f>#REF!</f>
        <v>#REF!</v>
      </c>
      <c r="AP40" s="49" t="e">
        <f>#REF!</f>
        <v>#REF!</v>
      </c>
      <c r="AQ40" s="49" t="e">
        <f>#REF!</f>
        <v>#REF!</v>
      </c>
    </row>
    <row r="41" spans="1:43" s="4" customFormat="1" ht="19.5" customHeight="1">
      <c r="A41" s="13"/>
      <c r="B41" s="18" t="s">
        <v>97</v>
      </c>
      <c r="C41" s="361" t="s">
        <v>9</v>
      </c>
      <c r="D41" s="28">
        <f t="shared" si="26"/>
        <v>378846.2362985785</v>
      </c>
      <c r="E41" s="49">
        <v>167394.268510314</v>
      </c>
      <c r="F41" s="49">
        <v>127418.84677923474</v>
      </c>
      <c r="G41" s="49">
        <v>76216.580234072419</v>
      </c>
      <c r="H41" s="50">
        <v>7816.5407749573169</v>
      </c>
      <c r="I41" s="214"/>
      <c r="J41" s="214"/>
      <c r="K41" s="177">
        <v>315666.35143873806</v>
      </c>
      <c r="L41" s="178">
        <v>151008.73525365526</v>
      </c>
      <c r="M41" s="178">
        <v>102647.20128867603</v>
      </c>
      <c r="N41" s="320">
        <f>K41-L41-M41-O41</f>
        <v>60825.763596647412</v>
      </c>
      <c r="O41" s="178">
        <v>1184.6512997593466</v>
      </c>
      <c r="R41" s="326">
        <v>315666.35143873806</v>
      </c>
      <c r="S41" s="327">
        <f t="shared" si="5"/>
        <v>0</v>
      </c>
      <c r="U41" s="327">
        <f t="shared" si="6"/>
        <v>0</v>
      </c>
      <c r="AG41" s="93" t="e">
        <f>#REF!</f>
        <v>#REF!</v>
      </c>
      <c r="AH41" s="93" t="e">
        <f t="shared" si="27"/>
        <v>#REF!</v>
      </c>
      <c r="AI41" s="97" t="e">
        <f t="shared" si="28"/>
        <v>#REF!</v>
      </c>
      <c r="AK41" s="28" t="e">
        <f t="shared" si="29"/>
        <v>#REF!</v>
      </c>
      <c r="AL41" s="49" t="e">
        <f>#REF!</f>
        <v>#REF!</v>
      </c>
      <c r="AM41" s="49" t="e">
        <f>#REF!</f>
        <v>#REF!</v>
      </c>
      <c r="AN41" s="49" t="e">
        <f>#REF!</f>
        <v>#REF!</v>
      </c>
      <c r="AO41" s="49" t="e">
        <f>#REF!</f>
        <v>#REF!</v>
      </c>
      <c r="AP41" s="49" t="e">
        <f>#REF!</f>
        <v>#REF!</v>
      </c>
      <c r="AQ41" s="49" t="e">
        <f>#REF!</f>
        <v>#REF!</v>
      </c>
    </row>
    <row r="42" spans="1:43" s="4" customFormat="1" ht="19.5" customHeight="1" outlineLevel="1">
      <c r="A42" s="13"/>
      <c r="B42" s="18" t="s">
        <v>35</v>
      </c>
      <c r="C42" s="361" t="s">
        <v>9</v>
      </c>
      <c r="D42" s="28">
        <f t="shared" si="26"/>
        <v>128.84780000000001</v>
      </c>
      <c r="E42" s="49">
        <v>16.364254279270934</v>
      </c>
      <c r="F42" s="49">
        <v>23.503136651235732</v>
      </c>
      <c r="G42" s="49">
        <v>75.278962890270748</v>
      </c>
      <c r="H42" s="50">
        <v>13.701446179222581</v>
      </c>
      <c r="I42" s="214"/>
      <c r="J42" s="214"/>
      <c r="K42" s="28">
        <v>128.84780000000001</v>
      </c>
      <c r="L42" s="49">
        <v>14.227238952021755</v>
      </c>
      <c r="M42" s="49">
        <v>22.404964494161934</v>
      </c>
      <c r="N42" s="320">
        <f>K42-L42-M42-O42</f>
        <v>81.422978700585034</v>
      </c>
      <c r="O42" s="50">
        <v>10.792617853231292</v>
      </c>
      <c r="R42" s="326">
        <v>128.84780000000001</v>
      </c>
      <c r="S42" s="327">
        <f t="shared" si="5"/>
        <v>0</v>
      </c>
      <c r="U42" s="327">
        <f t="shared" si="6"/>
        <v>0</v>
      </c>
      <c r="AG42" s="93" t="e">
        <f>#REF!</f>
        <v>#REF!</v>
      </c>
      <c r="AH42" s="93" t="e">
        <f t="shared" si="27"/>
        <v>#REF!</v>
      </c>
      <c r="AI42" s="97" t="e">
        <f t="shared" si="28"/>
        <v>#REF!</v>
      </c>
      <c r="AK42" s="28" t="e">
        <f t="shared" si="29"/>
        <v>#REF!</v>
      </c>
      <c r="AL42" s="49" t="e">
        <f>#REF!</f>
        <v>#REF!</v>
      </c>
      <c r="AM42" s="49" t="e">
        <f>#REF!</f>
        <v>#REF!</v>
      </c>
      <c r="AN42" s="49" t="e">
        <f>#REF!</f>
        <v>#REF!</v>
      </c>
      <c r="AO42" s="49" t="e">
        <f>#REF!</f>
        <v>#REF!</v>
      </c>
      <c r="AP42" s="49" t="e">
        <f>#REF!</f>
        <v>#REF!</v>
      </c>
      <c r="AQ42" s="49" t="e">
        <f>#REF!</f>
        <v>#REF!</v>
      </c>
    </row>
    <row r="43" spans="1:43" s="4" customFormat="1" ht="19.5" customHeight="1" outlineLevel="1">
      <c r="A43" s="362"/>
      <c r="B43" s="56" t="s">
        <v>36</v>
      </c>
      <c r="C43" s="364"/>
      <c r="D43" s="28">
        <f t="shared" si="26"/>
        <v>4655.3017241677644</v>
      </c>
      <c r="E43" s="49">
        <v>442.85286298169564</v>
      </c>
      <c r="F43" s="49">
        <v>672.23627692475134</v>
      </c>
      <c r="G43" s="49">
        <v>3536.8140459516494</v>
      </c>
      <c r="H43" s="50">
        <v>3.3985383096677753</v>
      </c>
      <c r="I43" s="214"/>
      <c r="J43" s="214"/>
      <c r="K43" s="28">
        <v>4655.3017241677635</v>
      </c>
      <c r="L43" s="49">
        <v>441.79944574277499</v>
      </c>
      <c r="M43" s="49">
        <v>671.69494553287348</v>
      </c>
      <c r="N43" s="320">
        <f>K43-L43-M43-O43</f>
        <v>3539.8426682026256</v>
      </c>
      <c r="O43" s="50">
        <v>1.9646646894892064</v>
      </c>
      <c r="R43" s="326">
        <v>4655.3017241677635</v>
      </c>
      <c r="S43" s="327">
        <f t="shared" si="5"/>
        <v>0</v>
      </c>
      <c r="U43" s="327">
        <f t="shared" si="6"/>
        <v>0</v>
      </c>
      <c r="AG43" s="93" t="e">
        <f>#REF!</f>
        <v>#REF!</v>
      </c>
      <c r="AH43" s="93" t="e">
        <f t="shared" si="27"/>
        <v>#REF!</v>
      </c>
      <c r="AI43" s="97" t="e">
        <f t="shared" si="28"/>
        <v>#REF!</v>
      </c>
      <c r="AK43" s="28" t="e">
        <f t="shared" si="29"/>
        <v>#REF!</v>
      </c>
      <c r="AL43" s="49" t="e">
        <f>#REF!</f>
        <v>#REF!</v>
      </c>
      <c r="AM43" s="49" t="e">
        <f>#REF!</f>
        <v>#REF!</v>
      </c>
      <c r="AN43" s="49" t="e">
        <f>#REF!</f>
        <v>#REF!</v>
      </c>
      <c r="AO43" s="49" t="e">
        <f>#REF!</f>
        <v>#REF!</v>
      </c>
      <c r="AP43" s="49" t="e">
        <f>#REF!</f>
        <v>#REF!</v>
      </c>
      <c r="AQ43" s="49" t="e">
        <f>#REF!</f>
        <v>#REF!</v>
      </c>
    </row>
    <row r="44" spans="1:43" s="4" customFormat="1" ht="37.5" customHeight="1" outlineLevel="1">
      <c r="A44" s="362"/>
      <c r="B44" s="56" t="s">
        <v>37</v>
      </c>
      <c r="C44" s="364"/>
      <c r="D44" s="28">
        <f t="shared" si="26"/>
        <v>158.83000000000001</v>
      </c>
      <c r="E44" s="49">
        <v>14.885226662727124</v>
      </c>
      <c r="F44" s="49">
        <v>20.526310922885013</v>
      </c>
      <c r="G44" s="49">
        <v>112.83166987176764</v>
      </c>
      <c r="H44" s="50">
        <v>10.58679254262022</v>
      </c>
      <c r="I44" s="214"/>
      <c r="J44" s="214"/>
      <c r="K44" s="28">
        <v>158.83000000000001</v>
      </c>
      <c r="L44" s="49">
        <v>11.603724807194787</v>
      </c>
      <c r="M44" s="49">
        <v>18.840008571572294</v>
      </c>
      <c r="N44" s="320">
        <f>K44-L44-M44-O44</f>
        <v>122.26613626275923</v>
      </c>
      <c r="O44" s="49">
        <v>6.1201303584736877</v>
      </c>
      <c r="R44" s="326">
        <v>158.83000000000001</v>
      </c>
      <c r="S44" s="327">
        <f t="shared" si="5"/>
        <v>0</v>
      </c>
      <c r="U44" s="327">
        <f t="shared" si="6"/>
        <v>0</v>
      </c>
      <c r="AG44" s="93" t="e">
        <f>#REF!</f>
        <v>#REF!</v>
      </c>
      <c r="AH44" s="93" t="e">
        <f t="shared" si="27"/>
        <v>#REF!</v>
      </c>
      <c r="AI44" s="97" t="e">
        <f t="shared" si="28"/>
        <v>#REF!</v>
      </c>
      <c r="AK44" s="28" t="e">
        <f t="shared" si="29"/>
        <v>#REF!</v>
      </c>
      <c r="AL44" s="49" t="e">
        <f>#REF!</f>
        <v>#REF!</v>
      </c>
      <c r="AM44" s="49" t="e">
        <f>#REF!</f>
        <v>#REF!</v>
      </c>
      <c r="AN44" s="49" t="e">
        <f>#REF!</f>
        <v>#REF!</v>
      </c>
      <c r="AO44" s="49" t="e">
        <f>#REF!</f>
        <v>#REF!</v>
      </c>
      <c r="AP44" s="49" t="e">
        <f>#REF!</f>
        <v>#REF!</v>
      </c>
      <c r="AQ44" s="49" t="e">
        <f>#REF!</f>
        <v>#REF!</v>
      </c>
    </row>
    <row r="45" spans="1:43" s="4" customFormat="1" ht="25.5" customHeight="1">
      <c r="A45" s="13" t="s">
        <v>38</v>
      </c>
      <c r="B45" s="12" t="s">
        <v>39</v>
      </c>
      <c r="C45" s="361" t="s">
        <v>9</v>
      </c>
      <c r="D45" s="25">
        <f t="shared" si="26"/>
        <v>422232.40846603562</v>
      </c>
      <c r="E45" s="33">
        <f>SUM(E46:E67)</f>
        <v>18500.474236874688</v>
      </c>
      <c r="F45" s="33">
        <f t="shared" ref="F45:H45" si="34">SUM(F46:F67)</f>
        <v>25901.191315607528</v>
      </c>
      <c r="G45" s="33">
        <f t="shared" si="34"/>
        <v>364501.63942003867</v>
      </c>
      <c r="H45" s="33">
        <f t="shared" si="34"/>
        <v>13329.103493514727</v>
      </c>
      <c r="K45" s="25">
        <f t="shared" si="31"/>
        <v>436895.13103917858</v>
      </c>
      <c r="L45" s="33">
        <f>SUM(L46:L67)</f>
        <v>14350.099081205322</v>
      </c>
      <c r="M45" s="33">
        <f t="shared" ref="M45:O45" si="35">SUM(M46:M67)</f>
        <v>23010.368854798577</v>
      </c>
      <c r="N45" s="33">
        <f t="shared" si="35"/>
        <v>391285.40462256223</v>
      </c>
      <c r="O45" s="33">
        <f t="shared" si="35"/>
        <v>8249.2584806124269</v>
      </c>
      <c r="R45" s="326">
        <v>436895.13103917858</v>
      </c>
      <c r="S45" s="327">
        <f t="shared" si="5"/>
        <v>0</v>
      </c>
      <c r="U45" s="327">
        <f t="shared" si="6"/>
        <v>0</v>
      </c>
      <c r="AG45" s="92" t="e">
        <f>SUM(AG46:AG67)</f>
        <v>#REF!</v>
      </c>
      <c r="AH45" s="92" t="e">
        <f t="shared" si="27"/>
        <v>#REF!</v>
      </c>
      <c r="AI45" s="97" t="e">
        <f t="shared" si="28"/>
        <v>#REF!</v>
      </c>
      <c r="AK45" s="25" t="e">
        <f t="shared" si="29"/>
        <v>#REF!</v>
      </c>
      <c r="AL45" s="33" t="e">
        <f>SUM(AL46:AL67)</f>
        <v>#REF!</v>
      </c>
      <c r="AM45" s="33" t="e">
        <f t="shared" ref="AM45:AQ45" si="36">SUM(AM46:AM67)</f>
        <v>#REF!</v>
      </c>
      <c r="AN45" s="33" t="e">
        <f t="shared" si="36"/>
        <v>#REF!</v>
      </c>
      <c r="AO45" s="33" t="e">
        <f t="shared" si="36"/>
        <v>#REF!</v>
      </c>
      <c r="AP45" s="33" t="e">
        <f t="shared" si="36"/>
        <v>#REF!</v>
      </c>
      <c r="AQ45" s="33" t="e">
        <f t="shared" si="36"/>
        <v>#REF!</v>
      </c>
    </row>
    <row r="46" spans="1:43" s="4" customFormat="1" ht="22.5" customHeight="1" outlineLevel="1">
      <c r="A46" s="9"/>
      <c r="B46" s="18" t="s">
        <v>149</v>
      </c>
      <c r="C46" s="361" t="s">
        <v>9</v>
      </c>
      <c r="D46" s="28">
        <f t="shared" si="26"/>
        <v>5683.5645714285702</v>
      </c>
      <c r="E46" s="29">
        <v>532.65218723137843</v>
      </c>
      <c r="F46" s="29">
        <v>734.51245698820458</v>
      </c>
      <c r="G46" s="49">
        <v>4037.562686005811</v>
      </c>
      <c r="H46" s="29">
        <v>378.83724120317623</v>
      </c>
      <c r="I46" s="214"/>
      <c r="J46" s="214"/>
      <c r="K46" s="28">
        <v>5683.5645714285711</v>
      </c>
      <c r="L46" s="29">
        <v>415.22709318629421</v>
      </c>
      <c r="M46" s="29">
        <v>674.16990016243074</v>
      </c>
      <c r="N46" s="320">
        <f>K46-L46-M46-O46</f>
        <v>4375.165147317739</v>
      </c>
      <c r="O46" s="29">
        <v>219.00243076210722</v>
      </c>
      <c r="R46" s="326">
        <v>5683.5645714285711</v>
      </c>
      <c r="S46" s="327">
        <f t="shared" si="5"/>
        <v>0</v>
      </c>
      <c r="U46" s="327">
        <f t="shared" si="6"/>
        <v>0</v>
      </c>
      <c r="AG46" s="93" t="e">
        <f>#REF!</f>
        <v>#REF!</v>
      </c>
      <c r="AH46" s="93" t="e">
        <f t="shared" si="27"/>
        <v>#REF!</v>
      </c>
      <c r="AI46" s="97" t="e">
        <f t="shared" si="28"/>
        <v>#REF!</v>
      </c>
      <c r="AK46" s="28" t="e">
        <f t="shared" si="29"/>
        <v>#REF!</v>
      </c>
      <c r="AL46" s="29" t="e">
        <f>#REF!</f>
        <v>#REF!</v>
      </c>
      <c r="AM46" s="29" t="e">
        <f>#REF!</f>
        <v>#REF!</v>
      </c>
      <c r="AN46" s="29" t="e">
        <f>#REF!</f>
        <v>#REF!</v>
      </c>
      <c r="AO46" s="29" t="e">
        <f>#REF!</f>
        <v>#REF!</v>
      </c>
      <c r="AP46" s="29" t="e">
        <f>#REF!</f>
        <v>#REF!</v>
      </c>
      <c r="AQ46" s="29" t="e">
        <f>#REF!</f>
        <v>#REF!</v>
      </c>
    </row>
    <row r="47" spans="1:43" s="4" customFormat="1" ht="81" hidden="1" outlineLevel="1">
      <c r="A47" s="9"/>
      <c r="B47" s="18" t="s">
        <v>84</v>
      </c>
      <c r="C47" s="361" t="s">
        <v>9</v>
      </c>
      <c r="D47" s="28">
        <f t="shared" si="26"/>
        <v>0</v>
      </c>
      <c r="E47" s="29">
        <v>0</v>
      </c>
      <c r="F47" s="29">
        <v>0</v>
      </c>
      <c r="G47" s="49">
        <v>0</v>
      </c>
      <c r="H47" s="29">
        <v>0</v>
      </c>
      <c r="I47" s="214"/>
      <c r="J47" s="214"/>
      <c r="K47" s="28">
        <v>0</v>
      </c>
      <c r="L47" s="29">
        <v>0</v>
      </c>
      <c r="M47" s="29">
        <v>0</v>
      </c>
      <c r="N47" s="29"/>
      <c r="O47" s="29">
        <v>0</v>
      </c>
      <c r="R47" s="326">
        <v>0</v>
      </c>
      <c r="S47" s="327">
        <f t="shared" si="5"/>
        <v>0</v>
      </c>
      <c r="U47" s="327">
        <f t="shared" si="6"/>
        <v>0</v>
      </c>
      <c r="AG47" s="93" t="e">
        <f>#REF!</f>
        <v>#REF!</v>
      </c>
      <c r="AH47" s="93" t="e">
        <f t="shared" si="27"/>
        <v>#REF!</v>
      </c>
      <c r="AI47" s="97" t="e">
        <f t="shared" si="28"/>
        <v>#REF!</v>
      </c>
      <c r="AK47" s="28" t="e">
        <f t="shared" si="29"/>
        <v>#REF!</v>
      </c>
      <c r="AL47" s="29" t="e">
        <f>#REF!</f>
        <v>#REF!</v>
      </c>
      <c r="AM47" s="29" t="e">
        <f>#REF!</f>
        <v>#REF!</v>
      </c>
      <c r="AN47" s="29" t="e">
        <f>#REF!</f>
        <v>#REF!</v>
      </c>
      <c r="AO47" s="29" t="e">
        <f>#REF!</f>
        <v>#REF!</v>
      </c>
      <c r="AP47" s="29" t="e">
        <f>#REF!</f>
        <v>#REF!</v>
      </c>
      <c r="AQ47" s="29" t="e">
        <f>#REF!</f>
        <v>#REF!</v>
      </c>
    </row>
    <row r="48" spans="1:43" s="4" customFormat="1" ht="52.5" customHeight="1" outlineLevel="1">
      <c r="A48" s="9"/>
      <c r="B48" s="18" t="s">
        <v>85</v>
      </c>
      <c r="C48" s="361" t="s">
        <v>9</v>
      </c>
      <c r="D48" s="28">
        <f t="shared" si="26"/>
        <v>11224.196428571428</v>
      </c>
      <c r="E48" s="29">
        <v>2688.4027686458444</v>
      </c>
      <c r="F48" s="29">
        <v>4056.7659885831386</v>
      </c>
      <c r="G48" s="49">
        <v>2193.3386703986653</v>
      </c>
      <c r="H48" s="29">
        <v>2285.6890009437789</v>
      </c>
      <c r="I48" s="214"/>
      <c r="J48" s="214"/>
      <c r="K48" s="28">
        <v>11224.196428571428</v>
      </c>
      <c r="L48" s="29">
        <v>2644.130340953177</v>
      </c>
      <c r="M48" s="29">
        <v>4034.0152170756946</v>
      </c>
      <c r="N48" s="320">
        <f t="shared" ref="N48:N63" si="37">K48-L48-M48-O48</f>
        <v>2320.6239042649495</v>
      </c>
      <c r="O48" s="29">
        <v>2225.426966277606</v>
      </c>
      <c r="R48" s="326">
        <v>11224.196428571428</v>
      </c>
      <c r="S48" s="327">
        <f t="shared" si="5"/>
        <v>0</v>
      </c>
      <c r="U48" s="327">
        <f t="shared" si="6"/>
        <v>0</v>
      </c>
      <c r="AG48" s="93" t="e">
        <f>#REF!</f>
        <v>#REF!</v>
      </c>
      <c r="AH48" s="93" t="e">
        <f t="shared" si="27"/>
        <v>#REF!</v>
      </c>
      <c r="AI48" s="97" t="e">
        <f t="shared" si="28"/>
        <v>#REF!</v>
      </c>
      <c r="AK48" s="28" t="e">
        <f t="shared" si="29"/>
        <v>#REF!</v>
      </c>
      <c r="AL48" s="29" t="e">
        <f>#REF!</f>
        <v>#REF!</v>
      </c>
      <c r="AM48" s="29" t="e">
        <f>#REF!</f>
        <v>#REF!</v>
      </c>
      <c r="AN48" s="29" t="e">
        <f>#REF!</f>
        <v>#REF!</v>
      </c>
      <c r="AO48" s="29" t="e">
        <f>#REF!</f>
        <v>#REF!</v>
      </c>
      <c r="AP48" s="29" t="e">
        <f>#REF!</f>
        <v>#REF!</v>
      </c>
      <c r="AQ48" s="29" t="e">
        <f>#REF!</f>
        <v>#REF!</v>
      </c>
    </row>
    <row r="49" spans="1:43" s="4" customFormat="1" ht="36" customHeight="1" outlineLevel="1">
      <c r="A49" s="9"/>
      <c r="B49" s="18" t="s">
        <v>86</v>
      </c>
      <c r="C49" s="361" t="s">
        <v>9</v>
      </c>
      <c r="D49" s="28">
        <f t="shared" si="26"/>
        <v>39095.405430428575</v>
      </c>
      <c r="E49" s="29"/>
      <c r="F49" s="29"/>
      <c r="G49" s="49">
        <v>39095.405430428575</v>
      </c>
      <c r="H49" s="29"/>
      <c r="I49" s="214"/>
      <c r="J49" s="214"/>
      <c r="K49" s="28">
        <v>39095.405430428575</v>
      </c>
      <c r="L49" s="29"/>
      <c r="M49" s="29"/>
      <c r="N49" s="320">
        <f t="shared" si="37"/>
        <v>39095.405430428575</v>
      </c>
      <c r="O49" s="29"/>
      <c r="R49" s="326">
        <v>39095.405430428575</v>
      </c>
      <c r="S49" s="327">
        <f t="shared" si="5"/>
        <v>0</v>
      </c>
      <c r="U49" s="327">
        <f t="shared" si="6"/>
        <v>0</v>
      </c>
      <c r="AG49" s="93" t="e">
        <f>#REF!</f>
        <v>#REF!</v>
      </c>
      <c r="AH49" s="93" t="e">
        <f t="shared" si="27"/>
        <v>#REF!</v>
      </c>
      <c r="AI49" s="97" t="e">
        <f t="shared" si="28"/>
        <v>#REF!</v>
      </c>
      <c r="AK49" s="28" t="e">
        <f t="shared" si="29"/>
        <v>#REF!</v>
      </c>
      <c r="AL49" s="29" t="e">
        <f>#REF!</f>
        <v>#REF!</v>
      </c>
      <c r="AM49" s="29" t="e">
        <f>#REF!</f>
        <v>#REF!</v>
      </c>
      <c r="AN49" s="29" t="e">
        <f>#REF!</f>
        <v>#REF!</v>
      </c>
      <c r="AO49" s="29" t="e">
        <f>#REF!</f>
        <v>#REF!</v>
      </c>
      <c r="AP49" s="29" t="e">
        <f>#REF!</f>
        <v>#REF!</v>
      </c>
      <c r="AQ49" s="29" t="e">
        <f>#REF!</f>
        <v>#REF!</v>
      </c>
    </row>
    <row r="50" spans="1:43" s="4" customFormat="1" ht="53.25" customHeight="1" outlineLevel="1">
      <c r="A50" s="9"/>
      <c r="B50" s="18" t="s">
        <v>87</v>
      </c>
      <c r="C50" s="361" t="s">
        <v>9</v>
      </c>
      <c r="D50" s="28">
        <f t="shared" si="26"/>
        <v>1442.808</v>
      </c>
      <c r="E50" s="29"/>
      <c r="F50" s="29"/>
      <c r="G50" s="49">
        <v>1442.808</v>
      </c>
      <c r="H50" s="29"/>
      <c r="I50" s="214"/>
      <c r="J50" s="214"/>
      <c r="K50" s="28">
        <v>1442.808</v>
      </c>
      <c r="L50" s="29"/>
      <c r="M50" s="29"/>
      <c r="N50" s="320">
        <f t="shared" si="37"/>
        <v>1442.808</v>
      </c>
      <c r="O50" s="29"/>
      <c r="R50" s="326">
        <v>1442.808</v>
      </c>
      <c r="S50" s="327">
        <f t="shared" si="5"/>
        <v>0</v>
      </c>
      <c r="U50" s="327">
        <f t="shared" si="6"/>
        <v>0</v>
      </c>
      <c r="AG50" s="93" t="e">
        <f>#REF!</f>
        <v>#REF!</v>
      </c>
      <c r="AH50" s="93" t="e">
        <f t="shared" si="27"/>
        <v>#REF!</v>
      </c>
      <c r="AI50" s="97" t="e">
        <f t="shared" si="28"/>
        <v>#REF!</v>
      </c>
      <c r="AK50" s="28" t="e">
        <f t="shared" si="29"/>
        <v>#REF!</v>
      </c>
      <c r="AL50" s="29" t="e">
        <f>#REF!</f>
        <v>#REF!</v>
      </c>
      <c r="AM50" s="29" t="e">
        <f>#REF!</f>
        <v>#REF!</v>
      </c>
      <c r="AN50" s="29" t="e">
        <f>#REF!</f>
        <v>#REF!</v>
      </c>
      <c r="AO50" s="29" t="e">
        <f>#REF!</f>
        <v>#REF!</v>
      </c>
      <c r="AP50" s="29" t="e">
        <f>#REF!</f>
        <v>#REF!</v>
      </c>
      <c r="AQ50" s="29" t="e">
        <f>#REF!</f>
        <v>#REF!</v>
      </c>
    </row>
    <row r="51" spans="1:43" s="4" customFormat="1" ht="34.5" customHeight="1" outlineLevel="1">
      <c r="A51" s="9"/>
      <c r="B51" s="18" t="s">
        <v>124</v>
      </c>
      <c r="C51" s="361" t="s">
        <v>9</v>
      </c>
      <c r="D51" s="28">
        <f t="shared" si="26"/>
        <v>2223.2142857142853</v>
      </c>
      <c r="E51" s="29"/>
      <c r="F51" s="29"/>
      <c r="G51" s="49">
        <v>2223.2142857142853</v>
      </c>
      <c r="H51" s="29"/>
      <c r="I51" s="214"/>
      <c r="J51" s="214"/>
      <c r="K51" s="28">
        <v>2223.2142857142853</v>
      </c>
      <c r="L51" s="29"/>
      <c r="M51" s="29"/>
      <c r="N51" s="320">
        <f t="shared" si="37"/>
        <v>2223.2142857142853</v>
      </c>
      <c r="O51" s="29"/>
      <c r="R51" s="326">
        <v>2223.2142857142853</v>
      </c>
      <c r="S51" s="327">
        <f t="shared" si="5"/>
        <v>0</v>
      </c>
      <c r="U51" s="327">
        <f t="shared" si="6"/>
        <v>0</v>
      </c>
      <c r="AG51" s="93" t="e">
        <f>#REF!</f>
        <v>#REF!</v>
      </c>
      <c r="AH51" s="93" t="e">
        <f t="shared" si="27"/>
        <v>#REF!</v>
      </c>
      <c r="AI51" s="97" t="e">
        <f t="shared" si="28"/>
        <v>#REF!</v>
      </c>
      <c r="AK51" s="28" t="e">
        <f t="shared" si="29"/>
        <v>#REF!</v>
      </c>
      <c r="AL51" s="29" t="e">
        <f>#REF!</f>
        <v>#REF!</v>
      </c>
      <c r="AM51" s="29" t="e">
        <f>#REF!</f>
        <v>#REF!</v>
      </c>
      <c r="AN51" s="29" t="e">
        <f>#REF!</f>
        <v>#REF!</v>
      </c>
      <c r="AO51" s="29" t="e">
        <f>#REF!</f>
        <v>#REF!</v>
      </c>
      <c r="AP51" s="29" t="e">
        <f>#REF!</f>
        <v>#REF!</v>
      </c>
      <c r="AQ51" s="29" t="e">
        <f>#REF!</f>
        <v>#REF!</v>
      </c>
    </row>
    <row r="52" spans="1:43" s="4" customFormat="1" ht="35.25" customHeight="1" outlineLevel="1">
      <c r="A52" s="9"/>
      <c r="B52" s="18" t="s">
        <v>150</v>
      </c>
      <c r="C52" s="361" t="s">
        <v>9</v>
      </c>
      <c r="D52" s="28">
        <f t="shared" si="26"/>
        <v>4560</v>
      </c>
      <c r="E52" s="29"/>
      <c r="F52" s="29"/>
      <c r="G52" s="49">
        <v>4560</v>
      </c>
      <c r="H52" s="29"/>
      <c r="I52" s="214"/>
      <c r="J52" s="214"/>
      <c r="K52" s="28">
        <v>4560</v>
      </c>
      <c r="L52" s="29"/>
      <c r="M52" s="29"/>
      <c r="N52" s="320">
        <f t="shared" si="37"/>
        <v>4560</v>
      </c>
      <c r="O52" s="29"/>
      <c r="R52" s="326">
        <v>4560</v>
      </c>
      <c r="S52" s="327">
        <f t="shared" si="5"/>
        <v>0</v>
      </c>
      <c r="U52" s="327">
        <f t="shared" si="6"/>
        <v>0</v>
      </c>
      <c r="AG52" s="93" t="e">
        <f>#REF!</f>
        <v>#REF!</v>
      </c>
      <c r="AH52" s="93" t="e">
        <f t="shared" si="27"/>
        <v>#REF!</v>
      </c>
      <c r="AI52" s="97" t="e">
        <f t="shared" si="28"/>
        <v>#REF!</v>
      </c>
      <c r="AK52" s="28" t="e">
        <f t="shared" si="29"/>
        <v>#REF!</v>
      </c>
      <c r="AL52" s="29" t="e">
        <f>#REF!</f>
        <v>#REF!</v>
      </c>
      <c r="AM52" s="29" t="e">
        <f>#REF!</f>
        <v>#REF!</v>
      </c>
      <c r="AN52" s="29" t="e">
        <f>#REF!</f>
        <v>#REF!</v>
      </c>
      <c r="AO52" s="29" t="e">
        <f>#REF!</f>
        <v>#REF!</v>
      </c>
      <c r="AP52" s="29" t="e">
        <f>#REF!</f>
        <v>#REF!</v>
      </c>
      <c r="AQ52" s="29" t="e">
        <f>#REF!</f>
        <v>#REF!</v>
      </c>
    </row>
    <row r="53" spans="1:43" s="4" customFormat="1" ht="20.25" customHeight="1" outlineLevel="1">
      <c r="A53" s="9"/>
      <c r="B53" s="18" t="s">
        <v>123</v>
      </c>
      <c r="C53" s="361" t="s">
        <v>9</v>
      </c>
      <c r="D53" s="28">
        <f t="shared" si="26"/>
        <v>22552.37260714285</v>
      </c>
      <c r="E53" s="29">
        <v>2113.5627906541563</v>
      </c>
      <c r="F53" s="29">
        <v>2914.5439286216024</v>
      </c>
      <c r="G53" s="49">
        <v>16021.040488788252</v>
      </c>
      <c r="H53" s="29">
        <v>1503.225399078842</v>
      </c>
      <c r="I53" s="214"/>
      <c r="J53" s="214"/>
      <c r="K53" s="28">
        <v>22552.372607142854</v>
      </c>
      <c r="L53" s="29">
        <v>1647.6202573984995</v>
      </c>
      <c r="M53" s="29">
        <v>2675.104786424879</v>
      </c>
      <c r="N53" s="320">
        <f t="shared" si="37"/>
        <v>17360.646365506811</v>
      </c>
      <c r="O53" s="29">
        <v>869.00119781266358</v>
      </c>
      <c r="R53" s="326">
        <v>22552.372607142854</v>
      </c>
      <c r="S53" s="327">
        <f t="shared" si="5"/>
        <v>0</v>
      </c>
      <c r="U53" s="327">
        <f t="shared" si="6"/>
        <v>0</v>
      </c>
      <c r="AG53" s="93" t="e">
        <f>#REF!</f>
        <v>#REF!</v>
      </c>
      <c r="AH53" s="93" t="e">
        <f t="shared" si="27"/>
        <v>#REF!</v>
      </c>
      <c r="AI53" s="97" t="e">
        <f t="shared" si="28"/>
        <v>#REF!</v>
      </c>
      <c r="AK53" s="28" t="e">
        <f t="shared" si="29"/>
        <v>#REF!</v>
      </c>
      <c r="AL53" s="29" t="e">
        <f>#REF!</f>
        <v>#REF!</v>
      </c>
      <c r="AM53" s="29" t="e">
        <f>#REF!</f>
        <v>#REF!</v>
      </c>
      <c r="AN53" s="29" t="e">
        <f>#REF!</f>
        <v>#REF!</v>
      </c>
      <c r="AO53" s="29" t="e">
        <f>#REF!</f>
        <v>#REF!</v>
      </c>
      <c r="AP53" s="29" t="e">
        <f>#REF!</f>
        <v>#REF!</v>
      </c>
      <c r="AQ53" s="29" t="e">
        <f>#REF!</f>
        <v>#REF!</v>
      </c>
    </row>
    <row r="54" spans="1:43" s="4" customFormat="1" ht="20.25" customHeight="1" outlineLevel="1">
      <c r="A54" s="9"/>
      <c r="B54" s="18" t="s">
        <v>125</v>
      </c>
      <c r="C54" s="361" t="s">
        <v>9</v>
      </c>
      <c r="D54" s="28">
        <f t="shared" si="26"/>
        <v>719.99999999999989</v>
      </c>
      <c r="E54" s="29">
        <v>67.476945143634893</v>
      </c>
      <c r="F54" s="29">
        <v>93.048818639282317</v>
      </c>
      <c r="G54" s="49">
        <v>511.4827318999728</v>
      </c>
      <c r="H54" s="29">
        <v>47.99150431710985</v>
      </c>
      <c r="I54" s="214"/>
      <c r="J54" s="214"/>
      <c r="K54" s="28">
        <v>720</v>
      </c>
      <c r="L54" s="29">
        <v>52.601409438898479</v>
      </c>
      <c r="M54" s="29">
        <v>85.404559412781268</v>
      </c>
      <c r="N54" s="320">
        <f t="shared" si="37"/>
        <v>554.25057047904454</v>
      </c>
      <c r="O54" s="29">
        <v>27.74346066927567</v>
      </c>
      <c r="R54" s="326">
        <v>720</v>
      </c>
      <c r="S54" s="327">
        <f t="shared" si="5"/>
        <v>0</v>
      </c>
      <c r="U54" s="327">
        <f t="shared" si="6"/>
        <v>0</v>
      </c>
      <c r="AG54" s="93" t="e">
        <f>#REF!</f>
        <v>#REF!</v>
      </c>
      <c r="AH54" s="93" t="e">
        <f t="shared" si="27"/>
        <v>#REF!</v>
      </c>
      <c r="AI54" s="97" t="e">
        <f t="shared" si="28"/>
        <v>#REF!</v>
      </c>
      <c r="AK54" s="28" t="e">
        <f t="shared" si="29"/>
        <v>#REF!</v>
      </c>
      <c r="AL54" s="29" t="e">
        <f>#REF!</f>
        <v>#REF!</v>
      </c>
      <c r="AM54" s="29" t="e">
        <f>#REF!</f>
        <v>#REF!</v>
      </c>
      <c r="AN54" s="29" t="e">
        <f>#REF!</f>
        <v>#REF!</v>
      </c>
      <c r="AO54" s="29" t="e">
        <f>#REF!</f>
        <v>#REF!</v>
      </c>
      <c r="AP54" s="29" t="e">
        <f>#REF!</f>
        <v>#REF!</v>
      </c>
      <c r="AQ54" s="29" t="e">
        <f>#REF!</f>
        <v>#REF!</v>
      </c>
    </row>
    <row r="55" spans="1:43" s="4" customFormat="1" ht="20.25" customHeight="1" outlineLevel="1">
      <c r="A55" s="9"/>
      <c r="B55" s="18" t="s">
        <v>151</v>
      </c>
      <c r="C55" s="361" t="s">
        <v>9</v>
      </c>
      <c r="D55" s="28">
        <f t="shared" si="26"/>
        <v>1347.9985937499998</v>
      </c>
      <c r="E55" s="29">
        <v>143.68574828732955</v>
      </c>
      <c r="F55" s="29">
        <v>207.96529359386497</v>
      </c>
      <c r="G55" s="49">
        <v>943.89386455175054</v>
      </c>
      <c r="H55" s="29">
        <v>52.453687317054701</v>
      </c>
      <c r="I55" s="214"/>
      <c r="J55" s="214"/>
      <c r="K55" s="28">
        <v>1347.9985937499996</v>
      </c>
      <c r="L55" s="29">
        <v>127.42710606236093</v>
      </c>
      <c r="M55" s="29">
        <v>199.61028182786703</v>
      </c>
      <c r="N55" s="320">
        <f t="shared" si="37"/>
        <v>990.63819699087958</v>
      </c>
      <c r="O55" s="29">
        <v>30.323008868892011</v>
      </c>
      <c r="R55" s="326">
        <v>1347.9985937499996</v>
      </c>
      <c r="S55" s="327">
        <f t="shared" si="5"/>
        <v>0</v>
      </c>
      <c r="U55" s="327">
        <f t="shared" si="6"/>
        <v>0</v>
      </c>
      <c r="AG55" s="93" t="e">
        <f>#REF!</f>
        <v>#REF!</v>
      </c>
      <c r="AH55" s="93" t="e">
        <f t="shared" si="27"/>
        <v>#REF!</v>
      </c>
      <c r="AI55" s="97" t="e">
        <f t="shared" si="28"/>
        <v>#REF!</v>
      </c>
      <c r="AK55" s="28" t="e">
        <f t="shared" si="29"/>
        <v>#REF!</v>
      </c>
      <c r="AL55" s="29" t="e">
        <f>#REF!</f>
        <v>#REF!</v>
      </c>
      <c r="AM55" s="29" t="e">
        <f>#REF!</f>
        <v>#REF!</v>
      </c>
      <c r="AN55" s="29" t="e">
        <f>#REF!</f>
        <v>#REF!</v>
      </c>
      <c r="AO55" s="29" t="e">
        <f>#REF!</f>
        <v>#REF!</v>
      </c>
      <c r="AP55" s="29" t="e">
        <f>#REF!</f>
        <v>#REF!</v>
      </c>
      <c r="AQ55" s="29" t="e">
        <f>#REF!</f>
        <v>#REF!</v>
      </c>
    </row>
    <row r="56" spans="1:43" s="4" customFormat="1" ht="20.25" customHeight="1" outlineLevel="1">
      <c r="A56" s="9"/>
      <c r="B56" s="18" t="s">
        <v>88</v>
      </c>
      <c r="C56" s="361" t="s">
        <v>9</v>
      </c>
      <c r="D56" s="28">
        <f t="shared" si="26"/>
        <v>56063.999999999993</v>
      </c>
      <c r="E56" s="29">
        <v>5254.2047951843697</v>
      </c>
      <c r="F56" s="29">
        <v>7245.401344712116</v>
      </c>
      <c r="G56" s="49">
        <v>39827.455390611227</v>
      </c>
      <c r="H56" s="29">
        <v>3736.9384694922874</v>
      </c>
      <c r="I56" s="214"/>
      <c r="J56" s="214"/>
      <c r="K56" s="28">
        <v>56064</v>
      </c>
      <c r="L56" s="29">
        <v>4095.8964149755616</v>
      </c>
      <c r="M56" s="29">
        <v>6650.1683596085686</v>
      </c>
      <c r="N56" s="320">
        <f t="shared" si="37"/>
        <v>43157.6444213016</v>
      </c>
      <c r="O56" s="29">
        <v>2160.2908041142655</v>
      </c>
      <c r="R56" s="326">
        <v>56064</v>
      </c>
      <c r="S56" s="327">
        <f t="shared" si="5"/>
        <v>0</v>
      </c>
      <c r="U56" s="327">
        <f t="shared" si="6"/>
        <v>0</v>
      </c>
      <c r="AG56" s="93" t="e">
        <f>#REF!</f>
        <v>#REF!</v>
      </c>
      <c r="AH56" s="93" t="e">
        <f t="shared" si="27"/>
        <v>#REF!</v>
      </c>
      <c r="AI56" s="97" t="e">
        <f t="shared" si="28"/>
        <v>#REF!</v>
      </c>
      <c r="AK56" s="28" t="e">
        <f t="shared" si="29"/>
        <v>#REF!</v>
      </c>
      <c r="AL56" s="29" t="e">
        <f>#REF!</f>
        <v>#REF!</v>
      </c>
      <c r="AM56" s="29" t="e">
        <f>#REF!</f>
        <v>#REF!</v>
      </c>
      <c r="AN56" s="29" t="e">
        <f>#REF!</f>
        <v>#REF!</v>
      </c>
      <c r="AO56" s="29" t="e">
        <f>#REF!</f>
        <v>#REF!</v>
      </c>
      <c r="AP56" s="29" t="e">
        <f>#REF!</f>
        <v>#REF!</v>
      </c>
      <c r="AQ56" s="29" t="e">
        <f>#REF!</f>
        <v>#REF!</v>
      </c>
    </row>
    <row r="57" spans="1:43" s="4" customFormat="1" ht="20.25" customHeight="1" outlineLevel="1">
      <c r="A57" s="9"/>
      <c r="B57" s="18" t="s">
        <v>40</v>
      </c>
      <c r="C57" s="361" t="s">
        <v>9</v>
      </c>
      <c r="D57" s="28">
        <f t="shared" si="26"/>
        <v>599.3850000000001</v>
      </c>
      <c r="E57" s="29">
        <v>214.89098405029395</v>
      </c>
      <c r="F57" s="29">
        <v>326.52334376273365</v>
      </c>
      <c r="G57" s="49">
        <v>57.970672186972457</v>
      </c>
      <c r="H57" s="29"/>
      <c r="I57" s="214"/>
      <c r="J57" s="214"/>
      <c r="K57" s="28">
        <v>599.3850000000001</v>
      </c>
      <c r="L57" s="29">
        <v>214.89098405029398</v>
      </c>
      <c r="M57" s="29">
        <v>326.52334376273365</v>
      </c>
      <c r="N57" s="320">
        <f t="shared" si="37"/>
        <v>57.970672186972479</v>
      </c>
      <c r="O57" s="29">
        <v>0</v>
      </c>
      <c r="R57" s="326">
        <v>599.3850000000001</v>
      </c>
      <c r="S57" s="327">
        <f t="shared" si="5"/>
        <v>0</v>
      </c>
      <c r="U57" s="327">
        <f t="shared" si="6"/>
        <v>0</v>
      </c>
      <c r="AG57" s="93" t="e">
        <f>#REF!</f>
        <v>#REF!</v>
      </c>
      <c r="AH57" s="93" t="e">
        <f t="shared" si="27"/>
        <v>#REF!</v>
      </c>
      <c r="AI57" s="97" t="e">
        <f t="shared" si="28"/>
        <v>#REF!</v>
      </c>
      <c r="AK57" s="28" t="e">
        <f t="shared" si="29"/>
        <v>#REF!</v>
      </c>
      <c r="AL57" s="29" t="e">
        <f>#REF!</f>
        <v>#REF!</v>
      </c>
      <c r="AM57" s="29" t="e">
        <f>#REF!</f>
        <v>#REF!</v>
      </c>
      <c r="AN57" s="29" t="e">
        <f>#REF!</f>
        <v>#REF!</v>
      </c>
      <c r="AO57" s="29" t="e">
        <f>#REF!</f>
        <v>#REF!</v>
      </c>
      <c r="AP57" s="29" t="e">
        <f>#REF!</f>
        <v>#REF!</v>
      </c>
      <c r="AQ57" s="29" t="e">
        <f>#REF!</f>
        <v>#REF!</v>
      </c>
    </row>
    <row r="58" spans="1:43" s="4" customFormat="1" ht="20.25" customHeight="1" outlineLevel="1">
      <c r="A58" s="63"/>
      <c r="B58" s="18" t="s">
        <v>166</v>
      </c>
      <c r="C58" s="361" t="s">
        <v>9</v>
      </c>
      <c r="D58" s="28">
        <f t="shared" si="26"/>
        <v>1974.2999999999993</v>
      </c>
      <c r="E58" s="58">
        <v>185.0274066626088</v>
      </c>
      <c r="F58" s="58">
        <v>255.14761477713196</v>
      </c>
      <c r="G58" s="49">
        <v>1402.5282744307169</v>
      </c>
      <c r="H58" s="58">
        <v>131.59670412954162</v>
      </c>
      <c r="I58" s="214"/>
      <c r="J58" s="214"/>
      <c r="K58" s="28">
        <v>1974.2999999999995</v>
      </c>
      <c r="L58" s="58">
        <v>144.23744813224619</v>
      </c>
      <c r="M58" s="58">
        <v>234.18641895646394</v>
      </c>
      <c r="N58" s="320">
        <f t="shared" si="37"/>
        <v>1519.8012518010798</v>
      </c>
      <c r="O58" s="58">
        <v>76.074881110209645</v>
      </c>
      <c r="R58" s="326">
        <v>1974.2999999999995</v>
      </c>
      <c r="S58" s="327">
        <f t="shared" si="5"/>
        <v>0</v>
      </c>
      <c r="U58" s="327">
        <f t="shared" si="6"/>
        <v>0</v>
      </c>
      <c r="AG58" s="93" t="e">
        <f>#REF!</f>
        <v>#REF!</v>
      </c>
      <c r="AH58" s="93" t="e">
        <f t="shared" si="27"/>
        <v>#REF!</v>
      </c>
      <c r="AI58" s="97" t="e">
        <f t="shared" si="28"/>
        <v>#REF!</v>
      </c>
      <c r="AK58" s="28" t="e">
        <f t="shared" ref="AK58" si="38">SUM(AL58:AQ58)</f>
        <v>#REF!</v>
      </c>
      <c r="AL58" s="29" t="e">
        <f>#REF!</f>
        <v>#REF!</v>
      </c>
      <c r="AM58" s="29" t="e">
        <f>#REF!</f>
        <v>#REF!</v>
      </c>
      <c r="AN58" s="29" t="e">
        <f>#REF!</f>
        <v>#REF!</v>
      </c>
      <c r="AO58" s="29" t="e">
        <f>#REF!</f>
        <v>#REF!</v>
      </c>
      <c r="AP58" s="29" t="e">
        <f>#REF!</f>
        <v>#REF!</v>
      </c>
      <c r="AQ58" s="29" t="e">
        <f>#REF!</f>
        <v>#REF!</v>
      </c>
    </row>
    <row r="59" spans="1:43" s="4" customFormat="1" ht="20.25" customHeight="1" outlineLevel="1">
      <c r="A59" s="9"/>
      <c r="B59" s="18" t="s">
        <v>115</v>
      </c>
      <c r="C59" s="361" t="s">
        <v>9</v>
      </c>
      <c r="D59" s="28">
        <f t="shared" si="26"/>
        <v>9240</v>
      </c>
      <c r="E59" s="29">
        <v>865.95412934331443</v>
      </c>
      <c r="F59" s="29">
        <v>1194.1265058707895</v>
      </c>
      <c r="G59" s="49">
        <v>6564.0283927163182</v>
      </c>
      <c r="H59" s="29">
        <v>615.89097206957649</v>
      </c>
      <c r="I59" s="214"/>
      <c r="J59" s="214"/>
      <c r="K59" s="28">
        <v>9240</v>
      </c>
      <c r="L59" s="29">
        <v>675.05142113253055</v>
      </c>
      <c r="M59" s="29">
        <v>1096.025179130693</v>
      </c>
      <c r="N59" s="320">
        <f t="shared" si="37"/>
        <v>7112.8823211477393</v>
      </c>
      <c r="O59" s="29">
        <v>356.0410785890378</v>
      </c>
      <c r="R59" s="326">
        <v>9240</v>
      </c>
      <c r="S59" s="327">
        <f t="shared" si="5"/>
        <v>0</v>
      </c>
      <c r="U59" s="327">
        <f t="shared" si="6"/>
        <v>0</v>
      </c>
      <c r="AG59" s="93" t="e">
        <f>#REF!</f>
        <v>#REF!</v>
      </c>
      <c r="AH59" s="93" t="e">
        <f t="shared" si="27"/>
        <v>#REF!</v>
      </c>
      <c r="AI59" s="97" t="e">
        <f t="shared" si="28"/>
        <v>#REF!</v>
      </c>
      <c r="AK59" s="28" t="e">
        <f t="shared" si="29"/>
        <v>#REF!</v>
      </c>
      <c r="AL59" s="29" t="e">
        <f>#REF!</f>
        <v>#REF!</v>
      </c>
      <c r="AM59" s="29" t="e">
        <f>#REF!</f>
        <v>#REF!</v>
      </c>
      <c r="AN59" s="29" t="e">
        <f>#REF!</f>
        <v>#REF!</v>
      </c>
      <c r="AO59" s="29" t="e">
        <f>#REF!</f>
        <v>#REF!</v>
      </c>
      <c r="AP59" s="29" t="e">
        <f>#REF!</f>
        <v>#REF!</v>
      </c>
      <c r="AQ59" s="29" t="e">
        <f>#REF!</f>
        <v>#REF!</v>
      </c>
    </row>
    <row r="60" spans="1:43" s="4" customFormat="1" ht="20.25" customHeight="1" outlineLevel="1">
      <c r="A60" s="9"/>
      <c r="B60" s="18" t="s">
        <v>116</v>
      </c>
      <c r="C60" s="361" t="s">
        <v>9</v>
      </c>
      <c r="D60" s="28">
        <f t="shared" si="26"/>
        <v>10183.257142857141</v>
      </c>
      <c r="E60" s="29">
        <v>954.35428279458267</v>
      </c>
      <c r="F60" s="29">
        <v>1316.0278431151253</v>
      </c>
      <c r="G60" s="49">
        <v>7234.1113653728935</v>
      </c>
      <c r="H60" s="29">
        <v>678.76365157453927</v>
      </c>
      <c r="I60" s="214"/>
      <c r="J60" s="214"/>
      <c r="K60" s="28">
        <v>10183.257142857141</v>
      </c>
      <c r="L60" s="29">
        <v>743.96344221252218</v>
      </c>
      <c r="M60" s="29">
        <v>1207.9119301010721</v>
      </c>
      <c r="N60" s="320">
        <f t="shared" si="37"/>
        <v>7838.9945566158003</v>
      </c>
      <c r="O60" s="29">
        <v>392.3872139277467</v>
      </c>
      <c r="R60" s="326">
        <v>10183.257142857141</v>
      </c>
      <c r="S60" s="327">
        <f t="shared" si="5"/>
        <v>0</v>
      </c>
      <c r="U60" s="327">
        <f t="shared" si="6"/>
        <v>0</v>
      </c>
      <c r="AG60" s="93" t="e">
        <f>#REF!</f>
        <v>#REF!</v>
      </c>
      <c r="AH60" s="93" t="e">
        <f t="shared" si="27"/>
        <v>#REF!</v>
      </c>
      <c r="AI60" s="97" t="e">
        <f t="shared" si="28"/>
        <v>#REF!</v>
      </c>
      <c r="AK60" s="28" t="e">
        <f t="shared" si="29"/>
        <v>#REF!</v>
      </c>
      <c r="AL60" s="29" t="e">
        <f>#REF!</f>
        <v>#REF!</v>
      </c>
      <c r="AM60" s="29" t="e">
        <f>#REF!</f>
        <v>#REF!</v>
      </c>
      <c r="AN60" s="29" t="e">
        <f>#REF!</f>
        <v>#REF!</v>
      </c>
      <c r="AO60" s="29" t="e">
        <f>#REF!</f>
        <v>#REF!</v>
      </c>
      <c r="AP60" s="29" t="e">
        <f>#REF!</f>
        <v>#REF!</v>
      </c>
      <c r="AQ60" s="29" t="e">
        <f>#REF!</f>
        <v>#REF!</v>
      </c>
    </row>
    <row r="61" spans="1:43" s="4" customFormat="1" ht="39" customHeight="1" outlineLevel="1">
      <c r="A61" s="9"/>
      <c r="B61" s="18" t="s">
        <v>152</v>
      </c>
      <c r="C61" s="361" t="s">
        <v>9</v>
      </c>
      <c r="D61" s="28">
        <f t="shared" si="26"/>
        <v>375.28928571428571</v>
      </c>
      <c r="E61" s="29">
        <v>35.171353534912186</v>
      </c>
      <c r="F61" s="29">
        <v>48.500312060686625</v>
      </c>
      <c r="G61" s="49">
        <v>266.60276265268379</v>
      </c>
      <c r="H61" s="29">
        <v>25.014857466003075</v>
      </c>
      <c r="I61" s="214"/>
      <c r="J61" s="214"/>
      <c r="K61" s="28">
        <v>375.28928571428565</v>
      </c>
      <c r="L61" s="29">
        <v>27.417701910956797</v>
      </c>
      <c r="M61" s="29">
        <v>44.515855692730497</v>
      </c>
      <c r="N61" s="320">
        <f t="shared" si="37"/>
        <v>288.89486208585555</v>
      </c>
      <c r="O61" s="29">
        <v>14.460866024742838</v>
      </c>
      <c r="R61" s="326">
        <v>375.28928571428565</v>
      </c>
      <c r="S61" s="327">
        <f t="shared" si="5"/>
        <v>0</v>
      </c>
      <c r="U61" s="327">
        <f t="shared" si="6"/>
        <v>0</v>
      </c>
      <c r="AG61" s="93" t="e">
        <f>#REF!</f>
        <v>#REF!</v>
      </c>
      <c r="AH61" s="93" t="e">
        <f t="shared" si="27"/>
        <v>#REF!</v>
      </c>
      <c r="AI61" s="97" t="e">
        <f t="shared" si="28"/>
        <v>#REF!</v>
      </c>
      <c r="AK61" s="28" t="e">
        <f t="shared" si="29"/>
        <v>#REF!</v>
      </c>
      <c r="AL61" s="29" t="e">
        <f>#REF!</f>
        <v>#REF!</v>
      </c>
      <c r="AM61" s="29" t="e">
        <f>#REF!</f>
        <v>#REF!</v>
      </c>
      <c r="AN61" s="29" t="e">
        <f>#REF!</f>
        <v>#REF!</v>
      </c>
      <c r="AO61" s="29" t="e">
        <f>#REF!</f>
        <v>#REF!</v>
      </c>
      <c r="AP61" s="29" t="e">
        <f>#REF!</f>
        <v>#REF!</v>
      </c>
      <c r="AQ61" s="29" t="e">
        <f>#REF!</f>
        <v>#REF!</v>
      </c>
    </row>
    <row r="62" spans="1:43" s="4" customFormat="1" ht="36" customHeight="1" outlineLevel="1">
      <c r="A62" s="63"/>
      <c r="B62" s="56" t="s">
        <v>126</v>
      </c>
      <c r="C62" s="364"/>
      <c r="D62" s="28">
        <f t="shared" si="26"/>
        <v>41712.393749999996</v>
      </c>
      <c r="E62" s="58">
        <v>3909.2012567756233</v>
      </c>
      <c r="F62" s="58">
        <v>5390.6791125751151</v>
      </c>
      <c r="G62" s="49">
        <v>29632.179318524104</v>
      </c>
      <c r="H62" s="58">
        <v>2780.3340621251541</v>
      </c>
      <c r="I62" s="214"/>
      <c r="J62" s="214"/>
      <c r="K62" s="28">
        <v>41712.393749999996</v>
      </c>
      <c r="L62" s="58">
        <v>3047.4037532226384</v>
      </c>
      <c r="M62" s="58">
        <v>4947.8175142655573</v>
      </c>
      <c r="N62" s="320">
        <f t="shared" si="37"/>
        <v>32109.886155533375</v>
      </c>
      <c r="O62" s="58">
        <v>1607.2863269784239</v>
      </c>
      <c r="R62" s="326">
        <v>41712.393749999996</v>
      </c>
      <c r="S62" s="327">
        <f t="shared" si="5"/>
        <v>0</v>
      </c>
      <c r="U62" s="327">
        <f t="shared" si="6"/>
        <v>0</v>
      </c>
      <c r="AG62" s="93" t="e">
        <f>#REF!</f>
        <v>#REF!</v>
      </c>
      <c r="AH62" s="93" t="e">
        <f t="shared" si="27"/>
        <v>#REF!</v>
      </c>
      <c r="AI62" s="97" t="e">
        <f t="shared" si="28"/>
        <v>#REF!</v>
      </c>
      <c r="AK62" s="28" t="e">
        <f t="shared" si="29"/>
        <v>#REF!</v>
      </c>
      <c r="AL62" s="29" t="e">
        <f>#REF!</f>
        <v>#REF!</v>
      </c>
      <c r="AM62" s="29" t="e">
        <f>#REF!</f>
        <v>#REF!</v>
      </c>
      <c r="AN62" s="29" t="e">
        <f>#REF!</f>
        <v>#REF!</v>
      </c>
      <c r="AO62" s="29" t="e">
        <f>#REF!</f>
        <v>#REF!</v>
      </c>
      <c r="AP62" s="29" t="e">
        <f>#REF!</f>
        <v>#REF!</v>
      </c>
      <c r="AQ62" s="29" t="e">
        <f>#REF!</f>
        <v>#REF!</v>
      </c>
    </row>
    <row r="63" spans="1:43" s="4" customFormat="1" ht="40.5" customHeight="1" outlineLevel="1">
      <c r="A63" s="63"/>
      <c r="B63" s="56" t="s">
        <v>153</v>
      </c>
      <c r="C63" s="364"/>
      <c r="D63" s="28">
        <f t="shared" si="26"/>
        <v>13507.419798999999</v>
      </c>
      <c r="E63" s="58">
        <v>1265.8880900127374</v>
      </c>
      <c r="F63" s="58">
        <v>1745.6242432802806</v>
      </c>
      <c r="G63" s="49">
        <v>9595.5721940448657</v>
      </c>
      <c r="H63" s="58">
        <v>900.33527166211616</v>
      </c>
      <c r="I63" s="214"/>
      <c r="J63" s="214"/>
      <c r="K63" s="28">
        <v>4157.7245149999999</v>
      </c>
      <c r="L63" s="58">
        <v>303.7530132606397</v>
      </c>
      <c r="M63" s="58">
        <v>493.17865328235376</v>
      </c>
      <c r="N63" s="320">
        <f t="shared" si="37"/>
        <v>3200.584978240915</v>
      </c>
      <c r="O63" s="58">
        <v>160.20787021609135</v>
      </c>
      <c r="R63" s="326">
        <v>4157.7245149999999</v>
      </c>
      <c r="S63" s="327">
        <f t="shared" si="5"/>
        <v>0</v>
      </c>
      <c r="U63" s="327">
        <f t="shared" si="6"/>
        <v>0</v>
      </c>
      <c r="AG63" s="93" t="e">
        <f>#REF!</f>
        <v>#REF!</v>
      </c>
      <c r="AH63" s="93" t="e">
        <f t="shared" si="27"/>
        <v>#REF!</v>
      </c>
      <c r="AI63" s="97" t="e">
        <f t="shared" si="28"/>
        <v>#REF!</v>
      </c>
      <c r="AK63" s="28" t="e">
        <f t="shared" si="29"/>
        <v>#REF!</v>
      </c>
      <c r="AL63" s="29" t="e">
        <f>#REF!</f>
        <v>#REF!</v>
      </c>
      <c r="AM63" s="29" t="e">
        <f>#REF!</f>
        <v>#REF!</v>
      </c>
      <c r="AN63" s="29" t="e">
        <f>#REF!</f>
        <v>#REF!</v>
      </c>
      <c r="AO63" s="29" t="e">
        <f>#REF!</f>
        <v>#REF!</v>
      </c>
      <c r="AP63" s="29" t="e">
        <f>#REF!</f>
        <v>#REF!</v>
      </c>
      <c r="AQ63" s="29" t="e">
        <f>#REF!</f>
        <v>#REF!</v>
      </c>
    </row>
    <row r="64" spans="1:43" s="4" customFormat="1" hidden="1" outlineLevel="1">
      <c r="A64" s="63"/>
      <c r="B64" s="56" t="s">
        <v>118</v>
      </c>
      <c r="C64" s="364"/>
      <c r="D64" s="28">
        <f t="shared" si="26"/>
        <v>0</v>
      </c>
      <c r="E64" s="58">
        <v>0</v>
      </c>
      <c r="F64" s="58">
        <v>0</v>
      </c>
      <c r="G64" s="49">
        <v>0</v>
      </c>
      <c r="H64" s="58">
        <v>0</v>
      </c>
      <c r="I64" s="214"/>
      <c r="J64" s="214"/>
      <c r="K64" s="28">
        <v>0</v>
      </c>
      <c r="L64" s="58">
        <v>0</v>
      </c>
      <c r="M64" s="58">
        <v>0</v>
      </c>
      <c r="N64" s="58">
        <v>0</v>
      </c>
      <c r="O64" s="58">
        <v>0</v>
      </c>
      <c r="R64" s="326">
        <v>0</v>
      </c>
      <c r="S64" s="327">
        <f t="shared" si="5"/>
        <v>0</v>
      </c>
      <c r="U64" s="327">
        <f t="shared" si="6"/>
        <v>0</v>
      </c>
      <c r="AG64" s="93" t="e">
        <f>#REF!</f>
        <v>#REF!</v>
      </c>
      <c r="AH64" s="93" t="e">
        <f t="shared" si="27"/>
        <v>#REF!</v>
      </c>
      <c r="AI64" s="97" t="e">
        <f t="shared" si="28"/>
        <v>#REF!</v>
      </c>
      <c r="AK64" s="28" t="e">
        <f t="shared" si="29"/>
        <v>#REF!</v>
      </c>
      <c r="AL64" s="29" t="e">
        <f>#REF!</f>
        <v>#REF!</v>
      </c>
      <c r="AM64" s="29" t="e">
        <f>#REF!</f>
        <v>#REF!</v>
      </c>
      <c r="AN64" s="29" t="e">
        <f>#REF!</f>
        <v>#REF!</v>
      </c>
      <c r="AO64" s="29" t="e">
        <f>#REF!</f>
        <v>#REF!</v>
      </c>
      <c r="AP64" s="29" t="e">
        <f>#REF!</f>
        <v>#REF!</v>
      </c>
      <c r="AQ64" s="29" t="e">
        <f>#REF!</f>
        <v>#REF!</v>
      </c>
    </row>
    <row r="65" spans="1:43" s="4" customFormat="1" ht="27.75" customHeight="1" outlineLevel="1">
      <c r="A65" s="63"/>
      <c r="B65" s="56" t="s">
        <v>93</v>
      </c>
      <c r="C65" s="364"/>
      <c r="D65" s="28">
        <f t="shared" si="26"/>
        <v>2880.9999999999995</v>
      </c>
      <c r="E65" s="58">
        <v>270.00149855390572</v>
      </c>
      <c r="F65" s="58">
        <v>372.3245090274616</v>
      </c>
      <c r="G65" s="49">
        <v>2046.6413202830859</v>
      </c>
      <c r="H65" s="58">
        <v>192.03267213554651</v>
      </c>
      <c r="I65" s="214"/>
      <c r="J65" s="214"/>
      <c r="K65" s="28">
        <v>2880.9999999999995</v>
      </c>
      <c r="L65" s="58">
        <v>210.47869526870346</v>
      </c>
      <c r="M65" s="58">
        <v>341.73685509475393</v>
      </c>
      <c r="N65" s="320">
        <f>K65-L65-M65-O65</f>
        <v>2217.7720743751765</v>
      </c>
      <c r="O65" s="58">
        <v>111.01237526136555</v>
      </c>
      <c r="R65" s="326">
        <v>2880.9999999999995</v>
      </c>
      <c r="S65" s="327">
        <f t="shared" si="5"/>
        <v>0</v>
      </c>
      <c r="U65" s="327">
        <f t="shared" si="6"/>
        <v>0</v>
      </c>
      <c r="AG65" s="93" t="e">
        <f>#REF!</f>
        <v>#REF!</v>
      </c>
      <c r="AH65" s="93" t="e">
        <f t="shared" si="27"/>
        <v>#REF!</v>
      </c>
      <c r="AI65" s="97" t="e">
        <f t="shared" si="28"/>
        <v>#REF!</v>
      </c>
      <c r="AK65" s="28" t="e">
        <f t="shared" si="29"/>
        <v>#REF!</v>
      </c>
      <c r="AL65" s="29" t="e">
        <f>#REF!</f>
        <v>#REF!</v>
      </c>
      <c r="AM65" s="29" t="e">
        <f>#REF!</f>
        <v>#REF!</v>
      </c>
      <c r="AN65" s="29" t="e">
        <f>#REF!</f>
        <v>#REF!</v>
      </c>
      <c r="AO65" s="29" t="e">
        <f>#REF!</f>
        <v>#REF!</v>
      </c>
      <c r="AP65" s="29" t="e">
        <f>#REF!</f>
        <v>#REF!</v>
      </c>
      <c r="AQ65" s="29" t="e">
        <f>#REF!</f>
        <v>#REF!</v>
      </c>
    </row>
    <row r="66" spans="1:43" s="4" customFormat="1" outlineLevel="1">
      <c r="A66" s="63"/>
      <c r="B66" s="56" t="s">
        <v>154</v>
      </c>
      <c r="C66" s="364"/>
      <c r="D66" s="28">
        <f t="shared" si="26"/>
        <v>1284</v>
      </c>
      <c r="E66" s="58"/>
      <c r="F66" s="58"/>
      <c r="G66" s="49">
        <v>1284</v>
      </c>
      <c r="H66" s="58"/>
      <c r="I66" s="214"/>
      <c r="J66" s="214"/>
      <c r="K66" s="28">
        <v>1284</v>
      </c>
      <c r="L66" s="58"/>
      <c r="M66" s="58"/>
      <c r="N66" s="320">
        <f>K66-L66-M66-O66</f>
        <v>1284</v>
      </c>
      <c r="O66" s="58"/>
      <c r="R66" s="326">
        <v>1284</v>
      </c>
      <c r="S66" s="327">
        <f t="shared" si="5"/>
        <v>0</v>
      </c>
      <c r="U66" s="327">
        <f t="shared" si="6"/>
        <v>0</v>
      </c>
      <c r="AG66" s="93" t="e">
        <f>#REF!</f>
        <v>#REF!</v>
      </c>
      <c r="AH66" s="93" t="e">
        <f t="shared" si="27"/>
        <v>#REF!</v>
      </c>
      <c r="AI66" s="97" t="e">
        <f t="shared" si="28"/>
        <v>#REF!</v>
      </c>
      <c r="AK66" s="28" t="e">
        <f t="shared" si="29"/>
        <v>#REF!</v>
      </c>
      <c r="AL66" s="29" t="e">
        <f>#REF!</f>
        <v>#REF!</v>
      </c>
      <c r="AM66" s="29" t="e">
        <f>#REF!</f>
        <v>#REF!</v>
      </c>
      <c r="AN66" s="29" t="e">
        <f>#REF!</f>
        <v>#REF!</v>
      </c>
      <c r="AO66" s="29" t="e">
        <f>#REF!</f>
        <v>#REF!</v>
      </c>
      <c r="AP66" s="29" t="e">
        <f>#REF!</f>
        <v>#REF!</v>
      </c>
      <c r="AQ66" s="29" t="e">
        <f>#REF!</f>
        <v>#REF!</v>
      </c>
    </row>
    <row r="67" spans="1:43" s="4" customFormat="1" outlineLevel="1">
      <c r="A67" s="63"/>
      <c r="B67" s="56" t="s">
        <v>127</v>
      </c>
      <c r="C67" s="364"/>
      <c r="D67" s="28">
        <f t="shared" si="26"/>
        <v>195561.80357142852</v>
      </c>
      <c r="E67" s="58"/>
      <c r="F67" s="58"/>
      <c r="G67" s="49">
        <v>195561.80357142852</v>
      </c>
      <c r="H67" s="58"/>
      <c r="I67" s="214"/>
      <c r="J67" s="214"/>
      <c r="K67" s="28">
        <v>219574.22142857141</v>
      </c>
      <c r="L67" s="58"/>
      <c r="M67" s="58"/>
      <c r="N67" s="320">
        <f>K67-L67-M67-O67</f>
        <v>219574.22142857141</v>
      </c>
      <c r="O67" s="58"/>
      <c r="R67" s="326">
        <v>219574.22142857141</v>
      </c>
      <c r="S67" s="327">
        <f t="shared" si="5"/>
        <v>0</v>
      </c>
      <c r="U67" s="327">
        <f t="shared" si="6"/>
        <v>0</v>
      </c>
      <c r="AG67" s="93" t="e">
        <f>#REF!</f>
        <v>#REF!</v>
      </c>
      <c r="AH67" s="93" t="e">
        <f t="shared" si="27"/>
        <v>#REF!</v>
      </c>
      <c r="AI67" s="97" t="e">
        <f t="shared" si="28"/>
        <v>#REF!</v>
      </c>
      <c r="AK67" s="28" t="e">
        <f t="shared" si="29"/>
        <v>#REF!</v>
      </c>
      <c r="AL67" s="29" t="e">
        <f>#REF!</f>
        <v>#REF!</v>
      </c>
      <c r="AM67" s="29" t="e">
        <f>#REF!</f>
        <v>#REF!</v>
      </c>
      <c r="AN67" s="29" t="e">
        <f>#REF!</f>
        <v>#REF!</v>
      </c>
      <c r="AO67" s="29" t="e">
        <f>#REF!</f>
        <v>#REF!</v>
      </c>
      <c r="AP67" s="29" t="e">
        <f>#REF!</f>
        <v>#REF!</v>
      </c>
      <c r="AQ67" s="29" t="e">
        <f>#REF!</f>
        <v>#REF!</v>
      </c>
    </row>
    <row r="68" spans="1:43" s="4" customFormat="1" ht="44.25" customHeight="1">
      <c r="A68" s="79" t="s">
        <v>41</v>
      </c>
      <c r="B68" s="12" t="s">
        <v>108</v>
      </c>
      <c r="C68" s="361" t="s">
        <v>9</v>
      </c>
      <c r="D68" s="25">
        <f t="shared" si="26"/>
        <v>24630.262846479996</v>
      </c>
      <c r="E68" s="33">
        <f t="shared" ref="E68:H68" si="39">E69</f>
        <v>2308.298465229499</v>
      </c>
      <c r="F68" s="33">
        <f t="shared" si="39"/>
        <v>3183.0789731110704</v>
      </c>
      <c r="G68" s="33">
        <f t="shared" si="39"/>
        <v>17497.158511294434</v>
      </c>
      <c r="H68" s="33">
        <f t="shared" si="39"/>
        <v>1641.7268968449932</v>
      </c>
      <c r="K68" s="25">
        <f t="shared" si="31"/>
        <v>24630.262846479996</v>
      </c>
      <c r="L68" s="33">
        <f t="shared" ref="L68:O68" si="40">L69</f>
        <v>1799.4257507991438</v>
      </c>
      <c r="M68" s="33">
        <f t="shared" si="40"/>
        <v>2921.5788147564167</v>
      </c>
      <c r="N68" s="33">
        <f t="shared" si="40"/>
        <v>18960.190602375493</v>
      </c>
      <c r="O68" s="33">
        <f t="shared" si="40"/>
        <v>949.06767854894395</v>
      </c>
      <c r="R68" s="326">
        <v>24630.262846479996</v>
      </c>
      <c r="S68" s="327">
        <f t="shared" si="5"/>
        <v>0</v>
      </c>
      <c r="U68" s="327">
        <f t="shared" si="6"/>
        <v>0</v>
      </c>
      <c r="AG68" s="92" t="e">
        <f>AG69</f>
        <v>#REF!</v>
      </c>
      <c r="AH68" s="92" t="e">
        <f t="shared" si="27"/>
        <v>#REF!</v>
      </c>
      <c r="AI68" s="97" t="e">
        <f t="shared" si="28"/>
        <v>#REF!</v>
      </c>
      <c r="AK68" s="25" t="e">
        <f t="shared" si="29"/>
        <v>#REF!</v>
      </c>
      <c r="AL68" s="33" t="e">
        <f t="shared" ref="AL68:AQ68" si="41">AL69</f>
        <v>#REF!</v>
      </c>
      <c r="AM68" s="33" t="e">
        <f t="shared" si="41"/>
        <v>#REF!</v>
      </c>
      <c r="AN68" s="33" t="e">
        <f t="shared" si="41"/>
        <v>#REF!</v>
      </c>
      <c r="AO68" s="33" t="e">
        <f>AO69</f>
        <v>#REF!</v>
      </c>
      <c r="AP68" s="33" t="e">
        <f t="shared" si="41"/>
        <v>#REF!</v>
      </c>
      <c r="AQ68" s="33" t="e">
        <f t="shared" si="41"/>
        <v>#REF!</v>
      </c>
    </row>
    <row r="69" spans="1:43" s="4" customFormat="1" ht="25.5" customHeight="1" outlineLevel="1">
      <c r="A69" s="13"/>
      <c r="B69" s="18" t="s">
        <v>168</v>
      </c>
      <c r="C69" s="361" t="s">
        <v>9</v>
      </c>
      <c r="D69" s="28">
        <f t="shared" si="26"/>
        <v>24630.262846479996</v>
      </c>
      <c r="E69" s="29">
        <v>2308.298465229499</v>
      </c>
      <c r="F69" s="29">
        <v>3183.0789731110704</v>
      </c>
      <c r="G69" s="49">
        <v>17497.158511294434</v>
      </c>
      <c r="H69" s="29">
        <v>1641.7268968449932</v>
      </c>
      <c r="I69" s="214"/>
      <c r="J69" s="214"/>
      <c r="K69" s="28">
        <v>24630.262846479996</v>
      </c>
      <c r="L69" s="29">
        <v>1799.4257507991438</v>
      </c>
      <c r="M69" s="29">
        <v>2921.5788147564167</v>
      </c>
      <c r="N69" s="320">
        <f>K69-L69-M69-O69</f>
        <v>18960.190602375493</v>
      </c>
      <c r="O69" s="29">
        <v>949.06767854894395</v>
      </c>
      <c r="R69" s="326">
        <v>24630.262846479996</v>
      </c>
      <c r="S69" s="327">
        <f t="shared" si="5"/>
        <v>0</v>
      </c>
      <c r="U69" s="327">
        <f t="shared" si="6"/>
        <v>0</v>
      </c>
      <c r="AG69" s="93" t="e">
        <f>#REF!</f>
        <v>#REF!</v>
      </c>
      <c r="AH69" s="93" t="e">
        <f t="shared" si="27"/>
        <v>#REF!</v>
      </c>
      <c r="AI69" s="97" t="e">
        <f t="shared" si="28"/>
        <v>#REF!</v>
      </c>
      <c r="AK69" s="28" t="e">
        <f t="shared" si="29"/>
        <v>#REF!</v>
      </c>
      <c r="AL69" s="29" t="e">
        <f>#REF!</f>
        <v>#REF!</v>
      </c>
      <c r="AM69" s="29" t="e">
        <f>#REF!</f>
        <v>#REF!</v>
      </c>
      <c r="AN69" s="29" t="e">
        <f>#REF!</f>
        <v>#REF!</v>
      </c>
      <c r="AO69" s="29" t="e">
        <f>#REF!</f>
        <v>#REF!</v>
      </c>
      <c r="AP69" s="29" t="e">
        <f>#REF!</f>
        <v>#REF!</v>
      </c>
      <c r="AQ69" s="29" t="e">
        <f>#REF!</f>
        <v>#REF!</v>
      </c>
    </row>
    <row r="70" spans="1:43" s="4" customFormat="1" ht="25.5" customHeight="1" outlineLevel="1">
      <c r="A70" s="362" t="s">
        <v>43</v>
      </c>
      <c r="B70" s="65" t="s">
        <v>160</v>
      </c>
      <c r="C70" s="364"/>
      <c r="D70" s="25">
        <f t="shared" si="26"/>
        <v>5755.7888171200002</v>
      </c>
      <c r="E70" s="61">
        <f>SUM(E71:E74)</f>
        <v>567.51610114249934</v>
      </c>
      <c r="F70" s="61">
        <f t="shared" ref="F70:H70" si="42">SUM(F71:F74)</f>
        <v>789.22704102149214</v>
      </c>
      <c r="G70" s="61">
        <f t="shared" si="42"/>
        <v>3956.4709385695528</v>
      </c>
      <c r="H70" s="61">
        <f t="shared" si="42"/>
        <v>442.57473638645547</v>
      </c>
      <c r="K70" s="25">
        <f t="shared" si="31"/>
        <v>5755.7888171200002</v>
      </c>
      <c r="L70" s="61">
        <f>SUM(L71:L74)</f>
        <v>452.82006774319626</v>
      </c>
      <c r="M70" s="61">
        <f t="shared" ref="M70:O70" si="43">SUM(M71:M74)</f>
        <v>730.28689735483226</v>
      </c>
      <c r="N70" s="61">
        <f t="shared" si="43"/>
        <v>4286.2272269779996</v>
      </c>
      <c r="O70" s="61">
        <f t="shared" si="43"/>
        <v>286.45462504397187</v>
      </c>
      <c r="R70" s="326">
        <v>5755.7888171200002</v>
      </c>
      <c r="S70" s="327">
        <f t="shared" si="5"/>
        <v>0</v>
      </c>
      <c r="U70" s="327">
        <f t="shared" si="6"/>
        <v>0</v>
      </c>
      <c r="AG70" s="92" t="e">
        <f>SUM(AG71:AG74)</f>
        <v>#REF!</v>
      </c>
      <c r="AH70" s="92" t="e">
        <f t="shared" si="27"/>
        <v>#REF!</v>
      </c>
      <c r="AI70" s="97" t="e">
        <f t="shared" si="28"/>
        <v>#REF!</v>
      </c>
      <c r="AK70" s="25" t="e">
        <f t="shared" si="29"/>
        <v>#REF!</v>
      </c>
      <c r="AL70" s="61" t="e">
        <f>SUM(AL71:AL74)</f>
        <v>#REF!</v>
      </c>
      <c r="AM70" s="61" t="e">
        <f t="shared" ref="AM70:AQ70" si="44">SUM(AM71:AM74)</f>
        <v>#REF!</v>
      </c>
      <c r="AN70" s="61" t="e">
        <f t="shared" si="44"/>
        <v>#REF!</v>
      </c>
      <c r="AO70" s="61" t="e">
        <f t="shared" si="44"/>
        <v>#REF!</v>
      </c>
      <c r="AP70" s="61" t="e">
        <f t="shared" si="44"/>
        <v>#REF!</v>
      </c>
      <c r="AQ70" s="61" t="e">
        <f t="shared" si="44"/>
        <v>#REF!</v>
      </c>
    </row>
    <row r="71" spans="1:43" s="4" customFormat="1" ht="56.25" customHeight="1" outlineLevel="1">
      <c r="A71" s="362"/>
      <c r="B71" s="56" t="s">
        <v>90</v>
      </c>
      <c r="C71" s="364"/>
      <c r="D71" s="28">
        <f t="shared" si="26"/>
        <v>228.50450973599996</v>
      </c>
      <c r="E71" s="58">
        <v>36.081415530352459</v>
      </c>
      <c r="F71" s="58">
        <v>52.545424106373261</v>
      </c>
      <c r="G71" s="49">
        <v>128.33851873757945</v>
      </c>
      <c r="H71" s="58">
        <v>11.539151361694788</v>
      </c>
      <c r="I71" s="214"/>
      <c r="J71" s="214"/>
      <c r="K71" s="28">
        <v>228.50450973599993</v>
      </c>
      <c r="L71" s="58">
        <v>32.504718768587239</v>
      </c>
      <c r="M71" s="58">
        <v>50.707426620822901</v>
      </c>
      <c r="N71" s="320">
        <f>K71-L71-M71-O71</f>
        <v>138.6216838477111</v>
      </c>
      <c r="O71" s="58">
        <v>6.6706804988787098</v>
      </c>
      <c r="R71" s="326">
        <v>228.50450973599993</v>
      </c>
      <c r="S71" s="327">
        <f t="shared" si="5"/>
        <v>0</v>
      </c>
      <c r="U71" s="327">
        <f t="shared" si="6"/>
        <v>0</v>
      </c>
      <c r="AG71" s="93" t="e">
        <f>#REF!</f>
        <v>#REF!</v>
      </c>
      <c r="AH71" s="93" t="e">
        <f t="shared" si="27"/>
        <v>#REF!</v>
      </c>
      <c r="AI71" s="97" t="e">
        <f t="shared" si="28"/>
        <v>#REF!</v>
      </c>
      <c r="AK71" s="28" t="e">
        <f t="shared" si="29"/>
        <v>#REF!</v>
      </c>
      <c r="AL71" s="58" t="e">
        <f>#REF!</f>
        <v>#REF!</v>
      </c>
      <c r="AM71" s="58" t="e">
        <f>#REF!</f>
        <v>#REF!</v>
      </c>
      <c r="AN71" s="58" t="e">
        <f>#REF!</f>
        <v>#REF!</v>
      </c>
      <c r="AO71" s="58" t="e">
        <f>#REF!</f>
        <v>#REF!</v>
      </c>
      <c r="AP71" s="58" t="e">
        <f>#REF!</f>
        <v>#REF!</v>
      </c>
      <c r="AQ71" s="58" t="e">
        <f>#REF!</f>
        <v>#REF!</v>
      </c>
    </row>
    <row r="72" spans="1:43" s="4" customFormat="1" ht="55.5" customHeight="1" outlineLevel="1">
      <c r="A72" s="362"/>
      <c r="B72" s="56" t="s">
        <v>105</v>
      </c>
      <c r="C72" s="364"/>
      <c r="D72" s="28">
        <f t="shared" si="26"/>
        <v>148.92859858399999</v>
      </c>
      <c r="E72" s="58">
        <v>27.386056270961983</v>
      </c>
      <c r="F72" s="58">
        <v>41.612665629452472</v>
      </c>
      <c r="G72" s="49">
        <v>7.3878766835855387</v>
      </c>
      <c r="H72" s="58">
        <v>72.542000000000002</v>
      </c>
      <c r="I72" s="214"/>
      <c r="J72" s="214"/>
      <c r="K72" s="28">
        <v>148.92859858399999</v>
      </c>
      <c r="L72" s="58">
        <v>27.386056270961983</v>
      </c>
      <c r="M72" s="58">
        <v>41.612665629452472</v>
      </c>
      <c r="N72" s="320">
        <f>K72-L72-M72-O72</f>
        <v>7.3878766835855174</v>
      </c>
      <c r="O72" s="58">
        <v>72.542000000000002</v>
      </c>
      <c r="R72" s="326">
        <v>148.92859858399999</v>
      </c>
      <c r="S72" s="327">
        <f t="shared" ref="S72:S135" si="45">K72-R72</f>
        <v>0</v>
      </c>
      <c r="U72" s="327">
        <f t="shared" ref="U72:U135" si="46">K72-(L72+M72+N72+O72)</f>
        <v>0</v>
      </c>
      <c r="AG72" s="93" t="e">
        <f>#REF!</f>
        <v>#REF!</v>
      </c>
      <c r="AH72" s="93" t="e">
        <f t="shared" si="27"/>
        <v>#REF!</v>
      </c>
      <c r="AI72" s="97" t="e">
        <f t="shared" si="28"/>
        <v>#REF!</v>
      </c>
      <c r="AK72" s="28" t="e">
        <f t="shared" si="29"/>
        <v>#REF!</v>
      </c>
      <c r="AL72" s="58" t="e">
        <f>#REF!</f>
        <v>#REF!</v>
      </c>
      <c r="AM72" s="58" t="e">
        <f>#REF!</f>
        <v>#REF!</v>
      </c>
      <c r="AN72" s="58" t="e">
        <f>#REF!</f>
        <v>#REF!</v>
      </c>
      <c r="AO72" s="58" t="e">
        <f>#REF!</f>
        <v>#REF!</v>
      </c>
      <c r="AP72" s="58" t="e">
        <f>#REF!</f>
        <v>#REF!</v>
      </c>
      <c r="AQ72" s="58" t="e">
        <f>#REF!</f>
        <v>#REF!</v>
      </c>
    </row>
    <row r="73" spans="1:43" s="4" customFormat="1" outlineLevel="1">
      <c r="A73" s="362"/>
      <c r="B73" s="56" t="s">
        <v>91</v>
      </c>
      <c r="C73" s="364"/>
      <c r="D73" s="28">
        <f t="shared" si="26"/>
        <v>4257.4697088000003</v>
      </c>
      <c r="E73" s="58">
        <v>399.00145832136781</v>
      </c>
      <c r="F73" s="58">
        <v>550.21184277273505</v>
      </c>
      <c r="G73" s="49">
        <v>3024.4753300533421</v>
      </c>
      <c r="H73" s="58">
        <v>283.7810776525551</v>
      </c>
      <c r="I73" s="214"/>
      <c r="J73" s="214"/>
      <c r="K73" s="28">
        <v>4257.4697088000003</v>
      </c>
      <c r="L73" s="58">
        <v>311.04014906430098</v>
      </c>
      <c r="M73" s="58">
        <v>505.01017318517529</v>
      </c>
      <c r="N73" s="320">
        <f>K73-L73-M73-O73</f>
        <v>3277.3680762495164</v>
      </c>
      <c r="O73" s="58">
        <v>164.05131030100745</v>
      </c>
      <c r="R73" s="326">
        <v>4257.4697088000003</v>
      </c>
      <c r="S73" s="327">
        <f t="shared" si="45"/>
        <v>0</v>
      </c>
      <c r="U73" s="327">
        <f t="shared" si="46"/>
        <v>0</v>
      </c>
      <c r="AG73" s="93" t="e">
        <f>#REF!</f>
        <v>#REF!</v>
      </c>
      <c r="AH73" s="93" t="e">
        <f t="shared" si="27"/>
        <v>#REF!</v>
      </c>
      <c r="AI73" s="97" t="e">
        <f t="shared" si="28"/>
        <v>#REF!</v>
      </c>
      <c r="AK73" s="28" t="e">
        <f t="shared" si="29"/>
        <v>#REF!</v>
      </c>
      <c r="AL73" s="58" t="e">
        <f>#REF!</f>
        <v>#REF!</v>
      </c>
      <c r="AM73" s="58" t="e">
        <f>#REF!</f>
        <v>#REF!</v>
      </c>
      <c r="AN73" s="58" t="e">
        <f>#REF!</f>
        <v>#REF!</v>
      </c>
      <c r="AO73" s="58" t="e">
        <f>#REF!</f>
        <v>#REF!</v>
      </c>
      <c r="AP73" s="58" t="e">
        <f>#REF!</f>
        <v>#REF!</v>
      </c>
      <c r="AQ73" s="58" t="e">
        <f>#REF!</f>
        <v>#REF!</v>
      </c>
    </row>
    <row r="74" spans="1:43" s="4" customFormat="1" ht="23.25" customHeight="1" outlineLevel="1">
      <c r="A74" s="362"/>
      <c r="B74" s="56" t="s">
        <v>129</v>
      </c>
      <c r="C74" s="364"/>
      <c r="D74" s="28">
        <f t="shared" si="26"/>
        <v>1120.886</v>
      </c>
      <c r="E74" s="58">
        <v>105.04717101981713</v>
      </c>
      <c r="F74" s="58">
        <v>144.85710851293135</v>
      </c>
      <c r="G74" s="49">
        <v>796.26921309504587</v>
      </c>
      <c r="H74" s="58">
        <v>74.71250737220555</v>
      </c>
      <c r="I74" s="214"/>
      <c r="J74" s="214"/>
      <c r="K74" s="28">
        <v>1120.886</v>
      </c>
      <c r="L74" s="58">
        <v>81.889143639346059</v>
      </c>
      <c r="M74" s="58">
        <v>132.95663191938161</v>
      </c>
      <c r="N74" s="320">
        <f>K74-L74-M74-O74</f>
        <v>862.84959019718667</v>
      </c>
      <c r="O74" s="58">
        <v>43.190634244085736</v>
      </c>
      <c r="R74" s="326">
        <v>1120.886</v>
      </c>
      <c r="S74" s="327">
        <f t="shared" si="45"/>
        <v>0</v>
      </c>
      <c r="U74" s="327">
        <f t="shared" si="46"/>
        <v>0</v>
      </c>
      <c r="AG74" s="93" t="e">
        <f>#REF!</f>
        <v>#REF!</v>
      </c>
      <c r="AH74" s="93" t="e">
        <f t="shared" si="27"/>
        <v>#REF!</v>
      </c>
      <c r="AI74" s="97" t="e">
        <f t="shared" si="28"/>
        <v>#REF!</v>
      </c>
      <c r="AK74" s="28" t="e">
        <f t="shared" si="29"/>
        <v>#REF!</v>
      </c>
      <c r="AL74" s="58" t="e">
        <f>#REF!</f>
        <v>#REF!</v>
      </c>
      <c r="AM74" s="58" t="e">
        <f>#REF!</f>
        <v>#REF!</v>
      </c>
      <c r="AN74" s="58" t="e">
        <f>#REF!</f>
        <v>#REF!</v>
      </c>
      <c r="AO74" s="58" t="e">
        <f>#REF!</f>
        <v>#REF!</v>
      </c>
      <c r="AP74" s="58" t="e">
        <f>#REF!</f>
        <v>#REF!</v>
      </c>
      <c r="AQ74" s="58" t="e">
        <f>#REF!</f>
        <v>#REF!</v>
      </c>
    </row>
    <row r="75" spans="1:43" s="4" customFormat="1" ht="30" customHeight="1">
      <c r="A75" s="13" t="s">
        <v>159</v>
      </c>
      <c r="B75" s="12" t="s">
        <v>44</v>
      </c>
      <c r="C75" s="361" t="s">
        <v>9</v>
      </c>
      <c r="D75" s="25">
        <f t="shared" ref="D75:H75" si="47">SUM(D76:D89)</f>
        <v>42918.220302243899</v>
      </c>
      <c r="E75" s="25">
        <f t="shared" si="47"/>
        <v>4028.4018268738014</v>
      </c>
      <c r="F75" s="25">
        <f t="shared" si="47"/>
        <v>5556.2315158095189</v>
      </c>
      <c r="G75" s="25">
        <f t="shared" si="47"/>
        <v>30474.437555740558</v>
      </c>
      <c r="H75" s="25">
        <f t="shared" si="47"/>
        <v>2859.1494038200231</v>
      </c>
      <c r="K75" s="25">
        <f t="shared" ref="K75:O75" si="48">SUM(K76:K89)</f>
        <v>41341.827302243895</v>
      </c>
      <c r="L75" s="25">
        <f t="shared" si="48"/>
        <v>3027.0072215393811</v>
      </c>
      <c r="M75" s="25">
        <f t="shared" si="48"/>
        <v>4913.8282189008278</v>
      </c>
      <c r="N75" s="25">
        <f t="shared" si="48"/>
        <v>31808.885584751235</v>
      </c>
      <c r="O75" s="25">
        <f t="shared" si="48"/>
        <v>1592.1062770524541</v>
      </c>
      <c r="R75" s="326">
        <v>41341.827302243895</v>
      </c>
      <c r="S75" s="327">
        <f t="shared" si="45"/>
        <v>0</v>
      </c>
      <c r="U75" s="327">
        <f t="shared" si="46"/>
        <v>0</v>
      </c>
      <c r="AG75" s="92" t="e">
        <f>SUM(AG76:AG89)</f>
        <v>#REF!</v>
      </c>
      <c r="AH75" s="92" t="e">
        <f t="shared" si="27"/>
        <v>#REF!</v>
      </c>
      <c r="AI75" s="97" t="e">
        <f t="shared" si="28"/>
        <v>#REF!</v>
      </c>
      <c r="AK75" s="25" t="e">
        <f t="shared" ref="AK75:AQ75" si="49">SUM(AK76:AK89)</f>
        <v>#REF!</v>
      </c>
      <c r="AL75" s="25" t="e">
        <f t="shared" si="49"/>
        <v>#REF!</v>
      </c>
      <c r="AM75" s="25" t="e">
        <f t="shared" si="49"/>
        <v>#REF!</v>
      </c>
      <c r="AN75" s="25" t="e">
        <f t="shared" si="49"/>
        <v>#REF!</v>
      </c>
      <c r="AO75" s="25" t="e">
        <f t="shared" si="49"/>
        <v>#REF!</v>
      </c>
      <c r="AP75" s="25" t="e">
        <f t="shared" si="49"/>
        <v>#REF!</v>
      </c>
      <c r="AQ75" s="25" t="e">
        <f t="shared" si="49"/>
        <v>#REF!</v>
      </c>
    </row>
    <row r="76" spans="1:43" s="4" customFormat="1" ht="39" customHeight="1">
      <c r="A76" s="13"/>
      <c r="B76" s="18" t="s">
        <v>182</v>
      </c>
      <c r="C76" s="361" t="s">
        <v>9</v>
      </c>
      <c r="D76" s="28">
        <f t="shared" ref="D76:D93" si="50">SUM(E76:H76)</f>
        <v>1946.9999999999998</v>
      </c>
      <c r="E76" s="28">
        <v>182.46890582591269</v>
      </c>
      <c r="F76" s="28">
        <v>251.61951373705924</v>
      </c>
      <c r="G76" s="49">
        <v>1383.1345541795099</v>
      </c>
      <c r="H76" s="50">
        <v>129.77702625751789</v>
      </c>
      <c r="I76" s="214"/>
      <c r="J76" s="214"/>
      <c r="K76" s="28">
        <v>1947.0000000000002</v>
      </c>
      <c r="L76" s="28">
        <v>142.24297802435467</v>
      </c>
      <c r="M76" s="28">
        <v>230.94816274539605</v>
      </c>
      <c r="N76" s="320">
        <f t="shared" ref="N76:N89" si="51">K76-L76-M76-O76</f>
        <v>1498.7859176704164</v>
      </c>
      <c r="O76" s="28">
        <v>75.022941559832972</v>
      </c>
      <c r="R76" s="326">
        <v>1947.0000000000002</v>
      </c>
      <c r="S76" s="327">
        <f t="shared" si="45"/>
        <v>0</v>
      </c>
      <c r="U76" s="327">
        <f t="shared" si="46"/>
        <v>0</v>
      </c>
      <c r="AG76" s="93" t="e">
        <f>#REF!</f>
        <v>#REF!</v>
      </c>
      <c r="AH76" s="93" t="e">
        <f t="shared" si="27"/>
        <v>#REF!</v>
      </c>
      <c r="AI76" s="97" t="e">
        <f t="shared" si="28"/>
        <v>#REF!</v>
      </c>
      <c r="AK76" s="28" t="e">
        <f t="shared" si="29"/>
        <v>#REF!</v>
      </c>
      <c r="AL76" s="28" t="e">
        <f>#REF!</f>
        <v>#REF!</v>
      </c>
      <c r="AM76" s="28" t="e">
        <f>#REF!</f>
        <v>#REF!</v>
      </c>
      <c r="AN76" s="28" t="e">
        <f>#REF!</f>
        <v>#REF!</v>
      </c>
      <c r="AO76" s="28" t="e">
        <f>#REF!</f>
        <v>#REF!</v>
      </c>
      <c r="AP76" s="28" t="e">
        <f>#REF!</f>
        <v>#REF!</v>
      </c>
      <c r="AQ76" s="28" t="e">
        <f>#REF!</f>
        <v>#REF!</v>
      </c>
    </row>
    <row r="77" spans="1:43" s="4" customFormat="1" ht="37.5" customHeight="1">
      <c r="A77" s="13"/>
      <c r="B77" s="18" t="s">
        <v>104</v>
      </c>
      <c r="C77" s="361" t="s">
        <v>9</v>
      </c>
      <c r="D77" s="28">
        <f t="shared" si="50"/>
        <v>1454.9999999999998</v>
      </c>
      <c r="E77" s="49">
        <v>136.35965997776216</v>
      </c>
      <c r="F77" s="49">
        <v>188.03615433354966</v>
      </c>
      <c r="G77" s="49">
        <v>1033.6213540478618</v>
      </c>
      <c r="H77" s="50">
        <v>96.982831640826163</v>
      </c>
      <c r="I77" s="214"/>
      <c r="J77" s="214"/>
      <c r="K77" s="28">
        <v>1455</v>
      </c>
      <c r="L77" s="49">
        <v>106.29868157444068</v>
      </c>
      <c r="M77" s="49">
        <v>172.58838047999549</v>
      </c>
      <c r="N77" s="320">
        <f t="shared" si="51"/>
        <v>1120.0480278430691</v>
      </c>
      <c r="O77" s="49">
        <v>56.064910102494586</v>
      </c>
      <c r="R77" s="326">
        <v>1455</v>
      </c>
      <c r="S77" s="327">
        <f t="shared" si="45"/>
        <v>0</v>
      </c>
      <c r="U77" s="327">
        <f t="shared" si="46"/>
        <v>0</v>
      </c>
      <c r="AG77" s="93" t="e">
        <f>#REF!</f>
        <v>#REF!</v>
      </c>
      <c r="AH77" s="93" t="e">
        <f t="shared" si="27"/>
        <v>#REF!</v>
      </c>
      <c r="AI77" s="97" t="e">
        <f t="shared" si="28"/>
        <v>#REF!</v>
      </c>
      <c r="AK77" s="28" t="e">
        <f t="shared" si="29"/>
        <v>#REF!</v>
      </c>
      <c r="AL77" s="28" t="e">
        <f>#REF!</f>
        <v>#REF!</v>
      </c>
      <c r="AM77" s="28" t="e">
        <f>#REF!</f>
        <v>#REF!</v>
      </c>
      <c r="AN77" s="28" t="e">
        <f>#REF!</f>
        <v>#REF!</v>
      </c>
      <c r="AO77" s="28" t="e">
        <f>#REF!</f>
        <v>#REF!</v>
      </c>
      <c r="AP77" s="28" t="e">
        <f>#REF!</f>
        <v>#REF!</v>
      </c>
      <c r="AQ77" s="28" t="e">
        <f>#REF!</f>
        <v>#REF!</v>
      </c>
    </row>
    <row r="78" spans="1:43" s="4" customFormat="1" ht="20.25" customHeight="1">
      <c r="A78" s="13"/>
      <c r="B78" s="18" t="s">
        <v>117</v>
      </c>
      <c r="C78" s="361" t="s">
        <v>9</v>
      </c>
      <c r="D78" s="28">
        <f t="shared" si="50"/>
        <v>1079.6035714285713</v>
      </c>
      <c r="E78" s="49">
        <v>101.17826523077503</v>
      </c>
      <c r="F78" s="49">
        <v>139.52199572247028</v>
      </c>
      <c r="G78" s="49">
        <v>766.94247789340716</v>
      </c>
      <c r="H78" s="50">
        <v>71.960832581918751</v>
      </c>
      <c r="I78" s="214"/>
      <c r="J78" s="214"/>
      <c r="K78" s="28">
        <v>1079.6035714285713</v>
      </c>
      <c r="L78" s="49">
        <v>78.873152072793559</v>
      </c>
      <c r="M78" s="49">
        <v>128.05981577544759</v>
      </c>
      <c r="N78" s="320">
        <f t="shared" si="51"/>
        <v>831.07068799374952</v>
      </c>
      <c r="O78" s="49">
        <v>41.599915586580714</v>
      </c>
      <c r="R78" s="326">
        <v>1079.6035714285713</v>
      </c>
      <c r="S78" s="327">
        <f t="shared" si="45"/>
        <v>0</v>
      </c>
      <c r="U78" s="327">
        <f t="shared" si="46"/>
        <v>0</v>
      </c>
      <c r="AG78" s="93" t="e">
        <f>#REF!</f>
        <v>#REF!</v>
      </c>
      <c r="AH78" s="93" t="e">
        <f t="shared" si="27"/>
        <v>#REF!</v>
      </c>
      <c r="AI78" s="97" t="e">
        <f t="shared" si="28"/>
        <v>#REF!</v>
      </c>
      <c r="AK78" s="28" t="e">
        <f t="shared" si="29"/>
        <v>#REF!</v>
      </c>
      <c r="AL78" s="28" t="e">
        <f>#REF!</f>
        <v>#REF!</v>
      </c>
      <c r="AM78" s="28" t="e">
        <f>#REF!</f>
        <v>#REF!</v>
      </c>
      <c r="AN78" s="28" t="e">
        <f>#REF!</f>
        <v>#REF!</v>
      </c>
      <c r="AO78" s="28" t="e">
        <f>#REF!</f>
        <v>#REF!</v>
      </c>
      <c r="AP78" s="28" t="e">
        <f>#REF!</f>
        <v>#REF!</v>
      </c>
      <c r="AQ78" s="28" t="e">
        <f>#REF!</f>
        <v>#REF!</v>
      </c>
    </row>
    <row r="79" spans="1:43" s="4" customFormat="1" ht="20.25" customHeight="1">
      <c r="A79" s="13"/>
      <c r="B79" s="18" t="s">
        <v>155</v>
      </c>
      <c r="C79" s="361" t="s">
        <v>9</v>
      </c>
      <c r="D79" s="28">
        <f t="shared" si="50"/>
        <v>319.07734806629833</v>
      </c>
      <c r="E79" s="49">
        <v>29.903284322286265</v>
      </c>
      <c r="F79" s="49">
        <v>41.235792072394652</v>
      </c>
      <c r="G79" s="49">
        <v>226.67021343937336</v>
      </c>
      <c r="H79" s="50">
        <v>21.268058232244059</v>
      </c>
      <c r="I79" s="214"/>
      <c r="J79" s="214"/>
      <c r="K79" s="28">
        <v>319.07734806629838</v>
      </c>
      <c r="L79" s="49">
        <v>23.310997539324006</v>
      </c>
      <c r="M79" s="49">
        <v>37.84813934750121</v>
      </c>
      <c r="N79" s="320">
        <f t="shared" si="51"/>
        <v>245.62333637873132</v>
      </c>
      <c r="O79" s="49">
        <v>12.294874800741852</v>
      </c>
      <c r="R79" s="326">
        <v>319.07734806629838</v>
      </c>
      <c r="S79" s="327">
        <f t="shared" si="45"/>
        <v>0</v>
      </c>
      <c r="U79" s="327">
        <f t="shared" si="46"/>
        <v>0</v>
      </c>
      <c r="AG79" s="93" t="e">
        <f>#REF!</f>
        <v>#REF!</v>
      </c>
      <c r="AH79" s="93" t="e">
        <f t="shared" si="27"/>
        <v>#REF!</v>
      </c>
      <c r="AI79" s="97" t="e">
        <f t="shared" si="28"/>
        <v>#REF!</v>
      </c>
      <c r="AK79" s="28" t="e">
        <f t="shared" si="29"/>
        <v>#REF!</v>
      </c>
      <c r="AL79" s="28" t="e">
        <f>#REF!</f>
        <v>#REF!</v>
      </c>
      <c r="AM79" s="28" t="e">
        <f>#REF!</f>
        <v>#REF!</v>
      </c>
      <c r="AN79" s="28" t="e">
        <f>#REF!</f>
        <v>#REF!</v>
      </c>
      <c r="AO79" s="28" t="e">
        <f>#REF!</f>
        <v>#REF!</v>
      </c>
      <c r="AP79" s="28" t="e">
        <f>#REF!</f>
        <v>#REF!</v>
      </c>
      <c r="AQ79" s="28" t="e">
        <f>#REF!</f>
        <v>#REF!</v>
      </c>
    </row>
    <row r="80" spans="1:43" s="4" customFormat="1" ht="39" customHeight="1">
      <c r="A80" s="13"/>
      <c r="B80" s="18" t="s">
        <v>156</v>
      </c>
      <c r="C80" s="361" t="s">
        <v>9</v>
      </c>
      <c r="D80" s="28">
        <f t="shared" si="50"/>
        <v>53.805714285714274</v>
      </c>
      <c r="E80" s="49">
        <v>11.235504977027016</v>
      </c>
      <c r="F80" s="49">
        <v>16.671600429063247</v>
      </c>
      <c r="G80" s="49">
        <v>23.871063043464844</v>
      </c>
      <c r="H80" s="50">
        <v>2.0275458361591667</v>
      </c>
      <c r="I80" s="214"/>
      <c r="J80" s="214"/>
      <c r="K80" s="28">
        <v>53.805714285714281</v>
      </c>
      <c r="L80" s="49">
        <v>10.6070431084537</v>
      </c>
      <c r="M80" s="49">
        <v>16.348645643924584</v>
      </c>
      <c r="N80" s="320">
        <f t="shared" si="51"/>
        <v>25.677919366608045</v>
      </c>
      <c r="O80" s="50">
        <v>1.17210616672795</v>
      </c>
      <c r="R80" s="326">
        <v>53.805714285714281</v>
      </c>
      <c r="S80" s="327">
        <f t="shared" si="45"/>
        <v>0</v>
      </c>
      <c r="U80" s="327">
        <f t="shared" si="46"/>
        <v>0</v>
      </c>
      <c r="AG80" s="93" t="e">
        <f>#REF!</f>
        <v>#REF!</v>
      </c>
      <c r="AH80" s="93" t="e">
        <f t="shared" si="27"/>
        <v>#REF!</v>
      </c>
      <c r="AI80" s="97" t="e">
        <f t="shared" si="28"/>
        <v>#REF!</v>
      </c>
      <c r="AK80" s="28" t="e">
        <f t="shared" si="29"/>
        <v>#REF!</v>
      </c>
      <c r="AL80" s="28" t="e">
        <f>#REF!</f>
        <v>#REF!</v>
      </c>
      <c r="AM80" s="28" t="e">
        <f>#REF!</f>
        <v>#REF!</v>
      </c>
      <c r="AN80" s="28" t="e">
        <f>#REF!</f>
        <v>#REF!</v>
      </c>
      <c r="AO80" s="28" t="e">
        <f>#REF!</f>
        <v>#REF!</v>
      </c>
      <c r="AP80" s="28" t="e">
        <f>#REF!</f>
        <v>#REF!</v>
      </c>
      <c r="AQ80" s="28" t="e">
        <f>#REF!</f>
        <v>#REF!</v>
      </c>
    </row>
    <row r="81" spans="1:43" s="4" customFormat="1" ht="19.5" customHeight="1">
      <c r="A81" s="13"/>
      <c r="B81" s="18" t="s">
        <v>128</v>
      </c>
      <c r="C81" s="361" t="s">
        <v>9</v>
      </c>
      <c r="D81" s="28">
        <f t="shared" si="50"/>
        <v>3363.9782603333329</v>
      </c>
      <c r="E81" s="49">
        <v>315.26524519012867</v>
      </c>
      <c r="F81" s="49">
        <v>434.74194868367323</v>
      </c>
      <c r="G81" s="49">
        <v>2389.7455425658491</v>
      </c>
      <c r="H81" s="50">
        <v>224.22552389368172</v>
      </c>
      <c r="I81" s="214"/>
      <c r="J81" s="214"/>
      <c r="K81" s="28">
        <v>3363.9782603333329</v>
      </c>
      <c r="L81" s="49">
        <v>245.76388585464869</v>
      </c>
      <c r="M81" s="49">
        <v>399.02650166380931</v>
      </c>
      <c r="N81" s="320">
        <f t="shared" si="51"/>
        <v>2589.5650970400748</v>
      </c>
      <c r="O81" s="49">
        <v>129.62277577480029</v>
      </c>
      <c r="R81" s="326">
        <v>3363.9782603333329</v>
      </c>
      <c r="S81" s="327">
        <f t="shared" si="45"/>
        <v>0</v>
      </c>
      <c r="U81" s="327">
        <f t="shared" si="46"/>
        <v>0</v>
      </c>
      <c r="AG81" s="93" t="e">
        <f>#REF!</f>
        <v>#REF!</v>
      </c>
      <c r="AH81" s="93" t="e">
        <f t="shared" si="27"/>
        <v>#REF!</v>
      </c>
      <c r="AI81" s="97" t="e">
        <f t="shared" si="28"/>
        <v>#REF!</v>
      </c>
      <c r="AK81" s="28" t="e">
        <f t="shared" si="29"/>
        <v>#REF!</v>
      </c>
      <c r="AL81" s="28" t="e">
        <f>#REF!</f>
        <v>#REF!</v>
      </c>
      <c r="AM81" s="28" t="e">
        <f>#REF!</f>
        <v>#REF!</v>
      </c>
      <c r="AN81" s="28" t="e">
        <f>#REF!</f>
        <v>#REF!</v>
      </c>
      <c r="AO81" s="28" t="e">
        <f>#REF!</f>
        <v>#REF!</v>
      </c>
      <c r="AP81" s="28" t="e">
        <f>#REF!</f>
        <v>#REF!</v>
      </c>
      <c r="AQ81" s="28" t="e">
        <f>#REF!</f>
        <v>#REF!</v>
      </c>
    </row>
    <row r="82" spans="1:43" s="4" customFormat="1" ht="19.5" customHeight="1">
      <c r="A82" s="13"/>
      <c r="B82" s="18" t="s">
        <v>121</v>
      </c>
      <c r="C82" s="361" t="s">
        <v>9</v>
      </c>
      <c r="D82" s="28">
        <f t="shared" si="50"/>
        <v>5638.1569999999992</v>
      </c>
      <c r="E82" s="28">
        <v>528.39668138916818</v>
      </c>
      <c r="F82" s="28">
        <v>728.64423354555561</v>
      </c>
      <c r="G82" s="49">
        <v>4005.3054795013268</v>
      </c>
      <c r="H82" s="29">
        <v>375.8106055639488</v>
      </c>
      <c r="I82" s="214"/>
      <c r="J82" s="214"/>
      <c r="K82" s="28">
        <v>5638.1570000000002</v>
      </c>
      <c r="L82" s="28">
        <v>411.90972894137718</v>
      </c>
      <c r="M82" s="28">
        <v>668.78377011817872</v>
      </c>
      <c r="N82" s="320">
        <f t="shared" si="51"/>
        <v>4340.2107412505811</v>
      </c>
      <c r="O82" s="28">
        <v>217.25275968986293</v>
      </c>
      <c r="R82" s="326">
        <v>5638.1570000000002</v>
      </c>
      <c r="S82" s="327">
        <f t="shared" si="45"/>
        <v>0</v>
      </c>
      <c r="T82" s="318"/>
      <c r="U82" s="327">
        <f t="shared" si="46"/>
        <v>0</v>
      </c>
      <c r="V82" s="318"/>
      <c r="AG82" s="93" t="e">
        <f>#REF!</f>
        <v>#REF!</v>
      </c>
      <c r="AH82" s="93" t="e">
        <f t="shared" si="27"/>
        <v>#REF!</v>
      </c>
      <c r="AI82" s="97" t="e">
        <f t="shared" si="28"/>
        <v>#REF!</v>
      </c>
      <c r="AK82" s="28" t="e">
        <f t="shared" si="29"/>
        <v>#REF!</v>
      </c>
      <c r="AL82" s="28" t="e">
        <f>#REF!</f>
        <v>#REF!</v>
      </c>
      <c r="AM82" s="28" t="e">
        <f>#REF!</f>
        <v>#REF!</v>
      </c>
      <c r="AN82" s="28" t="e">
        <f>#REF!</f>
        <v>#REF!</v>
      </c>
      <c r="AO82" s="28" t="e">
        <f>#REF!</f>
        <v>#REF!</v>
      </c>
      <c r="AP82" s="28" t="e">
        <f>#REF!</f>
        <v>#REF!</v>
      </c>
      <c r="AQ82" s="28" t="e">
        <f>#REF!</f>
        <v>#REF!</v>
      </c>
    </row>
    <row r="83" spans="1:43" s="4" customFormat="1" ht="19.5" customHeight="1">
      <c r="A83" s="13"/>
      <c r="B83" s="18" t="s">
        <v>114</v>
      </c>
      <c r="C83" s="361" t="s">
        <v>9</v>
      </c>
      <c r="D83" s="28">
        <f t="shared" si="50"/>
        <v>0</v>
      </c>
      <c r="E83" s="28">
        <v>0</v>
      </c>
      <c r="F83" s="28">
        <v>0</v>
      </c>
      <c r="G83" s="49">
        <v>0</v>
      </c>
      <c r="H83" s="29">
        <v>0</v>
      </c>
      <c r="I83" s="214"/>
      <c r="J83" s="214"/>
      <c r="K83" s="28">
        <v>0</v>
      </c>
      <c r="L83" s="28">
        <v>0</v>
      </c>
      <c r="M83" s="28">
        <v>0</v>
      </c>
      <c r="N83" s="320">
        <f t="shared" si="51"/>
        <v>0</v>
      </c>
      <c r="O83" s="29">
        <v>0</v>
      </c>
      <c r="R83" s="326">
        <v>0</v>
      </c>
      <c r="S83" s="327">
        <f t="shared" si="45"/>
        <v>0</v>
      </c>
      <c r="U83" s="327">
        <f t="shared" si="46"/>
        <v>0</v>
      </c>
      <c r="AG83" s="93" t="e">
        <f>#REF!</f>
        <v>#REF!</v>
      </c>
      <c r="AH83" s="93" t="e">
        <f t="shared" si="27"/>
        <v>#REF!</v>
      </c>
      <c r="AI83" s="97" t="e">
        <f t="shared" si="28"/>
        <v>#REF!</v>
      </c>
      <c r="AK83" s="28" t="e">
        <f t="shared" si="29"/>
        <v>#REF!</v>
      </c>
      <c r="AL83" s="28" t="e">
        <f>#REF!</f>
        <v>#REF!</v>
      </c>
      <c r="AM83" s="28" t="e">
        <f>#REF!</f>
        <v>#REF!</v>
      </c>
      <c r="AN83" s="28" t="e">
        <f>#REF!</f>
        <v>#REF!</v>
      </c>
      <c r="AO83" s="28" t="e">
        <f>#REF!</f>
        <v>#REF!</v>
      </c>
      <c r="AP83" s="28" t="e">
        <f>#REF!</f>
        <v>#REF!</v>
      </c>
      <c r="AQ83" s="28" t="e">
        <f>#REF!</f>
        <v>#REF!</v>
      </c>
    </row>
    <row r="84" spans="1:43" s="4" customFormat="1" ht="19.5" customHeight="1">
      <c r="A84" s="13"/>
      <c r="B84" s="18" t="s">
        <v>119</v>
      </c>
      <c r="C84" s="361" t="s">
        <v>9</v>
      </c>
      <c r="D84" s="28">
        <f t="shared" si="50"/>
        <v>7555.9349999999995</v>
      </c>
      <c r="E84" s="28">
        <v>708.12696042204288</v>
      </c>
      <c r="F84" s="28">
        <v>976.48725759056322</v>
      </c>
      <c r="G84" s="49">
        <v>5367.6809386925306</v>
      </c>
      <c r="H84" s="29">
        <v>503.63984329486311</v>
      </c>
      <c r="I84" s="214"/>
      <c r="J84" s="214"/>
      <c r="K84" s="28">
        <v>7555.9349999999995</v>
      </c>
      <c r="L84" s="28">
        <v>552.01782031764355</v>
      </c>
      <c r="M84" s="28">
        <v>896.26569392585202</v>
      </c>
      <c r="N84" s="320">
        <f t="shared" si="51"/>
        <v>5816.501783684138</v>
      </c>
      <c r="O84" s="28">
        <v>291.14970207236593</v>
      </c>
      <c r="R84" s="326">
        <v>7555.9349999999995</v>
      </c>
      <c r="S84" s="327">
        <f t="shared" si="45"/>
        <v>0</v>
      </c>
      <c r="U84" s="327">
        <f t="shared" si="46"/>
        <v>0</v>
      </c>
      <c r="AG84" s="93" t="e">
        <f>#REF!</f>
        <v>#REF!</v>
      </c>
      <c r="AH84" s="93" t="e">
        <f t="shared" si="27"/>
        <v>#REF!</v>
      </c>
      <c r="AI84" s="97" t="e">
        <f t="shared" si="28"/>
        <v>#REF!</v>
      </c>
      <c r="AK84" s="28" t="e">
        <f t="shared" si="29"/>
        <v>#REF!</v>
      </c>
      <c r="AL84" s="28" t="e">
        <f>#REF!</f>
        <v>#REF!</v>
      </c>
      <c r="AM84" s="28" t="e">
        <f>#REF!</f>
        <v>#REF!</v>
      </c>
      <c r="AN84" s="28" t="e">
        <f>#REF!</f>
        <v>#REF!</v>
      </c>
      <c r="AO84" s="28" t="e">
        <f>#REF!</f>
        <v>#REF!</v>
      </c>
      <c r="AP84" s="28" t="e">
        <f>#REF!</f>
        <v>#REF!</v>
      </c>
      <c r="AQ84" s="28" t="e">
        <f>#REF!</f>
        <v>#REF!</v>
      </c>
    </row>
    <row r="85" spans="1:43" s="4" customFormat="1" ht="19.5" customHeight="1">
      <c r="A85" s="13"/>
      <c r="B85" s="18" t="s">
        <v>176</v>
      </c>
      <c r="C85" s="361"/>
      <c r="D85" s="28">
        <f t="shared" si="50"/>
        <v>10333.674999999999</v>
      </c>
      <c r="E85" s="28">
        <v>968.45114042659895</v>
      </c>
      <c r="F85" s="28">
        <v>1335.4670152115077</v>
      </c>
      <c r="G85" s="49">
        <v>7340.9671105089619</v>
      </c>
      <c r="H85" s="29">
        <v>688.78973385293079</v>
      </c>
      <c r="I85" s="214"/>
      <c r="J85" s="214"/>
      <c r="K85" s="28">
        <v>8757.2819999999992</v>
      </c>
      <c r="L85" s="28">
        <v>639.78524451929957</v>
      </c>
      <c r="M85" s="28">
        <v>1038.7664039770555</v>
      </c>
      <c r="N85" s="320">
        <f t="shared" si="51"/>
        <v>6741.2896449248174</v>
      </c>
      <c r="O85" s="28">
        <v>337.44070657882747</v>
      </c>
      <c r="R85" s="326">
        <v>8757.2819999999992</v>
      </c>
      <c r="S85" s="327">
        <f t="shared" si="45"/>
        <v>0</v>
      </c>
      <c r="U85" s="327">
        <f t="shared" si="46"/>
        <v>0</v>
      </c>
      <c r="AG85" s="93" t="e">
        <f>#REF!</f>
        <v>#REF!</v>
      </c>
      <c r="AH85" s="93" t="e">
        <f t="shared" si="27"/>
        <v>#REF!</v>
      </c>
      <c r="AI85" s="97" t="e">
        <f t="shared" si="28"/>
        <v>#REF!</v>
      </c>
      <c r="AK85" s="28" t="e">
        <f t="shared" si="29"/>
        <v>#REF!</v>
      </c>
      <c r="AL85" s="28" t="e">
        <f>#REF!</f>
        <v>#REF!</v>
      </c>
      <c r="AM85" s="28" t="e">
        <f>#REF!</f>
        <v>#REF!</v>
      </c>
      <c r="AN85" s="28" t="e">
        <f>#REF!</f>
        <v>#REF!</v>
      </c>
      <c r="AO85" s="28" t="e">
        <f>#REF!</f>
        <v>#REF!</v>
      </c>
      <c r="AP85" s="28" t="e">
        <f>#REF!</f>
        <v>#REF!</v>
      </c>
      <c r="AQ85" s="28" t="e">
        <f>#REF!</f>
        <v>#REF!</v>
      </c>
    </row>
    <row r="86" spans="1:43" s="4" customFormat="1" ht="19.5" customHeight="1">
      <c r="A86" s="362"/>
      <c r="B86" s="18" t="s">
        <v>167</v>
      </c>
      <c r="C86" s="361"/>
      <c r="D86" s="28">
        <f t="shared" si="50"/>
        <v>871.19999999999982</v>
      </c>
      <c r="E86" s="57">
        <v>81.647103623798216</v>
      </c>
      <c r="F86" s="57">
        <v>112.5890705535316</v>
      </c>
      <c r="G86" s="49">
        <v>618.89410559896714</v>
      </c>
      <c r="H86" s="58">
        <v>58.069720223702923</v>
      </c>
      <c r="I86" s="214"/>
      <c r="J86" s="214"/>
      <c r="K86" s="28">
        <v>871.2</v>
      </c>
      <c r="L86" s="57">
        <v>63.647705421067165</v>
      </c>
      <c r="M86" s="57">
        <v>103.33951688946534</v>
      </c>
      <c r="N86" s="320">
        <f t="shared" si="51"/>
        <v>670.64319027964393</v>
      </c>
      <c r="O86" s="57">
        <v>33.569587409823562</v>
      </c>
      <c r="R86" s="326">
        <v>871.2</v>
      </c>
      <c r="S86" s="327">
        <f t="shared" si="45"/>
        <v>0</v>
      </c>
      <c r="U86" s="327">
        <f t="shared" si="46"/>
        <v>0</v>
      </c>
      <c r="AG86" s="93" t="e">
        <f>#REF!</f>
        <v>#REF!</v>
      </c>
      <c r="AH86" s="93" t="e">
        <f t="shared" si="27"/>
        <v>#REF!</v>
      </c>
      <c r="AI86" s="97" t="e">
        <f t="shared" si="28"/>
        <v>#REF!</v>
      </c>
      <c r="AK86" s="28" t="e">
        <f t="shared" ref="AK86" si="52">SUM(AL86:AQ86)</f>
        <v>#REF!</v>
      </c>
      <c r="AL86" s="28" t="e">
        <f>#REF!</f>
        <v>#REF!</v>
      </c>
      <c r="AM86" s="28" t="e">
        <f>#REF!</f>
        <v>#REF!</v>
      </c>
      <c r="AN86" s="28" t="e">
        <f>#REF!</f>
        <v>#REF!</v>
      </c>
      <c r="AO86" s="28" t="e">
        <f>#REF!</f>
        <v>#REF!</v>
      </c>
      <c r="AP86" s="28" t="e">
        <f>#REF!</f>
        <v>#REF!</v>
      </c>
      <c r="AQ86" s="28" t="e">
        <f>#REF!</f>
        <v>#REF!</v>
      </c>
    </row>
    <row r="87" spans="1:43" s="4" customFormat="1" ht="19.5" customHeight="1">
      <c r="A87" s="13"/>
      <c r="B87" s="18" t="s">
        <v>94</v>
      </c>
      <c r="C87" s="361" t="s">
        <v>9</v>
      </c>
      <c r="D87" s="28">
        <f t="shared" si="50"/>
        <v>3605.5003167014129</v>
      </c>
      <c r="E87" s="49">
        <v>337.90020428530477</v>
      </c>
      <c r="F87" s="49">
        <v>465.95492371197872</v>
      </c>
      <c r="G87" s="49">
        <v>2561.3210442398004</v>
      </c>
      <c r="H87" s="53">
        <v>240.3241444643289</v>
      </c>
      <c r="I87" s="214"/>
      <c r="J87" s="214"/>
      <c r="K87" s="28">
        <v>3605.5003167014129</v>
      </c>
      <c r="L87" s="49">
        <v>263.40888665401275</v>
      </c>
      <c r="M87" s="49">
        <v>427.67523057017712</v>
      </c>
      <c r="N87" s="320">
        <f t="shared" si="51"/>
        <v>2775.4869547140747</v>
      </c>
      <c r="O87" s="49">
        <v>138.92924476314809</v>
      </c>
      <c r="R87" s="326">
        <v>3605.5003167014129</v>
      </c>
      <c r="S87" s="327">
        <f t="shared" si="45"/>
        <v>0</v>
      </c>
      <c r="U87" s="327">
        <f t="shared" si="46"/>
        <v>0</v>
      </c>
      <c r="AG87" s="93" t="e">
        <f>#REF!</f>
        <v>#REF!</v>
      </c>
      <c r="AH87" s="93" t="e">
        <f t="shared" si="27"/>
        <v>#REF!</v>
      </c>
      <c r="AI87" s="97" t="e">
        <f t="shared" si="28"/>
        <v>#REF!</v>
      </c>
      <c r="AK87" s="28" t="e">
        <f t="shared" si="29"/>
        <v>#REF!</v>
      </c>
      <c r="AL87" s="28" t="e">
        <f>#REF!</f>
        <v>#REF!</v>
      </c>
      <c r="AM87" s="28" t="e">
        <f>#REF!</f>
        <v>#REF!</v>
      </c>
      <c r="AN87" s="28" t="e">
        <f>#REF!</f>
        <v>#REF!</v>
      </c>
      <c r="AO87" s="28" t="e">
        <f>#REF!</f>
        <v>#REF!</v>
      </c>
      <c r="AP87" s="28" t="e">
        <f>#REF!</f>
        <v>#REF!</v>
      </c>
      <c r="AQ87" s="28" t="e">
        <f>#REF!</f>
        <v>#REF!</v>
      </c>
    </row>
    <row r="88" spans="1:43" s="4" customFormat="1" ht="35.25" customHeight="1">
      <c r="A88" s="13"/>
      <c r="B88" s="18" t="s">
        <v>157</v>
      </c>
      <c r="C88" s="361" t="s">
        <v>9</v>
      </c>
      <c r="D88" s="28">
        <f t="shared" si="50"/>
        <v>6382.8595199999991</v>
      </c>
      <c r="E88" s="49">
        <v>598.18869679245518</v>
      </c>
      <c r="F88" s="49">
        <v>824.88546927291179</v>
      </c>
      <c r="G88" s="49">
        <v>4534.3367008657633</v>
      </c>
      <c r="H88" s="50">
        <v>425.44865306886902</v>
      </c>
      <c r="I88" s="214"/>
      <c r="J88" s="214"/>
      <c r="K88" s="28">
        <v>6382.8595199999982</v>
      </c>
      <c r="L88" s="49">
        <v>466.31584305901521</v>
      </c>
      <c r="M88" s="49">
        <v>757.11847930455053</v>
      </c>
      <c r="N88" s="320">
        <f t="shared" si="51"/>
        <v>4913.4771253438885</v>
      </c>
      <c r="O88" s="49">
        <v>245.94807229254408</v>
      </c>
      <c r="R88" s="326">
        <v>6382.8595199999982</v>
      </c>
      <c r="S88" s="327">
        <f t="shared" si="45"/>
        <v>0</v>
      </c>
      <c r="U88" s="327">
        <f t="shared" si="46"/>
        <v>0</v>
      </c>
      <c r="AG88" s="93" t="e">
        <f>#REF!</f>
        <v>#REF!</v>
      </c>
      <c r="AH88" s="93" t="e">
        <f t="shared" si="27"/>
        <v>#REF!</v>
      </c>
      <c r="AI88" s="97" t="e">
        <f t="shared" si="28"/>
        <v>#REF!</v>
      </c>
      <c r="AK88" s="28" t="e">
        <f t="shared" si="29"/>
        <v>#REF!</v>
      </c>
      <c r="AL88" s="28" t="e">
        <f>#REF!</f>
        <v>#REF!</v>
      </c>
      <c r="AM88" s="28" t="e">
        <f>#REF!</f>
        <v>#REF!</v>
      </c>
      <c r="AN88" s="28" t="e">
        <f>#REF!</f>
        <v>#REF!</v>
      </c>
      <c r="AO88" s="28" t="e">
        <f>#REF!</f>
        <v>#REF!</v>
      </c>
      <c r="AP88" s="28" t="e">
        <f>#REF!</f>
        <v>#REF!</v>
      </c>
      <c r="AQ88" s="28" t="e">
        <f>#REF!</f>
        <v>#REF!</v>
      </c>
    </row>
    <row r="89" spans="1:43" s="4" customFormat="1" ht="19.5" customHeight="1">
      <c r="A89" s="13"/>
      <c r="B89" s="18" t="s">
        <v>158</v>
      </c>
      <c r="C89" s="361" t="s">
        <v>9</v>
      </c>
      <c r="D89" s="28">
        <f t="shared" si="50"/>
        <v>312.42857142857139</v>
      </c>
      <c r="E89" s="49">
        <v>29.280174410541569</v>
      </c>
      <c r="F89" s="49">
        <v>40.376540945260004</v>
      </c>
      <c r="G89" s="49">
        <v>221.94697116373825</v>
      </c>
      <c r="H89" s="50">
        <v>20.824884909031599</v>
      </c>
      <c r="I89" s="214"/>
      <c r="J89" s="214"/>
      <c r="K89" s="28">
        <v>312.42857142857144</v>
      </c>
      <c r="L89" s="49">
        <v>22.825254452950592</v>
      </c>
      <c r="M89" s="49">
        <v>37.059478459474732</v>
      </c>
      <c r="N89" s="320">
        <f t="shared" si="51"/>
        <v>240.50515826144255</v>
      </c>
      <c r="O89" s="49">
        <v>12.03868025470355</v>
      </c>
      <c r="R89" s="326">
        <v>312.42857142857144</v>
      </c>
      <c r="S89" s="327">
        <f t="shared" si="45"/>
        <v>0</v>
      </c>
      <c r="U89" s="327">
        <f t="shared" si="46"/>
        <v>0</v>
      </c>
      <c r="AG89" s="93" t="e">
        <f>#REF!</f>
        <v>#REF!</v>
      </c>
      <c r="AH89" s="93" t="e">
        <f t="shared" si="27"/>
        <v>#REF!</v>
      </c>
      <c r="AI89" s="97" t="e">
        <f t="shared" si="28"/>
        <v>#REF!</v>
      </c>
      <c r="AK89" s="28" t="e">
        <f t="shared" si="29"/>
        <v>#REF!</v>
      </c>
      <c r="AL89" s="28" t="e">
        <f>#REF!</f>
        <v>#REF!</v>
      </c>
      <c r="AM89" s="28" t="e">
        <f>#REF!</f>
        <v>#REF!</v>
      </c>
      <c r="AN89" s="28" t="e">
        <f>#REF!</f>
        <v>#REF!</v>
      </c>
      <c r="AO89" s="28" t="e">
        <f>#REF!</f>
        <v>#REF!</v>
      </c>
      <c r="AP89" s="28" t="e">
        <f>#REF!</f>
        <v>#REF!</v>
      </c>
      <c r="AQ89" s="28" t="e">
        <f>#REF!</f>
        <v>#REF!</v>
      </c>
    </row>
    <row r="90" spans="1:43" s="4" customFormat="1" ht="37.5" customHeight="1">
      <c r="A90" s="107"/>
      <c r="B90" s="110" t="s">
        <v>184</v>
      </c>
      <c r="C90" s="108"/>
      <c r="D90" s="108">
        <f t="shared" si="50"/>
        <v>1</v>
      </c>
      <c r="E90" s="230">
        <f>E26/$D$26</f>
        <v>9.3072622588082576E-2</v>
      </c>
      <c r="F90" s="230">
        <f t="shared" ref="F90:H90" si="53">F26/$D$26</f>
        <v>0.12834454139923065</v>
      </c>
      <c r="G90" s="230">
        <f t="shared" si="53"/>
        <v>0.71211449062049514</v>
      </c>
      <c r="H90" s="230">
        <f t="shared" si="53"/>
        <v>6.6468345392191611E-2</v>
      </c>
      <c r="I90" s="231"/>
      <c r="J90" s="231"/>
      <c r="K90" s="108">
        <f t="shared" ref="K90:K92" si="54">SUM(L90:O90)</f>
        <v>0.99999999999999989</v>
      </c>
      <c r="L90" s="230">
        <v>7.3057513109581224E-2</v>
      </c>
      <c r="M90" s="230">
        <v>0.11861744362886288</v>
      </c>
      <c r="N90" s="232">
        <v>0.76979245899867299</v>
      </c>
      <c r="O90" s="230">
        <v>3.8532584262882877E-2</v>
      </c>
      <c r="Q90" s="197"/>
      <c r="R90" s="329">
        <v>0.99999999999999989</v>
      </c>
      <c r="S90" s="327">
        <f t="shared" si="45"/>
        <v>0</v>
      </c>
      <c r="T90" s="240"/>
      <c r="U90" s="327">
        <f t="shared" si="46"/>
        <v>0</v>
      </c>
      <c r="V90" s="240"/>
      <c r="AG90" s="151" t="e">
        <f>AL90+AM90+AN90+AO90+AP90+AQ90</f>
        <v>#REF!</v>
      </c>
      <c r="AH90" s="93"/>
      <c r="AI90" s="97"/>
      <c r="AK90" s="108" t="e">
        <f>SUM(AL90:AQ90)</f>
        <v>#REF!</v>
      </c>
      <c r="AL90" s="109" t="e">
        <f>#REF!</f>
        <v>#REF!</v>
      </c>
      <c r="AM90" s="109" t="e">
        <f>#REF!</f>
        <v>#REF!</v>
      </c>
      <c r="AN90" s="109" t="e">
        <f>#REF!</f>
        <v>#REF!</v>
      </c>
      <c r="AO90" s="109" t="e">
        <f>#REF!</f>
        <v>#REF!</v>
      </c>
      <c r="AP90" s="109" t="e">
        <f>#REF!</f>
        <v>#REF!</v>
      </c>
      <c r="AQ90" s="109" t="e">
        <f>#REF!</f>
        <v>#REF!</v>
      </c>
    </row>
    <row r="91" spans="1:43" s="4" customFormat="1" ht="37.5" customHeight="1">
      <c r="A91" s="107"/>
      <c r="B91" s="110" t="s">
        <v>185</v>
      </c>
      <c r="C91" s="108"/>
      <c r="D91" s="108">
        <f t="shared" si="50"/>
        <v>0.99999999999999989</v>
      </c>
      <c r="E91" s="230">
        <f>(E8+E33+E34)/($D$8+$D$33+$D$34)</f>
        <v>0.16079218264292713</v>
      </c>
      <c r="F91" s="230">
        <f t="shared" ref="F91:H91" si="55">(F8+F33+F34)/($D$8+$D$33+$D$34)</f>
        <v>0.15534803384397219</v>
      </c>
      <c r="G91" s="230">
        <f t="shared" si="55"/>
        <v>0.66071820773657308</v>
      </c>
      <c r="H91" s="230">
        <f t="shared" si="55"/>
        <v>2.3141575776527534E-2</v>
      </c>
      <c r="I91" s="231"/>
      <c r="J91" s="231"/>
      <c r="K91" s="108">
        <f t="shared" si="54"/>
        <v>1</v>
      </c>
      <c r="L91" s="230">
        <v>0.15263551896283936</v>
      </c>
      <c r="M91" s="230">
        <v>0.13421097137822771</v>
      </c>
      <c r="N91" s="230">
        <v>0.70171947138362623</v>
      </c>
      <c r="O91" s="230">
        <v>1.1434038275306684E-2</v>
      </c>
      <c r="Q91" s="235"/>
      <c r="R91" s="329">
        <v>1</v>
      </c>
      <c r="S91" s="327">
        <f t="shared" si="45"/>
        <v>0</v>
      </c>
      <c r="T91" s="240"/>
      <c r="U91" s="327">
        <f t="shared" si="46"/>
        <v>0</v>
      </c>
      <c r="V91" s="240"/>
      <c r="AG91" s="151" t="e">
        <f t="shared" ref="AG91:AG93" si="56">AL91+AM91+AN91+AO91+AP91+AQ91</f>
        <v>#REF!</v>
      </c>
      <c r="AH91" s="93"/>
      <c r="AI91" s="97"/>
      <c r="AK91" s="108" t="e">
        <f t="shared" ref="AK91:AK93" si="57">SUM(AL91:AQ91)</f>
        <v>#REF!</v>
      </c>
      <c r="AL91" s="109" t="e">
        <f>#REF!</f>
        <v>#REF!</v>
      </c>
      <c r="AM91" s="109" t="e">
        <f>#REF!</f>
        <v>#REF!</v>
      </c>
      <c r="AN91" s="109" t="e">
        <f>#REF!</f>
        <v>#REF!</v>
      </c>
      <c r="AO91" s="109" t="e">
        <f>#REF!</f>
        <v>#REF!</v>
      </c>
      <c r="AP91" s="109" t="e">
        <f>#REF!</f>
        <v>#REF!</v>
      </c>
      <c r="AQ91" s="109" t="e">
        <f>#REF!</f>
        <v>#REF!</v>
      </c>
    </row>
    <row r="92" spans="1:43" s="4" customFormat="1" ht="37.5" customHeight="1">
      <c r="A92" s="107"/>
      <c r="B92" s="150" t="s">
        <v>186</v>
      </c>
      <c r="C92" s="108"/>
      <c r="D92" s="108">
        <f t="shared" si="50"/>
        <v>1</v>
      </c>
      <c r="E92" s="230">
        <f>E32/$D$32</f>
        <v>0.44185279533405847</v>
      </c>
      <c r="F92" s="230">
        <f t="shared" ref="F92:H92" si="58">F32/$D$32</f>
        <v>0.33633393860302885</v>
      </c>
      <c r="G92" s="230">
        <f t="shared" si="58"/>
        <v>0.20118077713725555</v>
      </c>
      <c r="H92" s="230">
        <f t="shared" si="58"/>
        <v>2.0632488925657149E-2</v>
      </c>
      <c r="I92" s="231"/>
      <c r="J92" s="231"/>
      <c r="K92" s="108">
        <f t="shared" si="54"/>
        <v>1</v>
      </c>
      <c r="L92" s="230">
        <v>0.47838084282784826</v>
      </c>
      <c r="M92" s="230">
        <v>0.32517625277712553</v>
      </c>
      <c r="N92" s="230">
        <v>0.19269004542111287</v>
      </c>
      <c r="O92" s="233">
        <v>3.752858973913328E-3</v>
      </c>
      <c r="Q92" s="236"/>
      <c r="R92" s="329">
        <v>1</v>
      </c>
      <c r="S92" s="327">
        <f t="shared" si="45"/>
        <v>0</v>
      </c>
      <c r="T92" s="240"/>
      <c r="U92" s="327">
        <f t="shared" si="46"/>
        <v>0</v>
      </c>
      <c r="V92" s="240"/>
      <c r="AG92" s="151" t="e">
        <f t="shared" si="56"/>
        <v>#REF!</v>
      </c>
      <c r="AH92" s="93"/>
      <c r="AI92" s="97"/>
      <c r="AK92" s="108" t="e">
        <f t="shared" si="57"/>
        <v>#REF!</v>
      </c>
      <c r="AL92" s="109" t="e">
        <f>#REF!</f>
        <v>#REF!</v>
      </c>
      <c r="AM92" s="109" t="e">
        <f>#REF!</f>
        <v>#REF!</v>
      </c>
      <c r="AN92" s="109" t="e">
        <f>#REF!</f>
        <v>#REF!</v>
      </c>
      <c r="AO92" s="109" t="e">
        <f>#REF!</f>
        <v>#REF!</v>
      </c>
      <c r="AP92" s="109" t="e">
        <f>#REF!</f>
        <v>#REF!</v>
      </c>
      <c r="AQ92" s="109" t="e">
        <f>#REF!</f>
        <v>#REF!</v>
      </c>
    </row>
    <row r="93" spans="1:43" s="4" customFormat="1" ht="37.5" customHeight="1">
      <c r="A93" s="107"/>
      <c r="B93" s="150" t="s">
        <v>202</v>
      </c>
      <c r="C93" s="108"/>
      <c r="D93" s="108">
        <f t="shared" si="50"/>
        <v>1</v>
      </c>
      <c r="E93" s="230">
        <v>0.3585191221840619</v>
      </c>
      <c r="F93" s="230">
        <v>0.54476395599278193</v>
      </c>
      <c r="G93" s="230">
        <v>9.6716921823156166E-2</v>
      </c>
      <c r="H93" s="230">
        <v>0</v>
      </c>
      <c r="I93" s="231"/>
      <c r="J93" s="231"/>
      <c r="K93" s="108">
        <f t="shared" ref="K93" si="59">SUM(L93:O93)</f>
        <v>1</v>
      </c>
      <c r="L93" s="230">
        <v>0.3585191221840619</v>
      </c>
      <c r="M93" s="230">
        <v>0.54476395599278193</v>
      </c>
      <c r="N93" s="232">
        <v>9.6716921823156166E-2</v>
      </c>
      <c r="O93" s="233">
        <v>0</v>
      </c>
      <c r="Q93" s="234"/>
      <c r="R93" s="330">
        <v>1</v>
      </c>
      <c r="S93" s="327">
        <f t="shared" si="45"/>
        <v>0</v>
      </c>
      <c r="T93" s="234"/>
      <c r="U93" s="327">
        <f t="shared" si="46"/>
        <v>0</v>
      </c>
      <c r="AG93" s="151" t="e">
        <f t="shared" si="56"/>
        <v>#REF!</v>
      </c>
      <c r="AH93" s="93"/>
      <c r="AI93" s="97"/>
      <c r="AK93" s="108" t="e">
        <f t="shared" si="57"/>
        <v>#REF!</v>
      </c>
      <c r="AL93" s="109" t="e">
        <f>#REF!</f>
        <v>#REF!</v>
      </c>
      <c r="AM93" s="109" t="e">
        <f>#REF!</f>
        <v>#REF!</v>
      </c>
      <c r="AN93" s="109" t="e">
        <f>#REF!</f>
        <v>#REF!</v>
      </c>
      <c r="AO93" s="109" t="e">
        <f>#REF!</f>
        <v>#REF!</v>
      </c>
      <c r="AP93" s="109" t="e">
        <f>#REF!</f>
        <v>#REF!</v>
      </c>
      <c r="AQ93" s="109" t="e">
        <f>#REF!</f>
        <v>#REF!</v>
      </c>
    </row>
    <row r="94" spans="1:43" s="4" customFormat="1" ht="39.75" customHeight="1">
      <c r="A94" s="19" t="s">
        <v>45</v>
      </c>
      <c r="B94" s="17" t="s">
        <v>274</v>
      </c>
      <c r="C94" s="211" t="s">
        <v>9</v>
      </c>
      <c r="D94" s="27">
        <f>D95+D135</f>
        <v>3278689.6052555027</v>
      </c>
      <c r="E94" s="27">
        <f>E95+E135</f>
        <v>1374586.8400986097</v>
      </c>
      <c r="F94" s="27">
        <f>F95+F135</f>
        <v>1058621.0469626</v>
      </c>
      <c r="G94" s="27">
        <f>G95+G135</f>
        <v>768102.16992851906</v>
      </c>
      <c r="H94" s="27">
        <f>H95+H135</f>
        <v>77379.548265773759</v>
      </c>
      <c r="I94" s="6"/>
      <c r="J94" s="6"/>
      <c r="K94" s="27">
        <f>K95+K135</f>
        <v>3265785.471496609</v>
      </c>
      <c r="L94" s="27">
        <f>L95+L135</f>
        <v>1481312.001788181</v>
      </c>
      <c r="M94" s="27">
        <f>M95+M135</f>
        <v>1020641.6658649889</v>
      </c>
      <c r="N94" s="27">
        <f>N95+N135</f>
        <v>744665.52040756436</v>
      </c>
      <c r="O94" s="27">
        <f>O95+O135</f>
        <v>19166.283435874579</v>
      </c>
      <c r="Q94" s="15"/>
      <c r="R94" s="326">
        <v>3265785.471496609</v>
      </c>
      <c r="S94" s="327">
        <f t="shared" si="45"/>
        <v>0</v>
      </c>
      <c r="T94" s="317"/>
      <c r="U94" s="327">
        <f t="shared" si="46"/>
        <v>0</v>
      </c>
      <c r="V94" s="317"/>
      <c r="AG94" s="99" t="e">
        <f>AG95+AG135</f>
        <v>#REF!</v>
      </c>
      <c r="AH94" s="91" t="e">
        <f>D94-AG94</f>
        <v>#REF!</v>
      </c>
      <c r="AI94" s="105" t="e">
        <f>100%-(AG94/D94)</f>
        <v>#REF!</v>
      </c>
      <c r="AK94" s="27" t="e">
        <f t="shared" ref="AK94:AQ94" si="60">AK95+AK135</f>
        <v>#REF!</v>
      </c>
      <c r="AL94" s="27" t="e">
        <f t="shared" si="60"/>
        <v>#REF!</v>
      </c>
      <c r="AM94" s="27" t="e">
        <f t="shared" si="60"/>
        <v>#REF!</v>
      </c>
      <c r="AN94" s="27" t="e">
        <f t="shared" si="60"/>
        <v>#REF!</v>
      </c>
      <c r="AO94" s="27" t="e">
        <f t="shared" si="60"/>
        <v>#REF!</v>
      </c>
      <c r="AP94" s="27" t="e">
        <f t="shared" si="60"/>
        <v>#REF!</v>
      </c>
      <c r="AQ94" s="27" t="e">
        <f t="shared" si="60"/>
        <v>#REF!</v>
      </c>
    </row>
    <row r="95" spans="1:43" s="4" customFormat="1" ht="42" customHeight="1">
      <c r="A95" s="19" t="s">
        <v>46</v>
      </c>
      <c r="B95" s="17" t="s">
        <v>47</v>
      </c>
      <c r="C95" s="211" t="s">
        <v>9</v>
      </c>
      <c r="D95" s="27">
        <f>D97+D98+D99+D100+D101+D107+D108+D109+D112+D113+D114+D117</f>
        <v>218490.58824175212</v>
      </c>
      <c r="E95" s="27">
        <f>E97+E98+E99+E100+E101+E107+E108+E109+E112+E113+E114+E117</f>
        <v>22429.350152546129</v>
      </c>
      <c r="F95" s="27">
        <f>F97+F98+F99+F100+F101+F107+F108+F109+F112+F113+F114+F117</f>
        <v>29372.258661248019</v>
      </c>
      <c r="G95" s="27">
        <f>G97+G98+G99+G100+G101+G107+G108+G109+G112+G113+G114+G117</f>
        <v>152448.95349102729</v>
      </c>
      <c r="H95" s="27">
        <f>H97+H98+H99+H100+H101+H107+H108+H109+H112+H113+H114+H117</f>
        <v>14240.025936930659</v>
      </c>
      <c r="I95" s="6"/>
      <c r="J95" s="6"/>
      <c r="K95" s="27">
        <f>K97+K98+K99+K100+K101+K107+K108+K109+K112+K113+K114+K117</f>
        <v>205400.59825860927</v>
      </c>
      <c r="L95" s="27">
        <f>L97+L98+L99+L100+L101+L107+L108+L109+L112+L113+L114+L117</f>
        <v>17282.50675098924</v>
      </c>
      <c r="M95" s="27">
        <f>M97+M98+M99+M100+M101+M107+M108+M109+M112+M113+M114+M117</f>
        <v>25477.180729657826</v>
      </c>
      <c r="N95" s="27">
        <f>N97+N98+N99+N100+N101+N107+N108+N109+N112+N113+N114+N117</f>
        <v>154959.82017724743</v>
      </c>
      <c r="O95" s="27">
        <f>O97+O98+O99+O100+O101+O107+O108+O109+O112+O113+O114+O117</f>
        <v>7681.0906007147496</v>
      </c>
      <c r="Q95" s="15"/>
      <c r="R95" s="326">
        <v>205400.59825860927</v>
      </c>
      <c r="S95" s="327">
        <f t="shared" si="45"/>
        <v>0</v>
      </c>
      <c r="T95" s="317"/>
      <c r="U95" s="327">
        <f t="shared" si="46"/>
        <v>0</v>
      </c>
      <c r="V95" s="317"/>
      <c r="AG95" s="99" t="e">
        <f>AG97+AG98+AG99+AG100+AG101+AG107+AG108+AG109+AG112+AG113+AG114+AG117</f>
        <v>#REF!</v>
      </c>
      <c r="AH95" s="91" t="e">
        <f>D95-AG95</f>
        <v>#REF!</v>
      </c>
      <c r="AI95" s="98" t="e">
        <f>100%-(AG95/D95)</f>
        <v>#REF!</v>
      </c>
      <c r="AK95" s="27" t="e">
        <f t="shared" ref="AK95:AQ95" si="61">AK97+AK98+AK99+AK100+AK101+AK107+AK108+AK109+AK112+AK113+AK114+AK117</f>
        <v>#REF!</v>
      </c>
      <c r="AL95" s="27" t="e">
        <f t="shared" si="61"/>
        <v>#REF!</v>
      </c>
      <c r="AM95" s="27" t="e">
        <f t="shared" si="61"/>
        <v>#REF!</v>
      </c>
      <c r="AN95" s="27" t="e">
        <f t="shared" si="61"/>
        <v>#REF!</v>
      </c>
      <c r="AO95" s="27" t="e">
        <f t="shared" si="61"/>
        <v>#REF!</v>
      </c>
      <c r="AP95" s="27" t="e">
        <f t="shared" si="61"/>
        <v>#REF!</v>
      </c>
      <c r="AQ95" s="27" t="e">
        <f t="shared" si="61"/>
        <v>#REF!</v>
      </c>
    </row>
    <row r="96" spans="1:43" s="4" customFormat="1">
      <c r="A96" s="13"/>
      <c r="B96" s="12" t="s">
        <v>7</v>
      </c>
      <c r="C96" s="211"/>
      <c r="D96" s="25"/>
      <c r="E96" s="25"/>
      <c r="F96" s="25"/>
      <c r="G96" s="25"/>
      <c r="H96" s="33"/>
      <c r="K96" s="25"/>
      <c r="L96" s="25"/>
      <c r="M96" s="25"/>
      <c r="N96" s="25"/>
      <c r="O96" s="33"/>
      <c r="Q96" s="15"/>
      <c r="R96" s="331"/>
      <c r="S96" s="327"/>
      <c r="T96" s="317"/>
      <c r="U96" s="327"/>
      <c r="V96" s="317"/>
      <c r="AG96" s="92"/>
      <c r="AH96" s="92"/>
      <c r="AI96" s="97"/>
      <c r="AK96" s="25"/>
      <c r="AL96" s="25"/>
      <c r="AM96" s="25"/>
      <c r="AN96" s="25"/>
      <c r="AO96" s="32"/>
      <c r="AP96" s="33"/>
      <c r="AQ96" s="33"/>
    </row>
    <row r="97" spans="1:43" s="4" customFormat="1" ht="39.75" customHeight="1">
      <c r="A97" s="13" t="s">
        <v>49</v>
      </c>
      <c r="B97" s="12" t="s">
        <v>48</v>
      </c>
      <c r="C97" s="211" t="s">
        <v>9</v>
      </c>
      <c r="D97" s="25">
        <f>SUM(E97:H97)</f>
        <v>131547.80799999999</v>
      </c>
      <c r="E97" s="25">
        <v>12328.394755807522</v>
      </c>
      <c r="F97" s="25">
        <v>17000.511290259903</v>
      </c>
      <c r="G97" s="33">
        <v>93450.600293462659</v>
      </c>
      <c r="H97" s="33">
        <v>8768.3016604699133</v>
      </c>
      <c r="K97" s="25">
        <v>131541.34399999998</v>
      </c>
      <c r="L97" s="25">
        <v>9610.0834637319313</v>
      </c>
      <c r="M97" s="25">
        <v>15603.097956784859</v>
      </c>
      <c r="N97" s="321">
        <f>K97-L97-M97-O97</f>
        <v>101259.53465775034</v>
      </c>
      <c r="O97" s="25">
        <v>5068.627921732862</v>
      </c>
      <c r="Q97" s="15"/>
      <c r="R97" s="326">
        <v>131541.34399999998</v>
      </c>
      <c r="S97" s="327">
        <f t="shared" si="45"/>
        <v>0</v>
      </c>
      <c r="T97" s="15"/>
      <c r="U97" s="327">
        <f t="shared" si="46"/>
        <v>0</v>
      </c>
      <c r="AG97" s="92" t="e">
        <f>#REF!</f>
        <v>#REF!</v>
      </c>
      <c r="AH97" s="92" t="e">
        <f>D97-AG97</f>
        <v>#REF!</v>
      </c>
      <c r="AI97" s="97" t="e">
        <f>100%-(AG97/D97)</f>
        <v>#REF!</v>
      </c>
      <c r="AK97" s="25" t="e">
        <f t="shared" ref="AK97:AK99" si="62">SUM(AL97:AQ97)</f>
        <v>#REF!</v>
      </c>
      <c r="AL97" s="25" t="e">
        <f>#REF!</f>
        <v>#REF!</v>
      </c>
      <c r="AM97" s="25" t="e">
        <f>#REF!</f>
        <v>#REF!</v>
      </c>
      <c r="AN97" s="25" t="e">
        <f>#REF!</f>
        <v>#REF!</v>
      </c>
      <c r="AO97" s="25" t="e">
        <f>#REF!</f>
        <v>#REF!</v>
      </c>
      <c r="AP97" s="25" t="e">
        <f>#REF!</f>
        <v>#REF!</v>
      </c>
      <c r="AQ97" s="25" t="e">
        <f>#REF!</f>
        <v>#REF!</v>
      </c>
    </row>
    <row r="98" spans="1:43" s="4" customFormat="1" ht="24.75" customHeight="1">
      <c r="A98" s="13" t="s">
        <v>50</v>
      </c>
      <c r="B98" s="12" t="s">
        <v>20</v>
      </c>
      <c r="C98" s="211" t="s">
        <v>9</v>
      </c>
      <c r="D98" s="25">
        <f>SUM(E98:H98)</f>
        <v>13023.232991999999</v>
      </c>
      <c r="E98" s="25">
        <v>1220.5110808249447</v>
      </c>
      <c r="F98" s="25">
        <v>1683.0506177357304</v>
      </c>
      <c r="G98" s="33">
        <v>9251.6094290528017</v>
      </c>
      <c r="H98" s="33">
        <v>868.06186438652139</v>
      </c>
      <c r="K98" s="25">
        <v>13022.593056</v>
      </c>
      <c r="L98" s="25">
        <v>951.39826290946144</v>
      </c>
      <c r="M98" s="25">
        <v>1544.7066977217012</v>
      </c>
      <c r="N98" s="321">
        <f>K98-L98-M98-O98</f>
        <v>10024.693931117283</v>
      </c>
      <c r="O98" s="25">
        <v>501.79416425155341</v>
      </c>
      <c r="Q98" s="15"/>
      <c r="R98" s="326">
        <v>13022.593056</v>
      </c>
      <c r="S98" s="327">
        <f t="shared" si="45"/>
        <v>0</v>
      </c>
      <c r="T98" s="15"/>
      <c r="U98" s="327">
        <f t="shared" si="46"/>
        <v>0</v>
      </c>
      <c r="AG98" s="92" t="e">
        <f>#REF!</f>
        <v>#REF!</v>
      </c>
      <c r="AH98" s="92" t="e">
        <f>D98-AG98</f>
        <v>#REF!</v>
      </c>
      <c r="AI98" s="97" t="e">
        <f>100%-(AG98/D98)</f>
        <v>#REF!</v>
      </c>
      <c r="AK98" s="25" t="e">
        <f t="shared" si="62"/>
        <v>#REF!</v>
      </c>
      <c r="AL98" s="25" t="e">
        <f>#REF!</f>
        <v>#REF!</v>
      </c>
      <c r="AM98" s="25" t="e">
        <f>#REF!</f>
        <v>#REF!</v>
      </c>
      <c r="AN98" s="25" t="e">
        <f>#REF!</f>
        <v>#REF!</v>
      </c>
      <c r="AO98" s="25" t="e">
        <f>#REF!</f>
        <v>#REF!</v>
      </c>
      <c r="AP98" s="25" t="e">
        <f>#REF!</f>
        <v>#REF!</v>
      </c>
      <c r="AQ98" s="25" t="e">
        <f>#REF!</f>
        <v>#REF!</v>
      </c>
    </row>
    <row r="99" spans="1:43" s="4" customFormat="1" ht="25.5" customHeight="1">
      <c r="A99" s="362" t="s">
        <v>51</v>
      </c>
      <c r="B99" s="59" t="s">
        <v>161</v>
      </c>
      <c r="C99" s="363"/>
      <c r="D99" s="25">
        <f>SUM(E99:H99)</f>
        <v>1246.3063199999999</v>
      </c>
      <c r="E99" s="60">
        <v>116.80130998167428</v>
      </c>
      <c r="F99" s="60">
        <v>161.06573713704353</v>
      </c>
      <c r="G99" s="33">
        <v>885.36689074694698</v>
      </c>
      <c r="H99" s="61">
        <v>83.072382134335129</v>
      </c>
      <c r="K99" s="25">
        <v>623.15316000000007</v>
      </c>
      <c r="L99" s="60">
        <v>45.526020155976973</v>
      </c>
      <c r="M99" s="60">
        <v>73.916834828447776</v>
      </c>
      <c r="N99" s="321">
        <f>K99-L99-M99-O99</f>
        <v>479.69860336919351</v>
      </c>
      <c r="O99" s="60">
        <v>24.011701646381738</v>
      </c>
      <c r="Q99" s="15"/>
      <c r="R99" s="326">
        <v>623.15316000000007</v>
      </c>
      <c r="S99" s="327">
        <f t="shared" si="45"/>
        <v>0</v>
      </c>
      <c r="T99" s="15"/>
      <c r="U99" s="327">
        <f t="shared" si="46"/>
        <v>0</v>
      </c>
      <c r="AG99" s="92" t="e">
        <f>#REF!</f>
        <v>#REF!</v>
      </c>
      <c r="AH99" s="92" t="e">
        <f>D99-AG99</f>
        <v>#REF!</v>
      </c>
      <c r="AI99" s="97" t="e">
        <f>100%-(AG99/D99)</f>
        <v>#REF!</v>
      </c>
      <c r="AK99" s="25" t="e">
        <f t="shared" si="62"/>
        <v>#REF!</v>
      </c>
      <c r="AL99" s="25" t="e">
        <f>#REF!</f>
        <v>#REF!</v>
      </c>
      <c r="AM99" s="25" t="e">
        <f>#REF!</f>
        <v>#REF!</v>
      </c>
      <c r="AN99" s="25" t="e">
        <f>#REF!</f>
        <v>#REF!</v>
      </c>
      <c r="AO99" s="25" t="e">
        <f>#REF!</f>
        <v>#REF!</v>
      </c>
      <c r="AP99" s="25" t="e">
        <f>#REF!</f>
        <v>#REF!</v>
      </c>
      <c r="AQ99" s="25" t="e">
        <f>#REF!</f>
        <v>#REF!</v>
      </c>
    </row>
    <row r="100" spans="1:43" s="4" customFormat="1" ht="39.75" customHeight="1">
      <c r="A100" s="13" t="s">
        <v>51</v>
      </c>
      <c r="B100" s="12" t="s">
        <v>22</v>
      </c>
      <c r="C100" s="43" t="s">
        <v>9</v>
      </c>
      <c r="D100" s="25">
        <f>SUM(E100:H100)</f>
        <v>5232.0325734999969</v>
      </c>
      <c r="E100" s="35">
        <v>2311.7882178798213</v>
      </c>
      <c r="F100" s="35">
        <v>1759.710122344595</v>
      </c>
      <c r="G100" s="33">
        <v>1052.5843791441646</v>
      </c>
      <c r="H100" s="35">
        <v>107.94985413141616</v>
      </c>
      <c r="K100" s="25">
        <v>5232.0325435000004</v>
      </c>
      <c r="L100" s="35">
        <v>2502.904137862261</v>
      </c>
      <c r="M100" s="35">
        <v>1701.3327369033032</v>
      </c>
      <c r="N100" s="321">
        <f>K100-L100-M100-O100</f>
        <v>1008.1605884517558</v>
      </c>
      <c r="O100" s="35">
        <v>19.635080282680551</v>
      </c>
      <c r="Q100" s="15"/>
      <c r="R100" s="326">
        <v>5232.0325435000004</v>
      </c>
      <c r="S100" s="327">
        <f t="shared" si="45"/>
        <v>0</v>
      </c>
      <c r="T100" s="15"/>
      <c r="U100" s="327">
        <f t="shared" si="46"/>
        <v>0</v>
      </c>
      <c r="AG100" s="92" t="e">
        <f>#REF!</f>
        <v>#REF!</v>
      </c>
      <c r="AH100" s="92" t="e">
        <f>D100-AG100</f>
        <v>#REF!</v>
      </c>
      <c r="AI100" s="97" t="e">
        <f>100%-(AG100/D100)</f>
        <v>#REF!</v>
      </c>
      <c r="AK100" s="25" t="e">
        <f>SUM(AL100:AQ100)</f>
        <v>#REF!</v>
      </c>
      <c r="AL100" s="25" t="e">
        <f>#REF!</f>
        <v>#REF!</v>
      </c>
      <c r="AM100" s="25" t="e">
        <f>#REF!</f>
        <v>#REF!</v>
      </c>
      <c r="AN100" s="25" t="e">
        <f>#REF!</f>
        <v>#REF!</v>
      </c>
      <c r="AO100" s="25" t="e">
        <f>#REF!</f>
        <v>#REF!</v>
      </c>
      <c r="AP100" s="25" t="e">
        <f>#REF!</f>
        <v>#REF!</v>
      </c>
      <c r="AQ100" s="25" t="e">
        <f>#REF!</f>
        <v>#REF!</v>
      </c>
    </row>
    <row r="101" spans="1:43" s="4" customFormat="1" ht="30.75" customHeight="1">
      <c r="A101" s="13" t="s">
        <v>54</v>
      </c>
      <c r="B101" s="12" t="s">
        <v>39</v>
      </c>
      <c r="C101" s="211" t="s">
        <v>9</v>
      </c>
      <c r="D101" s="25">
        <f>SUM(D103:D106)</f>
        <v>25588.812061714285</v>
      </c>
      <c r="E101" s="25">
        <f t="shared" ref="E101:AG101" si="63">SUM(E103:E106)</f>
        <v>2398.131760804275</v>
      </c>
      <c r="F101" s="25">
        <f t="shared" si="63"/>
        <v>3306.9565732293504</v>
      </c>
      <c r="G101" s="25">
        <f t="shared" si="63"/>
        <v>18178.104860278614</v>
      </c>
      <c r="H101" s="25">
        <f t="shared" si="63"/>
        <v>1705.618867402047</v>
      </c>
      <c r="K101" s="25">
        <f>SUM(K103:K106)</f>
        <v>25588.812061714285</v>
      </c>
      <c r="L101" s="25">
        <f t="shared" ref="L101:O101" si="64">SUM(L103:L106)</f>
        <v>1869.4549726573016</v>
      </c>
      <c r="M101" s="25">
        <f t="shared" si="64"/>
        <v>3035.2794722599615</v>
      </c>
      <c r="N101" s="25">
        <f t="shared" si="64"/>
        <v>19698.074559841945</v>
      </c>
      <c r="O101" s="25">
        <f t="shared" si="64"/>
        <v>986.0030569550795</v>
      </c>
      <c r="Q101" s="15"/>
      <c r="R101" s="326">
        <v>25588.812061714285</v>
      </c>
      <c r="S101" s="327">
        <f t="shared" si="45"/>
        <v>0</v>
      </c>
      <c r="T101" s="15"/>
      <c r="U101" s="327">
        <f t="shared" si="46"/>
        <v>0</v>
      </c>
      <c r="AG101" s="101" t="e">
        <f t="shared" si="63"/>
        <v>#REF!</v>
      </c>
      <c r="AH101" s="92" t="e">
        <f>D101-AG101</f>
        <v>#REF!</v>
      </c>
      <c r="AI101" s="97" t="e">
        <f>100%-(AG101/D101)</f>
        <v>#REF!</v>
      </c>
      <c r="AK101" s="25" t="e">
        <f>SUM(AK103:AK106)</f>
        <v>#REF!</v>
      </c>
      <c r="AL101" s="25" t="e">
        <f t="shared" ref="AL101:AQ101" si="65">SUM(AL103:AL106)</f>
        <v>#REF!</v>
      </c>
      <c r="AM101" s="25" t="e">
        <f t="shared" si="65"/>
        <v>#REF!</v>
      </c>
      <c r="AN101" s="25" t="e">
        <f t="shared" si="65"/>
        <v>#REF!</v>
      </c>
      <c r="AO101" s="25" t="e">
        <f t="shared" si="65"/>
        <v>#REF!</v>
      </c>
      <c r="AP101" s="25" t="e">
        <f t="shared" si="65"/>
        <v>#REF!</v>
      </c>
      <c r="AQ101" s="25" t="e">
        <f t="shared" si="65"/>
        <v>#REF!</v>
      </c>
    </row>
    <row r="102" spans="1:43" s="4" customFormat="1">
      <c r="A102" s="13"/>
      <c r="B102" s="12" t="s">
        <v>7</v>
      </c>
      <c r="C102" s="211"/>
      <c r="D102" s="25"/>
      <c r="E102" s="25"/>
      <c r="F102" s="25"/>
      <c r="G102" s="25"/>
      <c r="H102" s="33"/>
      <c r="K102" s="25"/>
      <c r="L102" s="25"/>
      <c r="M102" s="25"/>
      <c r="N102" s="25"/>
      <c r="O102" s="33"/>
      <c r="Q102" s="15"/>
      <c r="R102" s="326"/>
      <c r="S102" s="327"/>
      <c r="T102" s="15"/>
      <c r="U102" s="327"/>
      <c r="AG102" s="92"/>
      <c r="AH102" s="92"/>
      <c r="AI102" s="97"/>
      <c r="AK102" s="25"/>
      <c r="AL102" s="25"/>
      <c r="AM102" s="25"/>
      <c r="AN102" s="25"/>
      <c r="AO102" s="32"/>
      <c r="AP102" s="33"/>
      <c r="AQ102" s="33"/>
    </row>
    <row r="103" spans="1:43" s="4" customFormat="1" ht="36" customHeight="1">
      <c r="A103" s="9"/>
      <c r="B103" s="18" t="s">
        <v>52</v>
      </c>
      <c r="C103" s="9" t="s">
        <v>9</v>
      </c>
      <c r="D103" s="28">
        <f t="shared" ref="D103:D113" si="66">SUM(E103:H103)</f>
        <v>18023.565714285716</v>
      </c>
      <c r="E103" s="28">
        <v>1689.13215971605</v>
      </c>
      <c r="F103" s="28">
        <v>2329.2659685857752</v>
      </c>
      <c r="G103" s="29">
        <v>12803.809208502145</v>
      </c>
      <c r="H103" s="29">
        <v>1201.3583774817446</v>
      </c>
      <c r="I103" s="214"/>
      <c r="J103" s="214"/>
      <c r="K103" s="28">
        <v>18023.565714285716</v>
      </c>
      <c r="L103" s="28">
        <v>1316.7568884528273</v>
      </c>
      <c r="M103" s="28">
        <v>2137.9092901053918</v>
      </c>
      <c r="N103" s="320">
        <f>K103-L103-M103-O103</f>
        <v>13874.404971124177</v>
      </c>
      <c r="O103" s="28">
        <v>694.49456460332112</v>
      </c>
      <c r="Q103" s="15"/>
      <c r="R103" s="326">
        <v>18023.565714285716</v>
      </c>
      <c r="S103" s="327">
        <f t="shared" si="45"/>
        <v>0</v>
      </c>
      <c r="T103" s="15"/>
      <c r="U103" s="327">
        <f t="shared" si="46"/>
        <v>0</v>
      </c>
      <c r="AG103" s="93" t="e">
        <f>#REF!</f>
        <v>#REF!</v>
      </c>
      <c r="AH103" s="93" t="e">
        <f t="shared" ref="AH103:AH140" si="67">D103-AG103</f>
        <v>#REF!</v>
      </c>
      <c r="AI103" s="97" t="e">
        <f t="shared" ref="AI103:AI136" si="68">100%-(AG103/D103)</f>
        <v>#REF!</v>
      </c>
      <c r="AK103" s="28" t="e">
        <f t="shared" ref="AK103:AK113" si="69">SUM(AL103:AQ103)</f>
        <v>#REF!</v>
      </c>
      <c r="AL103" s="28" t="e">
        <f>#REF!</f>
        <v>#REF!</v>
      </c>
      <c r="AM103" s="28" t="e">
        <f>#REF!</f>
        <v>#REF!</v>
      </c>
      <c r="AN103" s="28" t="e">
        <f>#REF!</f>
        <v>#REF!</v>
      </c>
      <c r="AO103" s="28" t="e">
        <f>#REF!</f>
        <v>#REF!</v>
      </c>
      <c r="AP103" s="28" t="e">
        <f>#REF!</f>
        <v>#REF!</v>
      </c>
      <c r="AQ103" s="28" t="e">
        <f>#REF!</f>
        <v>#REF!</v>
      </c>
    </row>
    <row r="104" spans="1:43" s="4" customFormat="1" ht="20.25" customHeight="1">
      <c r="A104" s="9"/>
      <c r="B104" s="18" t="s">
        <v>53</v>
      </c>
      <c r="C104" s="9" t="s">
        <v>9</v>
      </c>
      <c r="D104" s="28">
        <f t="shared" si="66"/>
        <v>4719.9199999999992</v>
      </c>
      <c r="E104" s="28">
        <v>442.34136516992385</v>
      </c>
      <c r="F104" s="28">
        <v>609.97636121100174</v>
      </c>
      <c r="G104" s="29">
        <v>3352.9966332629438</v>
      </c>
      <c r="H104" s="29">
        <v>314.6056403561293</v>
      </c>
      <c r="I104" s="214"/>
      <c r="J104" s="214"/>
      <c r="K104" s="28">
        <v>4719.92</v>
      </c>
      <c r="L104" s="28">
        <v>344.82561727617463</v>
      </c>
      <c r="M104" s="28">
        <v>559.8648445327425</v>
      </c>
      <c r="N104" s="320">
        <f>K104-L104-M104-O104</f>
        <v>3633.3588230770165</v>
      </c>
      <c r="O104" s="28">
        <v>181.87071511406614</v>
      </c>
      <c r="Q104" s="15"/>
      <c r="R104" s="326">
        <v>4719.92</v>
      </c>
      <c r="S104" s="327">
        <f t="shared" si="45"/>
        <v>0</v>
      </c>
      <c r="T104" s="15"/>
      <c r="U104" s="327">
        <f t="shared" si="46"/>
        <v>0</v>
      </c>
      <c r="AG104" s="93" t="e">
        <f>#REF!</f>
        <v>#REF!</v>
      </c>
      <c r="AH104" s="93" t="e">
        <f t="shared" si="67"/>
        <v>#REF!</v>
      </c>
      <c r="AI104" s="97" t="e">
        <f t="shared" si="68"/>
        <v>#REF!</v>
      </c>
      <c r="AK104" s="28" t="e">
        <f t="shared" si="69"/>
        <v>#REF!</v>
      </c>
      <c r="AL104" s="28" t="e">
        <f>#REF!</f>
        <v>#REF!</v>
      </c>
      <c r="AM104" s="28" t="e">
        <f>#REF!</f>
        <v>#REF!</v>
      </c>
      <c r="AN104" s="28" t="e">
        <f>#REF!</f>
        <v>#REF!</v>
      </c>
      <c r="AO104" s="28" t="e">
        <f>#REF!</f>
        <v>#REF!</v>
      </c>
      <c r="AP104" s="28" t="e">
        <f>#REF!</f>
        <v>#REF!</v>
      </c>
      <c r="AQ104" s="28" t="e">
        <f>#REF!</f>
        <v>#REF!</v>
      </c>
    </row>
    <row r="105" spans="1:43" s="4" customFormat="1" ht="20.25" hidden="1" customHeight="1">
      <c r="A105" s="9"/>
      <c r="B105" s="18" t="s">
        <v>42</v>
      </c>
      <c r="C105" s="9" t="s">
        <v>9</v>
      </c>
      <c r="D105" s="28">
        <f t="shared" si="66"/>
        <v>0</v>
      </c>
      <c r="E105" s="28">
        <v>0</v>
      </c>
      <c r="F105" s="28">
        <v>0</v>
      </c>
      <c r="G105" s="29">
        <v>0</v>
      </c>
      <c r="H105" s="29">
        <v>0</v>
      </c>
      <c r="I105" s="214"/>
      <c r="J105" s="214"/>
      <c r="K105" s="28">
        <v>0</v>
      </c>
      <c r="L105" s="28"/>
      <c r="M105" s="28"/>
      <c r="N105" s="28"/>
      <c r="O105" s="29"/>
      <c r="Q105" s="15"/>
      <c r="R105" s="326">
        <v>0</v>
      </c>
      <c r="S105" s="327">
        <f t="shared" si="45"/>
        <v>0</v>
      </c>
      <c r="T105" s="15"/>
      <c r="U105" s="327">
        <f t="shared" si="46"/>
        <v>0</v>
      </c>
      <c r="AG105" s="93" t="e">
        <f>#REF!</f>
        <v>#REF!</v>
      </c>
      <c r="AH105" s="93" t="e">
        <f t="shared" si="67"/>
        <v>#REF!</v>
      </c>
      <c r="AI105" s="97" t="e">
        <f t="shared" si="68"/>
        <v>#REF!</v>
      </c>
      <c r="AK105" s="28" t="e">
        <f t="shared" si="69"/>
        <v>#REF!</v>
      </c>
      <c r="AL105" s="28" t="e">
        <f>#REF!</f>
        <v>#REF!</v>
      </c>
      <c r="AM105" s="28" t="e">
        <f>#REF!</f>
        <v>#REF!</v>
      </c>
      <c r="AN105" s="28" t="e">
        <f>#REF!</f>
        <v>#REF!</v>
      </c>
      <c r="AO105" s="28" t="e">
        <f>#REF!</f>
        <v>#REF!</v>
      </c>
      <c r="AP105" s="28" t="e">
        <f>#REF!</f>
        <v>#REF!</v>
      </c>
      <c r="AQ105" s="28" t="e">
        <f>#REF!</f>
        <v>#REF!</v>
      </c>
    </row>
    <row r="106" spans="1:43" s="4" customFormat="1" ht="20.25" customHeight="1">
      <c r="A106" s="9"/>
      <c r="B106" s="18" t="s">
        <v>28</v>
      </c>
      <c r="C106" s="9" t="s">
        <v>9</v>
      </c>
      <c r="D106" s="28">
        <f t="shared" si="66"/>
        <v>2845.3263474285718</v>
      </c>
      <c r="E106" s="28">
        <v>266.65823591830105</v>
      </c>
      <c r="F106" s="28">
        <v>367.7142434325732</v>
      </c>
      <c r="G106" s="29">
        <v>2021.2990185135241</v>
      </c>
      <c r="H106" s="29">
        <v>189.65484956417319</v>
      </c>
      <c r="I106" s="214"/>
      <c r="J106" s="214"/>
      <c r="K106" s="28">
        <v>2845.3263474285718</v>
      </c>
      <c r="L106" s="28">
        <v>207.87246692829976</v>
      </c>
      <c r="M106" s="28">
        <v>337.50533762182692</v>
      </c>
      <c r="N106" s="320">
        <f>K106-L106-M106-O106</f>
        <v>2190.3107656407528</v>
      </c>
      <c r="O106" s="28">
        <v>109.63777723769221</v>
      </c>
      <c r="Q106" s="15"/>
      <c r="R106" s="326">
        <v>2845.3263474285718</v>
      </c>
      <c r="S106" s="327">
        <f t="shared" si="45"/>
        <v>0</v>
      </c>
      <c r="T106" s="15"/>
      <c r="U106" s="327">
        <f t="shared" si="46"/>
        <v>0</v>
      </c>
      <c r="AG106" s="93" t="e">
        <f>#REF!</f>
        <v>#REF!</v>
      </c>
      <c r="AH106" s="93" t="e">
        <f t="shared" si="67"/>
        <v>#REF!</v>
      </c>
      <c r="AI106" s="97" t="e">
        <f t="shared" si="68"/>
        <v>#REF!</v>
      </c>
      <c r="AK106" s="28" t="e">
        <f t="shared" si="69"/>
        <v>#REF!</v>
      </c>
      <c r="AL106" s="28" t="e">
        <f>#REF!</f>
        <v>#REF!</v>
      </c>
      <c r="AM106" s="28" t="e">
        <f>#REF!</f>
        <v>#REF!</v>
      </c>
      <c r="AN106" s="28" t="e">
        <f>#REF!</f>
        <v>#REF!</v>
      </c>
      <c r="AO106" s="28" t="e">
        <f>#REF!</f>
        <v>#REF!</v>
      </c>
      <c r="AP106" s="28" t="e">
        <f>#REF!</f>
        <v>#REF!</v>
      </c>
      <c r="AQ106" s="28" t="e">
        <f>#REF!</f>
        <v>#REF!</v>
      </c>
    </row>
    <row r="107" spans="1:43" s="4" customFormat="1" ht="25.5" customHeight="1">
      <c r="A107" s="13" t="s">
        <v>55</v>
      </c>
      <c r="B107" s="12" t="s">
        <v>32</v>
      </c>
      <c r="C107" s="211" t="s">
        <v>9</v>
      </c>
      <c r="D107" s="25">
        <f t="shared" si="66"/>
        <v>22641.260000000002</v>
      </c>
      <c r="E107" s="25">
        <v>2121.8931375038546</v>
      </c>
      <c r="F107" s="25">
        <v>2926.0312437567181</v>
      </c>
      <c r="G107" s="33">
        <v>16084.185442302198</v>
      </c>
      <c r="H107" s="33">
        <v>1509.1501764372315</v>
      </c>
      <c r="K107" s="25">
        <v>11410.545</v>
      </c>
      <c r="L107" s="25">
        <v>833.62604092496645</v>
      </c>
      <c r="M107" s="25">
        <v>1353.4896783121033</v>
      </c>
      <c r="N107" s="321">
        <f>K107-L107-M107-O107</f>
        <v>8783.7514940650126</v>
      </c>
      <c r="O107" s="25">
        <v>439.67778669791687</v>
      </c>
      <c r="Q107" s="15"/>
      <c r="R107" s="326">
        <v>11410.545</v>
      </c>
      <c r="S107" s="327">
        <f t="shared" si="45"/>
        <v>0</v>
      </c>
      <c r="T107" s="15"/>
      <c r="U107" s="327">
        <f t="shared" si="46"/>
        <v>0</v>
      </c>
      <c r="AG107" s="92" t="e">
        <f>#REF!</f>
        <v>#REF!</v>
      </c>
      <c r="AH107" s="92" t="e">
        <f t="shared" si="67"/>
        <v>#REF!</v>
      </c>
      <c r="AI107" s="97" t="e">
        <f t="shared" si="68"/>
        <v>#REF!</v>
      </c>
      <c r="AK107" s="25" t="e">
        <f t="shared" si="69"/>
        <v>#REF!</v>
      </c>
      <c r="AL107" s="25" t="e">
        <f>#REF!</f>
        <v>#REF!</v>
      </c>
      <c r="AM107" s="25" t="e">
        <f>#REF!</f>
        <v>#REF!</v>
      </c>
      <c r="AN107" s="25" t="e">
        <f>#REF!</f>
        <v>#REF!</v>
      </c>
      <c r="AO107" s="25" t="e">
        <f>#REF!</f>
        <v>#REF!</v>
      </c>
      <c r="AP107" s="25" t="e">
        <f>#REF!</f>
        <v>#REF!</v>
      </c>
      <c r="AQ107" s="25" t="e">
        <f>#REF!</f>
        <v>#REF!</v>
      </c>
    </row>
    <row r="108" spans="1:43" s="4" customFormat="1" ht="25.5" hidden="1" customHeight="1">
      <c r="A108" s="13" t="s">
        <v>57</v>
      </c>
      <c r="B108" s="12" t="s">
        <v>56</v>
      </c>
      <c r="C108" s="211" t="s">
        <v>9</v>
      </c>
      <c r="D108" s="25">
        <f t="shared" si="66"/>
        <v>0</v>
      </c>
      <c r="E108" s="25">
        <v>0</v>
      </c>
      <c r="F108" s="25">
        <v>0</v>
      </c>
      <c r="G108" s="25">
        <v>0</v>
      </c>
      <c r="H108" s="33">
        <v>0</v>
      </c>
      <c r="K108" s="25">
        <f>'[53]Свод АУП'!$C$23</f>
        <v>0</v>
      </c>
      <c r="L108" s="25">
        <v>0</v>
      </c>
      <c r="M108" s="25">
        <v>0</v>
      </c>
      <c r="N108" s="25">
        <v>0</v>
      </c>
      <c r="O108" s="33">
        <v>0</v>
      </c>
      <c r="Q108" s="15"/>
      <c r="R108" s="326">
        <v>0</v>
      </c>
      <c r="S108" s="327">
        <f t="shared" si="45"/>
        <v>0</v>
      </c>
      <c r="T108" s="15"/>
      <c r="U108" s="327">
        <f t="shared" si="46"/>
        <v>0</v>
      </c>
      <c r="AG108" s="92">
        <v>0</v>
      </c>
      <c r="AH108" s="92">
        <f t="shared" si="67"/>
        <v>0</v>
      </c>
      <c r="AI108" s="97" t="e">
        <f t="shared" si="68"/>
        <v>#DIV/0!</v>
      </c>
      <c r="AK108" s="25">
        <f t="shared" si="69"/>
        <v>0</v>
      </c>
      <c r="AL108" s="25">
        <v>0</v>
      </c>
      <c r="AM108" s="25">
        <v>0</v>
      </c>
      <c r="AN108" s="25">
        <v>0</v>
      </c>
      <c r="AO108" s="33">
        <v>0</v>
      </c>
      <c r="AP108" s="33">
        <v>0</v>
      </c>
      <c r="AQ108" s="33">
        <v>0</v>
      </c>
    </row>
    <row r="109" spans="1:43" s="4" customFormat="1" ht="25.5" customHeight="1">
      <c r="A109" s="13" t="s">
        <v>109</v>
      </c>
      <c r="B109" s="12" t="s">
        <v>34</v>
      </c>
      <c r="C109" s="211" t="s">
        <v>9</v>
      </c>
      <c r="D109" s="25">
        <f t="shared" si="66"/>
        <v>14.456618799999996</v>
      </c>
      <c r="E109" s="25">
        <f>SUM(E110:E111)</f>
        <v>6.3876974278588996</v>
      </c>
      <c r="F109" s="25">
        <f>SUM(F110:F111)</f>
        <v>4.8622515398865911</v>
      </c>
      <c r="G109" s="25">
        <f>SUM(G110:G111)</f>
        <v>2.9083938049610576</v>
      </c>
      <c r="H109" s="215">
        <f>SUM(H110:H111)</f>
        <v>0.29827602729344682</v>
      </c>
      <c r="K109" s="25">
        <f>SUM(L109:O109)</f>
        <v>14.456618799999999</v>
      </c>
      <c r="L109" s="25">
        <f>L110+L111</f>
        <v>6.9157694859849155</v>
      </c>
      <c r="M109" s="25">
        <f t="shared" ref="M109:O109" si="70">M110+M111</f>
        <v>4.7009491292113452</v>
      </c>
      <c r="N109" s="25">
        <f t="shared" si="70"/>
        <v>2.7856465332077143</v>
      </c>
      <c r="O109" s="215">
        <f t="shared" si="70"/>
        <v>5.4253651596024126E-2</v>
      </c>
      <c r="Q109" s="15"/>
      <c r="R109" s="326">
        <v>14.456618799999999</v>
      </c>
      <c r="S109" s="327">
        <f t="shared" si="45"/>
        <v>0</v>
      </c>
      <c r="T109" s="15"/>
      <c r="U109" s="327">
        <f t="shared" si="46"/>
        <v>0</v>
      </c>
      <c r="AG109" s="101" t="e">
        <f>SUM(AG110:AG111)</f>
        <v>#REF!</v>
      </c>
      <c r="AH109" s="92" t="e">
        <f t="shared" si="67"/>
        <v>#REF!</v>
      </c>
      <c r="AI109" s="97" t="e">
        <f t="shared" si="68"/>
        <v>#REF!</v>
      </c>
      <c r="AK109" s="25" t="e">
        <f>SUM(AL109:AQ109)</f>
        <v>#REF!</v>
      </c>
      <c r="AL109" s="25" t="e">
        <f t="shared" ref="AL109:AQ109" si="71">SUM(AL110:AL111)</f>
        <v>#REF!</v>
      </c>
      <c r="AM109" s="25" t="e">
        <f t="shared" si="71"/>
        <v>#REF!</v>
      </c>
      <c r="AN109" s="25" t="e">
        <f t="shared" si="71"/>
        <v>#REF!</v>
      </c>
      <c r="AO109" s="25" t="e">
        <f t="shared" si="71"/>
        <v>#REF!</v>
      </c>
      <c r="AP109" s="25" t="e">
        <f t="shared" si="71"/>
        <v>#REF!</v>
      </c>
      <c r="AQ109" s="25" t="e">
        <f t="shared" si="71"/>
        <v>#REF!</v>
      </c>
    </row>
    <row r="110" spans="1:43" s="4" customFormat="1" ht="21" customHeight="1" outlineLevel="1">
      <c r="A110" s="13"/>
      <c r="B110" s="18" t="s">
        <v>112</v>
      </c>
      <c r="C110" s="361" t="s">
        <v>9</v>
      </c>
      <c r="D110" s="28">
        <f t="shared" si="66"/>
        <v>6.319618799999998</v>
      </c>
      <c r="E110" s="44">
        <v>2.7923412322256671</v>
      </c>
      <c r="F110" s="44">
        <v>2.1255022814737456</v>
      </c>
      <c r="G110" s="29">
        <v>1.2713858213952098</v>
      </c>
      <c r="H110" s="45">
        <v>0.13038946490537465</v>
      </c>
      <c r="I110" s="214"/>
      <c r="J110" s="214"/>
      <c r="K110" s="28">
        <v>6.3196188000000006</v>
      </c>
      <c r="L110" s="44">
        <v>3.0231845678947153</v>
      </c>
      <c r="M110" s="44">
        <v>2.054989960363875</v>
      </c>
      <c r="N110" s="320">
        <f>K110-L110-M110-O110</f>
        <v>1.2177276336161189</v>
      </c>
      <c r="O110" s="44">
        <v>2.371663812529138E-2</v>
      </c>
      <c r="Q110" s="15"/>
      <c r="R110" s="326">
        <v>6.3196188000000006</v>
      </c>
      <c r="S110" s="327">
        <f t="shared" si="45"/>
        <v>0</v>
      </c>
      <c r="T110" s="15"/>
      <c r="U110" s="327">
        <f t="shared" si="46"/>
        <v>0</v>
      </c>
      <c r="AG110" s="93" t="e">
        <f>#REF!</f>
        <v>#REF!</v>
      </c>
      <c r="AH110" s="93" t="e">
        <f t="shared" si="67"/>
        <v>#REF!</v>
      </c>
      <c r="AI110" s="97" t="e">
        <f t="shared" si="68"/>
        <v>#REF!</v>
      </c>
      <c r="AK110" s="28" t="e">
        <f t="shared" si="69"/>
        <v>#REF!</v>
      </c>
      <c r="AL110" s="44" t="e">
        <f>#REF!</f>
        <v>#REF!</v>
      </c>
      <c r="AM110" s="44" t="e">
        <f>#REF!</f>
        <v>#REF!</v>
      </c>
      <c r="AN110" s="44" t="e">
        <f>#REF!</f>
        <v>#REF!</v>
      </c>
      <c r="AO110" s="44" t="e">
        <f>#REF!</f>
        <v>#REF!</v>
      </c>
      <c r="AP110" s="44" t="e">
        <f>#REF!</f>
        <v>#REF!</v>
      </c>
      <c r="AQ110" s="44" t="e">
        <f>#REF!</f>
        <v>#REF!</v>
      </c>
    </row>
    <row r="111" spans="1:43" s="4" customFormat="1" ht="21" customHeight="1" outlineLevel="1">
      <c r="A111" s="13"/>
      <c r="B111" s="18" t="s">
        <v>96</v>
      </c>
      <c r="C111" s="361" t="s">
        <v>9</v>
      </c>
      <c r="D111" s="28">
        <f t="shared" si="66"/>
        <v>8.1369999999999969</v>
      </c>
      <c r="E111" s="44">
        <v>3.5953561956332325</v>
      </c>
      <c r="F111" s="44">
        <v>2.736749258412845</v>
      </c>
      <c r="G111" s="29">
        <v>1.6370079835658478</v>
      </c>
      <c r="H111" s="45">
        <v>0.16788656238807217</v>
      </c>
      <c r="I111" s="214"/>
      <c r="J111" s="214"/>
      <c r="K111" s="28">
        <v>8.1369999999999987</v>
      </c>
      <c r="L111" s="44">
        <v>3.8925849180902006</v>
      </c>
      <c r="M111" s="44">
        <v>2.6459591688474702</v>
      </c>
      <c r="N111" s="320">
        <f>K111-L111-M111-O111</f>
        <v>1.5679188995915951</v>
      </c>
      <c r="O111" s="44">
        <v>3.0537013470732746E-2</v>
      </c>
      <c r="Q111" s="15"/>
      <c r="R111" s="326">
        <v>8.1369999999999987</v>
      </c>
      <c r="S111" s="327">
        <f t="shared" si="45"/>
        <v>0</v>
      </c>
      <c r="T111" s="15"/>
      <c r="U111" s="327">
        <f t="shared" si="46"/>
        <v>0</v>
      </c>
      <c r="AG111" s="93" t="e">
        <f>#REF!</f>
        <v>#REF!</v>
      </c>
      <c r="AH111" s="93" t="e">
        <f t="shared" si="67"/>
        <v>#REF!</v>
      </c>
      <c r="AI111" s="97" t="e">
        <f t="shared" si="68"/>
        <v>#REF!</v>
      </c>
      <c r="AK111" s="28" t="e">
        <f t="shared" si="69"/>
        <v>#REF!</v>
      </c>
      <c r="AL111" s="44" t="e">
        <f>#REF!</f>
        <v>#REF!</v>
      </c>
      <c r="AM111" s="44" t="e">
        <f>#REF!</f>
        <v>#REF!</v>
      </c>
      <c r="AN111" s="44" t="e">
        <f>#REF!</f>
        <v>#REF!</v>
      </c>
      <c r="AO111" s="44" t="e">
        <f>#REF!</f>
        <v>#REF!</v>
      </c>
      <c r="AP111" s="44" t="e">
        <f>#REF!</f>
        <v>#REF!</v>
      </c>
      <c r="AQ111" s="44" t="e">
        <f>#REF!</f>
        <v>#REF!</v>
      </c>
    </row>
    <row r="112" spans="1:43" s="4" customFormat="1" ht="24.75" hidden="1" customHeight="1">
      <c r="A112" s="13" t="s">
        <v>58</v>
      </c>
      <c r="B112" s="12" t="s">
        <v>59</v>
      </c>
      <c r="C112" s="211" t="s">
        <v>9</v>
      </c>
      <c r="D112" s="25">
        <f t="shared" si="66"/>
        <v>0</v>
      </c>
      <c r="E112" s="25"/>
      <c r="F112" s="25"/>
      <c r="G112" s="25"/>
      <c r="H112" s="33"/>
      <c r="K112" s="25">
        <v>0</v>
      </c>
      <c r="L112" s="25"/>
      <c r="M112" s="25"/>
      <c r="N112" s="25"/>
      <c r="O112" s="33"/>
      <c r="Q112" s="15"/>
      <c r="R112" s="326">
        <v>0</v>
      </c>
      <c r="S112" s="327">
        <f t="shared" si="45"/>
        <v>0</v>
      </c>
      <c r="T112" s="15"/>
      <c r="U112" s="327">
        <f t="shared" si="46"/>
        <v>0</v>
      </c>
      <c r="AG112" s="92"/>
      <c r="AH112" s="92">
        <f t="shared" si="67"/>
        <v>0</v>
      </c>
      <c r="AI112" s="97" t="e">
        <f t="shared" si="68"/>
        <v>#DIV/0!</v>
      </c>
      <c r="AK112" s="25">
        <f t="shared" si="69"/>
        <v>0</v>
      </c>
      <c r="AL112" s="25"/>
      <c r="AM112" s="25"/>
      <c r="AN112" s="25"/>
      <c r="AO112" s="33"/>
      <c r="AP112" s="33"/>
      <c r="AQ112" s="33"/>
    </row>
    <row r="113" spans="1:43" s="4" customFormat="1" ht="25.5" customHeight="1">
      <c r="A113" s="13" t="s">
        <v>60</v>
      </c>
      <c r="B113" s="12" t="s">
        <v>30</v>
      </c>
      <c r="C113" s="211" t="s">
        <v>9</v>
      </c>
      <c r="D113" s="25">
        <f t="shared" si="66"/>
        <v>1730.3571428571427</v>
      </c>
      <c r="E113" s="25">
        <v>162.16557501037255</v>
      </c>
      <c r="F113" s="25">
        <v>223.62178884291802</v>
      </c>
      <c r="G113" s="33">
        <v>1229.2330535988931</v>
      </c>
      <c r="H113" s="33">
        <v>115.33672540495894</v>
      </c>
      <c r="K113" s="25">
        <v>903.125</v>
      </c>
      <c r="L113" s="25">
        <v>65.980066527090543</v>
      </c>
      <c r="M113" s="25">
        <v>107.12637877731679</v>
      </c>
      <c r="N113" s="321">
        <f>K113-L113-M113-O113</f>
        <v>695.21881453317656</v>
      </c>
      <c r="O113" s="25">
        <v>34.7997401624161</v>
      </c>
      <c r="Q113" s="15"/>
      <c r="R113" s="326">
        <v>903.125</v>
      </c>
      <c r="S113" s="327">
        <f t="shared" si="45"/>
        <v>0</v>
      </c>
      <c r="T113" s="15"/>
      <c r="U113" s="327">
        <f t="shared" si="46"/>
        <v>0</v>
      </c>
      <c r="AG113" s="92" t="e">
        <f>#REF!</f>
        <v>#REF!</v>
      </c>
      <c r="AH113" s="92" t="e">
        <f t="shared" si="67"/>
        <v>#REF!</v>
      </c>
      <c r="AI113" s="97" t="e">
        <f t="shared" si="68"/>
        <v>#REF!</v>
      </c>
      <c r="AK113" s="25" t="e">
        <f t="shared" si="69"/>
        <v>#REF!</v>
      </c>
      <c r="AL113" s="25" t="e">
        <f>#REF!</f>
        <v>#REF!</v>
      </c>
      <c r="AM113" s="25" t="e">
        <f>#REF!</f>
        <v>#REF!</v>
      </c>
      <c r="AN113" s="25" t="e">
        <f>#REF!</f>
        <v>#REF!</v>
      </c>
      <c r="AO113" s="25" t="e">
        <f>#REF!</f>
        <v>#REF!</v>
      </c>
      <c r="AP113" s="25" t="e">
        <f>#REF!</f>
        <v>#REF!</v>
      </c>
      <c r="AQ113" s="25" t="e">
        <f>#REF!</f>
        <v>#REF!</v>
      </c>
    </row>
    <row r="114" spans="1:43" s="4" customFormat="1" ht="26.25" customHeight="1">
      <c r="A114" s="13" t="s">
        <v>61</v>
      </c>
      <c r="B114" s="12" t="s">
        <v>62</v>
      </c>
      <c r="C114" s="211" t="s">
        <v>9</v>
      </c>
      <c r="D114" s="25">
        <f>SUM(D115:D116)</f>
        <v>296.57707597199999</v>
      </c>
      <c r="E114" s="25">
        <f>SUM(E115:E116)</f>
        <v>27.794604286419837</v>
      </c>
      <c r="F114" s="25">
        <f>SUM(F115:F116)</f>
        <v>38.327981325954553</v>
      </c>
      <c r="G114" s="25">
        <f>SUM(G115:G116)</f>
        <v>210.68618477370052</v>
      </c>
      <c r="H114" s="25">
        <f>SUM(H115:H116)</f>
        <v>19.768305585925077</v>
      </c>
      <c r="K114" s="25">
        <f>SUM(K115:K116)</f>
        <v>296.57707597200005</v>
      </c>
      <c r="L114" s="25">
        <f>SUM(L115:L116)</f>
        <v>21.66718361582566</v>
      </c>
      <c r="M114" s="25">
        <f>SUM(M115:M116)</f>
        <v>35.179214590721699</v>
      </c>
      <c r="N114" s="25">
        <f>SUM(N115:N116)</f>
        <v>228.30279659512217</v>
      </c>
      <c r="O114" s="25">
        <f>SUM(O115:O116)</f>
        <v>11.427881170330508</v>
      </c>
      <c r="Q114" s="15"/>
      <c r="R114" s="326">
        <v>296.57707597200005</v>
      </c>
      <c r="S114" s="327">
        <f t="shared" si="45"/>
        <v>0</v>
      </c>
      <c r="T114" s="15"/>
      <c r="U114" s="327">
        <f t="shared" si="46"/>
        <v>0</v>
      </c>
      <c r="AG114" s="101" t="e">
        <f>SUM(AG115:AG116)</f>
        <v>#REF!</v>
      </c>
      <c r="AH114" s="92" t="e">
        <f t="shared" si="67"/>
        <v>#REF!</v>
      </c>
      <c r="AI114" s="97" t="e">
        <f t="shared" si="68"/>
        <v>#REF!</v>
      </c>
      <c r="AK114" s="25" t="e">
        <f t="shared" ref="AK114:AQ114" si="72">SUM(AK115:AK116)</f>
        <v>#REF!</v>
      </c>
      <c r="AL114" s="25" t="e">
        <f t="shared" si="72"/>
        <v>#REF!</v>
      </c>
      <c r="AM114" s="25" t="e">
        <f t="shared" si="72"/>
        <v>#REF!</v>
      </c>
      <c r="AN114" s="25" t="e">
        <f t="shared" si="72"/>
        <v>#REF!</v>
      </c>
      <c r="AO114" s="25" t="e">
        <f t="shared" si="72"/>
        <v>#REF!</v>
      </c>
      <c r="AP114" s="25" t="e">
        <f t="shared" si="72"/>
        <v>#REF!</v>
      </c>
      <c r="AQ114" s="25" t="e">
        <f t="shared" si="72"/>
        <v>#REF!</v>
      </c>
    </row>
    <row r="115" spans="1:43" s="4" customFormat="1" ht="20.25" customHeight="1" outlineLevel="1">
      <c r="A115" s="13"/>
      <c r="B115" s="18" t="s">
        <v>63</v>
      </c>
      <c r="C115" s="361" t="s">
        <v>9</v>
      </c>
      <c r="D115" s="28">
        <f>SUM(E115:H115)</f>
        <v>29.084922371999994</v>
      </c>
      <c r="E115" s="28">
        <v>2.7257801547254488</v>
      </c>
      <c r="F115" s="28">
        <v>3.7587745374025445</v>
      </c>
      <c r="G115" s="29">
        <v>20.661716044346107</v>
      </c>
      <c r="H115" s="29">
        <v>1.9386516355258927</v>
      </c>
      <c r="I115" s="214"/>
      <c r="J115" s="214"/>
      <c r="K115" s="28">
        <v>29.084922371999994</v>
      </c>
      <c r="L115" s="28">
        <v>2.124872097483542</v>
      </c>
      <c r="M115" s="28">
        <v>3.4499791399105622</v>
      </c>
      <c r="N115" s="320">
        <f>K115-L115-M115-O115</f>
        <v>22.38935391252739</v>
      </c>
      <c r="O115" s="28">
        <v>1.1207172220784971</v>
      </c>
      <c r="Q115" s="15"/>
      <c r="R115" s="326">
        <v>29.084922371999994</v>
      </c>
      <c r="S115" s="327">
        <f t="shared" si="45"/>
        <v>0</v>
      </c>
      <c r="T115" s="15"/>
      <c r="U115" s="327">
        <f t="shared" si="46"/>
        <v>0</v>
      </c>
      <c r="AG115" s="93" t="e">
        <f>#REF!</f>
        <v>#REF!</v>
      </c>
      <c r="AH115" s="93" t="e">
        <f t="shared" si="67"/>
        <v>#REF!</v>
      </c>
      <c r="AI115" s="97" t="e">
        <f t="shared" si="68"/>
        <v>#REF!</v>
      </c>
      <c r="AK115" s="28" t="e">
        <f t="shared" ref="AK115:AK134" si="73">SUM(AL115:AQ115)</f>
        <v>#REF!</v>
      </c>
      <c r="AL115" s="28" t="e">
        <f>#REF!</f>
        <v>#REF!</v>
      </c>
      <c r="AM115" s="28" t="e">
        <f>#REF!</f>
        <v>#REF!</v>
      </c>
      <c r="AN115" s="28" t="e">
        <f>#REF!</f>
        <v>#REF!</v>
      </c>
      <c r="AO115" s="28" t="e">
        <f>#REF!</f>
        <v>#REF!</v>
      </c>
      <c r="AP115" s="28" t="e">
        <f>#REF!</f>
        <v>#REF!</v>
      </c>
      <c r="AQ115" s="28" t="e">
        <f>#REF!</f>
        <v>#REF!</v>
      </c>
    </row>
    <row r="116" spans="1:43" s="4" customFormat="1" ht="20.25" customHeight="1" outlineLevel="1">
      <c r="A116" s="13"/>
      <c r="B116" s="18" t="s">
        <v>64</v>
      </c>
      <c r="C116" s="361" t="s">
        <v>9</v>
      </c>
      <c r="D116" s="28">
        <f>SUM(E116:H116)</f>
        <v>267.49215359999999</v>
      </c>
      <c r="E116" s="28">
        <v>25.068824131694388</v>
      </c>
      <c r="F116" s="28">
        <v>34.569206788552009</v>
      </c>
      <c r="G116" s="29">
        <v>190.0244687293544</v>
      </c>
      <c r="H116" s="29">
        <v>17.829653950399184</v>
      </c>
      <c r="I116" s="214"/>
      <c r="J116" s="214"/>
      <c r="K116" s="28">
        <v>267.49215360000005</v>
      </c>
      <c r="L116" s="28">
        <v>19.542311518342117</v>
      </c>
      <c r="M116" s="28">
        <v>31.729235450811139</v>
      </c>
      <c r="N116" s="320">
        <f>K116-L116-M116-O116</f>
        <v>205.91344268259479</v>
      </c>
      <c r="O116" s="28">
        <v>10.307163948252011</v>
      </c>
      <c r="Q116" s="15"/>
      <c r="R116" s="326">
        <v>267.49215360000005</v>
      </c>
      <c r="S116" s="327">
        <f t="shared" si="45"/>
        <v>0</v>
      </c>
      <c r="T116" s="15"/>
      <c r="U116" s="327">
        <f t="shared" si="46"/>
        <v>0</v>
      </c>
      <c r="AG116" s="93" t="e">
        <f>#REF!</f>
        <v>#REF!</v>
      </c>
      <c r="AH116" s="93" t="e">
        <f t="shared" si="67"/>
        <v>#REF!</v>
      </c>
      <c r="AI116" s="97" t="e">
        <f t="shared" si="68"/>
        <v>#REF!</v>
      </c>
      <c r="AK116" s="28" t="e">
        <f t="shared" si="73"/>
        <v>#REF!</v>
      </c>
      <c r="AL116" s="28" t="e">
        <f>#REF!</f>
        <v>#REF!</v>
      </c>
      <c r="AM116" s="28" t="e">
        <f>#REF!</f>
        <v>#REF!</v>
      </c>
      <c r="AN116" s="28" t="e">
        <f>#REF!</f>
        <v>#REF!</v>
      </c>
      <c r="AO116" s="28" t="e">
        <f>#REF!</f>
        <v>#REF!</v>
      </c>
      <c r="AP116" s="28" t="e">
        <f>#REF!</f>
        <v>#REF!</v>
      </c>
      <c r="AQ116" s="28" t="e">
        <f>#REF!</f>
        <v>#REF!</v>
      </c>
    </row>
    <row r="117" spans="1:43" s="4" customFormat="1" ht="27" customHeight="1">
      <c r="A117" s="13" t="s">
        <v>120</v>
      </c>
      <c r="B117" s="12" t="s">
        <v>65</v>
      </c>
      <c r="C117" s="361" t="s">
        <v>9</v>
      </c>
      <c r="D117" s="25">
        <f>SUM(D118:D134)</f>
        <v>17169.74545690868</v>
      </c>
      <c r="E117" s="25">
        <f>SUM(E118:E134)</f>
        <v>1735.4820130193887</v>
      </c>
      <c r="F117" s="25">
        <f>SUM(F118:F134)</f>
        <v>2268.1210550759251</v>
      </c>
      <c r="G117" s="25">
        <f>SUM(G118:G134)</f>
        <v>12103.674563862352</v>
      </c>
      <c r="H117" s="25">
        <f>SUM(H118:H134)</f>
        <v>1062.4678249510157</v>
      </c>
      <c r="K117" s="25">
        <f>SUM(K118:K134)</f>
        <v>16767.959742622967</v>
      </c>
      <c r="L117" s="25">
        <f>SUM(L118:L134)</f>
        <v>1374.9508331184411</v>
      </c>
      <c r="M117" s="25">
        <f>SUM(M118:M134)</f>
        <v>2018.3508103502013</v>
      </c>
      <c r="N117" s="25">
        <f>SUM(N118:N134)</f>
        <v>12779.599084990392</v>
      </c>
      <c r="O117" s="25">
        <f>SUM(O118:O134)</f>
        <v>595.05901416393147</v>
      </c>
      <c r="Q117" s="15"/>
      <c r="R117" s="326">
        <v>16767.959742622967</v>
      </c>
      <c r="S117" s="327">
        <f t="shared" si="45"/>
        <v>0</v>
      </c>
      <c r="T117" s="15"/>
      <c r="U117" s="327">
        <f t="shared" si="46"/>
        <v>0</v>
      </c>
      <c r="AG117" s="101" t="e">
        <f>SUM(AG118:AG134)</f>
        <v>#REF!</v>
      </c>
      <c r="AH117" s="92" t="e">
        <f t="shared" si="67"/>
        <v>#REF!</v>
      </c>
      <c r="AI117" s="97" t="e">
        <f t="shared" si="68"/>
        <v>#REF!</v>
      </c>
      <c r="AK117" s="25" t="e">
        <f t="shared" ref="AK117:AQ117" si="74">SUM(AK118:AK134)</f>
        <v>#REF!</v>
      </c>
      <c r="AL117" s="25" t="e">
        <f t="shared" si="74"/>
        <v>#REF!</v>
      </c>
      <c r="AM117" s="25" t="e">
        <f t="shared" si="74"/>
        <v>#REF!</v>
      </c>
      <c r="AN117" s="25" t="e">
        <f t="shared" si="74"/>
        <v>#REF!</v>
      </c>
      <c r="AO117" s="25" t="e">
        <f t="shared" si="74"/>
        <v>#REF!</v>
      </c>
      <c r="AP117" s="25" t="e">
        <f t="shared" si="74"/>
        <v>#REF!</v>
      </c>
      <c r="AQ117" s="25" t="e">
        <f t="shared" si="74"/>
        <v>#REF!</v>
      </c>
    </row>
    <row r="118" spans="1:43" s="4" customFormat="1" ht="19.5" customHeight="1" outlineLevel="1">
      <c r="A118" s="13"/>
      <c r="B118" s="18" t="s">
        <v>98</v>
      </c>
      <c r="C118" s="361" t="s">
        <v>9</v>
      </c>
      <c r="D118" s="28">
        <f t="shared" ref="D118:D135" si="75">SUM(E118:H118)</f>
        <v>1089.1199999999999</v>
      </c>
      <c r="E118" s="28">
        <v>102.07012568727171</v>
      </c>
      <c r="F118" s="28">
        <v>140.75184632835436</v>
      </c>
      <c r="G118" s="29">
        <v>773.70287912069227</v>
      </c>
      <c r="H118" s="29">
        <v>72.595148863681501</v>
      </c>
      <c r="I118" s="214"/>
      <c r="J118" s="214"/>
      <c r="K118" s="28">
        <v>1089.1200000000001</v>
      </c>
      <c r="L118" s="28">
        <v>79.568398677907112</v>
      </c>
      <c r="M118" s="28">
        <v>129.18863020506714</v>
      </c>
      <c r="N118" s="320">
        <f t="shared" ref="N118:N132" si="76">K118-L118-M118-O118</f>
        <v>838.3963629446348</v>
      </c>
      <c r="O118" s="28">
        <v>41.966608172391005</v>
      </c>
      <c r="Q118" s="15"/>
      <c r="R118" s="326">
        <v>1089.1200000000001</v>
      </c>
      <c r="S118" s="327">
        <f t="shared" si="45"/>
        <v>0</v>
      </c>
      <c r="T118" s="15"/>
      <c r="U118" s="327">
        <f t="shared" si="46"/>
        <v>0</v>
      </c>
      <c r="AG118" s="93" t="e">
        <f>#REF!</f>
        <v>#REF!</v>
      </c>
      <c r="AH118" s="93" t="e">
        <f t="shared" si="67"/>
        <v>#REF!</v>
      </c>
      <c r="AI118" s="97" t="e">
        <f t="shared" si="68"/>
        <v>#REF!</v>
      </c>
      <c r="AK118" s="28" t="e">
        <f t="shared" si="73"/>
        <v>#REF!</v>
      </c>
      <c r="AL118" s="28" t="e">
        <f>#REF!</f>
        <v>#REF!</v>
      </c>
      <c r="AM118" s="28" t="e">
        <f>#REF!</f>
        <v>#REF!</v>
      </c>
      <c r="AN118" s="28" t="e">
        <f>#REF!</f>
        <v>#REF!</v>
      </c>
      <c r="AO118" s="28" t="e">
        <f>#REF!</f>
        <v>#REF!</v>
      </c>
      <c r="AP118" s="28" t="e">
        <f>#REF!</f>
        <v>#REF!</v>
      </c>
      <c r="AQ118" s="28" t="e">
        <f>#REF!</f>
        <v>#REF!</v>
      </c>
    </row>
    <row r="119" spans="1:43" s="4" customFormat="1" ht="36.75" customHeight="1" outlineLevel="1">
      <c r="A119" s="13"/>
      <c r="B119" s="18" t="s">
        <v>99</v>
      </c>
      <c r="C119" s="361" t="s">
        <v>9</v>
      </c>
      <c r="D119" s="28">
        <f t="shared" si="75"/>
        <v>158.00000000000003</v>
      </c>
      <c r="E119" s="28">
        <v>14.807440739853213</v>
      </c>
      <c r="F119" s="28">
        <v>20.419046312509174</v>
      </c>
      <c r="G119" s="29">
        <v>112.24204394471629</v>
      </c>
      <c r="H119" s="29">
        <v>10.531469002921328</v>
      </c>
      <c r="I119" s="214"/>
      <c r="J119" s="214"/>
      <c r="K119" s="28">
        <v>158</v>
      </c>
      <c r="L119" s="28">
        <v>11.543087071313833</v>
      </c>
      <c r="M119" s="28">
        <v>18.741556093360334</v>
      </c>
      <c r="N119" s="320">
        <f t="shared" si="76"/>
        <v>121.62720852179034</v>
      </c>
      <c r="O119" s="28">
        <v>6.0881483135354957</v>
      </c>
      <c r="Q119" s="15"/>
      <c r="R119" s="326">
        <v>158</v>
      </c>
      <c r="S119" s="327">
        <f t="shared" si="45"/>
        <v>0</v>
      </c>
      <c r="T119" s="15"/>
      <c r="U119" s="327">
        <f t="shared" si="46"/>
        <v>0</v>
      </c>
      <c r="AG119" s="93" t="e">
        <f>#REF!</f>
        <v>#REF!</v>
      </c>
      <c r="AH119" s="93" t="e">
        <f t="shared" si="67"/>
        <v>#REF!</v>
      </c>
      <c r="AI119" s="97" t="e">
        <f t="shared" si="68"/>
        <v>#REF!</v>
      </c>
      <c r="AK119" s="28" t="e">
        <f t="shared" si="73"/>
        <v>#REF!</v>
      </c>
      <c r="AL119" s="28" t="e">
        <f>#REF!</f>
        <v>#REF!</v>
      </c>
      <c r="AM119" s="28" t="e">
        <f>#REF!</f>
        <v>#REF!</v>
      </c>
      <c r="AN119" s="28" t="e">
        <f>#REF!</f>
        <v>#REF!</v>
      </c>
      <c r="AO119" s="28" t="e">
        <f>#REF!</f>
        <v>#REF!</v>
      </c>
      <c r="AP119" s="28" t="e">
        <f>#REF!</f>
        <v>#REF!</v>
      </c>
      <c r="AQ119" s="28" t="e">
        <f>#REF!</f>
        <v>#REF!</v>
      </c>
    </row>
    <row r="120" spans="1:43" s="4" customFormat="1" ht="19.5" customHeight="1" outlineLevel="1">
      <c r="A120" s="13"/>
      <c r="B120" s="18" t="s">
        <v>162</v>
      </c>
      <c r="C120" s="361" t="s">
        <v>9</v>
      </c>
      <c r="D120" s="28">
        <f t="shared" si="75"/>
        <v>463.51600000000008</v>
      </c>
      <c r="E120" s="28">
        <v>43.439782923884827</v>
      </c>
      <c r="F120" s="28">
        <v>59.902244750563305</v>
      </c>
      <c r="G120" s="29">
        <v>329.27837494353872</v>
      </c>
      <c r="H120" s="29">
        <v>30.895597382013182</v>
      </c>
      <c r="I120" s="214"/>
      <c r="J120" s="214"/>
      <c r="K120" s="28">
        <v>463.51599999999996</v>
      </c>
      <c r="L120" s="28">
        <v>33.863326246500648</v>
      </c>
      <c r="M120" s="28">
        <v>54.981083001076001</v>
      </c>
      <c r="N120" s="320">
        <f t="shared" si="76"/>
        <v>356.81112142522886</v>
      </c>
      <c r="O120" s="28">
        <v>17.860469327194419</v>
      </c>
      <c r="Q120" s="15"/>
      <c r="R120" s="326">
        <v>463.51599999999996</v>
      </c>
      <c r="S120" s="327">
        <f t="shared" si="45"/>
        <v>0</v>
      </c>
      <c r="T120" s="15"/>
      <c r="U120" s="327">
        <f t="shared" si="46"/>
        <v>0</v>
      </c>
      <c r="AG120" s="93" t="e">
        <f>#REF!</f>
        <v>#REF!</v>
      </c>
      <c r="AH120" s="93" t="e">
        <f t="shared" si="67"/>
        <v>#REF!</v>
      </c>
      <c r="AI120" s="97" t="e">
        <f t="shared" si="68"/>
        <v>#REF!</v>
      </c>
      <c r="AK120" s="28" t="e">
        <f t="shared" si="73"/>
        <v>#REF!</v>
      </c>
      <c r="AL120" s="28" t="e">
        <f>#REF!</f>
        <v>#REF!</v>
      </c>
      <c r="AM120" s="28" t="e">
        <f>#REF!</f>
        <v>#REF!</v>
      </c>
      <c r="AN120" s="28" t="e">
        <f>#REF!</f>
        <v>#REF!</v>
      </c>
      <c r="AO120" s="28" t="e">
        <f>#REF!</f>
        <v>#REF!</v>
      </c>
      <c r="AP120" s="28" t="e">
        <f>#REF!</f>
        <v>#REF!</v>
      </c>
      <c r="AQ120" s="28" t="e">
        <f>#REF!</f>
        <v>#REF!</v>
      </c>
    </row>
    <row r="121" spans="1:43" s="4" customFormat="1" ht="36.75" customHeight="1" outlineLevel="1">
      <c r="A121" s="13"/>
      <c r="B121" s="18" t="s">
        <v>100</v>
      </c>
      <c r="C121" s="361" t="s">
        <v>9</v>
      </c>
      <c r="D121" s="28">
        <f t="shared" si="75"/>
        <v>2749.6089285714284</v>
      </c>
      <c r="E121" s="28">
        <v>257.68779283286528</v>
      </c>
      <c r="F121" s="28">
        <v>355.34425350499191</v>
      </c>
      <c r="G121" s="29">
        <v>1953.3020645031552</v>
      </c>
      <c r="H121" s="29">
        <v>183.27481773041598</v>
      </c>
      <c r="I121" s="214"/>
      <c r="J121" s="214"/>
      <c r="K121" s="28">
        <v>2749.6089285714284</v>
      </c>
      <c r="L121" s="28">
        <v>200.87959034532872</v>
      </c>
      <c r="M121" s="28">
        <v>326.15158208623944</v>
      </c>
      <c r="N121" s="320">
        <f t="shared" si="76"/>
        <v>2116.6282184097063</v>
      </c>
      <c r="O121" s="28">
        <v>105.94953773015366</v>
      </c>
      <c r="Q121" s="15"/>
      <c r="R121" s="326">
        <v>2749.6089285714284</v>
      </c>
      <c r="S121" s="327">
        <f t="shared" si="45"/>
        <v>0</v>
      </c>
      <c r="T121" s="15"/>
      <c r="U121" s="327">
        <f t="shared" si="46"/>
        <v>0</v>
      </c>
      <c r="AG121" s="93" t="e">
        <f>#REF!</f>
        <v>#REF!</v>
      </c>
      <c r="AH121" s="93" t="e">
        <f t="shared" si="67"/>
        <v>#REF!</v>
      </c>
      <c r="AI121" s="97" t="e">
        <f t="shared" si="68"/>
        <v>#REF!</v>
      </c>
      <c r="AK121" s="28" t="e">
        <f t="shared" si="73"/>
        <v>#REF!</v>
      </c>
      <c r="AL121" s="28" t="e">
        <f>#REF!</f>
        <v>#REF!</v>
      </c>
      <c r="AM121" s="28" t="e">
        <f>#REF!</f>
        <v>#REF!</v>
      </c>
      <c r="AN121" s="28" t="e">
        <f>#REF!</f>
        <v>#REF!</v>
      </c>
      <c r="AO121" s="28" t="e">
        <f>#REF!</f>
        <v>#REF!</v>
      </c>
      <c r="AP121" s="28" t="e">
        <f>#REF!</f>
        <v>#REF!</v>
      </c>
      <c r="AQ121" s="28" t="e">
        <f>#REF!</f>
        <v>#REF!</v>
      </c>
    </row>
    <row r="122" spans="1:43" s="4" customFormat="1" ht="19.5" customHeight="1" outlineLevel="1">
      <c r="A122" s="13"/>
      <c r="B122" s="18" t="s">
        <v>95</v>
      </c>
      <c r="C122" s="361" t="s">
        <v>9</v>
      </c>
      <c r="D122" s="28">
        <f t="shared" si="75"/>
        <v>69.40000000000002</v>
      </c>
      <c r="E122" s="28">
        <v>11.158977475419155</v>
      </c>
      <c r="F122" s="28">
        <v>10.781153548771671</v>
      </c>
      <c r="G122" s="29">
        <v>45.853843616918184</v>
      </c>
      <c r="H122" s="29">
        <v>1.6060253588910109</v>
      </c>
      <c r="I122" s="214"/>
      <c r="J122" s="214"/>
      <c r="K122" s="28">
        <v>69.399999999999991</v>
      </c>
      <c r="L122" s="28">
        <v>10.592905016021051</v>
      </c>
      <c r="M122" s="28">
        <v>9.3142414136490022</v>
      </c>
      <c r="N122" s="320">
        <f t="shared" si="76"/>
        <v>48.699331314023659</v>
      </c>
      <c r="O122" s="28">
        <v>0.79352225630628381</v>
      </c>
      <c r="Q122" s="15"/>
      <c r="R122" s="326">
        <v>69.399999999999991</v>
      </c>
      <c r="S122" s="327">
        <f t="shared" si="45"/>
        <v>0</v>
      </c>
      <c r="T122" s="15"/>
      <c r="U122" s="327">
        <f t="shared" si="46"/>
        <v>0</v>
      </c>
      <c r="AG122" s="93" t="e">
        <f>#REF!</f>
        <v>#REF!</v>
      </c>
      <c r="AH122" s="93" t="e">
        <f t="shared" si="67"/>
        <v>#REF!</v>
      </c>
      <c r="AI122" s="97" t="e">
        <f t="shared" si="68"/>
        <v>#REF!</v>
      </c>
      <c r="AK122" s="28" t="e">
        <f t="shared" si="73"/>
        <v>#REF!</v>
      </c>
      <c r="AL122" s="28" t="e">
        <f>#REF!</f>
        <v>#REF!</v>
      </c>
      <c r="AM122" s="28" t="e">
        <f>#REF!</f>
        <v>#REF!</v>
      </c>
      <c r="AN122" s="28" t="e">
        <f>#REF!</f>
        <v>#REF!</v>
      </c>
      <c r="AO122" s="28" t="e">
        <f>#REF!</f>
        <v>#REF!</v>
      </c>
      <c r="AP122" s="28" t="e">
        <f>#REF!</f>
        <v>#REF!</v>
      </c>
      <c r="AQ122" s="28" t="e">
        <f>#REF!</f>
        <v>#REF!</v>
      </c>
    </row>
    <row r="123" spans="1:43" s="4" customFormat="1" ht="19.5" customHeight="1" outlineLevel="1">
      <c r="A123" s="13"/>
      <c r="B123" s="18" t="s">
        <v>121</v>
      </c>
      <c r="C123" s="361" t="s">
        <v>9</v>
      </c>
      <c r="D123" s="28">
        <f t="shared" si="75"/>
        <v>1457.6375</v>
      </c>
      <c r="E123" s="28">
        <v>136.60684114834044</v>
      </c>
      <c r="F123" s="28">
        <v>188.37701024905121</v>
      </c>
      <c r="G123" s="29">
        <v>1035.4950147497873</v>
      </c>
      <c r="H123" s="29">
        <v>97.15863385282114</v>
      </c>
      <c r="I123" s="214"/>
      <c r="J123" s="214"/>
      <c r="K123" s="28">
        <v>1457.6374999999998</v>
      </c>
      <c r="L123" s="28">
        <v>106.49137076526719</v>
      </c>
      <c r="M123" s="28">
        <v>172.9012339875666</v>
      </c>
      <c r="N123" s="320">
        <f t="shared" si="76"/>
        <v>1122.0783554536779</v>
      </c>
      <c r="O123" s="28">
        <v>56.166539793487935</v>
      </c>
      <c r="Q123" s="15"/>
      <c r="R123" s="326">
        <v>1457.6374999999998</v>
      </c>
      <c r="S123" s="327">
        <f t="shared" si="45"/>
        <v>0</v>
      </c>
      <c r="T123" s="15"/>
      <c r="U123" s="327">
        <f t="shared" si="46"/>
        <v>0</v>
      </c>
      <c r="AG123" s="93" t="e">
        <f>#REF!</f>
        <v>#REF!</v>
      </c>
      <c r="AH123" s="93" t="e">
        <f t="shared" si="67"/>
        <v>#REF!</v>
      </c>
      <c r="AI123" s="97" t="e">
        <f t="shared" si="68"/>
        <v>#REF!</v>
      </c>
      <c r="AK123" s="28" t="e">
        <f t="shared" si="73"/>
        <v>#REF!</v>
      </c>
      <c r="AL123" s="28" t="e">
        <f>#REF!</f>
        <v>#REF!</v>
      </c>
      <c r="AM123" s="28" t="e">
        <f>#REF!</f>
        <v>#REF!</v>
      </c>
      <c r="AN123" s="28" t="e">
        <f>#REF!</f>
        <v>#REF!</v>
      </c>
      <c r="AO123" s="28" t="e">
        <f>#REF!</f>
        <v>#REF!</v>
      </c>
      <c r="AP123" s="28" t="e">
        <f>#REF!</f>
        <v>#REF!</v>
      </c>
      <c r="AQ123" s="28" t="e">
        <f>#REF!</f>
        <v>#REF!</v>
      </c>
    </row>
    <row r="124" spans="1:43" s="4" customFormat="1" ht="19.5" customHeight="1" outlineLevel="1">
      <c r="A124" s="13"/>
      <c r="B124" s="18" t="s">
        <v>101</v>
      </c>
      <c r="C124" s="361" t="s">
        <v>9</v>
      </c>
      <c r="D124" s="28">
        <f t="shared" si="75"/>
        <v>438.87040000000002</v>
      </c>
      <c r="E124" s="28">
        <v>41.130047091618202</v>
      </c>
      <c r="F124" s="28">
        <v>56.717183688540672</v>
      </c>
      <c r="G124" s="29">
        <v>311.77032103060264</v>
      </c>
      <c r="H124" s="29">
        <v>29.252848189238513</v>
      </c>
      <c r="I124" s="214"/>
      <c r="J124" s="214"/>
      <c r="K124" s="28">
        <v>438.8703999999999</v>
      </c>
      <c r="L124" s="28">
        <v>32.062780001407148</v>
      </c>
      <c r="M124" s="28">
        <v>52.057684932376496</v>
      </c>
      <c r="N124" s="320">
        <f t="shared" si="76"/>
        <v>337.83912439773115</v>
      </c>
      <c r="O124" s="28">
        <v>16.910810668485109</v>
      </c>
      <c r="Q124" s="15"/>
      <c r="R124" s="326">
        <v>438.8703999999999</v>
      </c>
      <c r="S124" s="327">
        <f t="shared" si="45"/>
        <v>0</v>
      </c>
      <c r="T124" s="15"/>
      <c r="U124" s="327">
        <f t="shared" si="46"/>
        <v>0</v>
      </c>
      <c r="AG124" s="93" t="e">
        <f>#REF!</f>
        <v>#REF!</v>
      </c>
      <c r="AH124" s="93" t="e">
        <f t="shared" si="67"/>
        <v>#REF!</v>
      </c>
      <c r="AI124" s="97" t="e">
        <f t="shared" si="68"/>
        <v>#REF!</v>
      </c>
      <c r="AK124" s="28" t="e">
        <f t="shared" si="73"/>
        <v>#REF!</v>
      </c>
      <c r="AL124" s="28" t="e">
        <f>#REF!</f>
        <v>#REF!</v>
      </c>
      <c r="AM124" s="28" t="e">
        <f>#REF!</f>
        <v>#REF!</v>
      </c>
      <c r="AN124" s="28" t="e">
        <f>#REF!</f>
        <v>#REF!</v>
      </c>
      <c r="AO124" s="28" t="e">
        <f>#REF!</f>
        <v>#REF!</v>
      </c>
      <c r="AP124" s="28" t="e">
        <f>#REF!</f>
        <v>#REF!</v>
      </c>
      <c r="AQ124" s="28" t="e">
        <f>#REF!</f>
        <v>#REF!</v>
      </c>
    </row>
    <row r="125" spans="1:43" s="4" customFormat="1" ht="19.5" customHeight="1" outlineLevel="1">
      <c r="A125" s="13"/>
      <c r="B125" s="18" t="s">
        <v>102</v>
      </c>
      <c r="C125" s="361" t="s">
        <v>9</v>
      </c>
      <c r="D125" s="28">
        <f t="shared" si="75"/>
        <v>1899.8759999999995</v>
      </c>
      <c r="E125" s="28">
        <v>178.05253976626179</v>
      </c>
      <c r="F125" s="28">
        <v>245.52946855711818</v>
      </c>
      <c r="G125" s="29">
        <v>1349.6580093766565</v>
      </c>
      <c r="H125" s="29">
        <v>126.63598229996303</v>
      </c>
      <c r="I125" s="214"/>
      <c r="J125" s="214"/>
      <c r="K125" s="28">
        <v>1899.876</v>
      </c>
      <c r="L125" s="28">
        <v>138.80021577657874</v>
      </c>
      <c r="M125" s="28">
        <v>225.3584343318295</v>
      </c>
      <c r="N125" s="320">
        <f t="shared" si="76"/>
        <v>1462.5102178325626</v>
      </c>
      <c r="O125" s="28">
        <v>73.207132059028865</v>
      </c>
      <c r="Q125" s="15"/>
      <c r="R125" s="326">
        <v>1899.876</v>
      </c>
      <c r="S125" s="327">
        <f t="shared" si="45"/>
        <v>0</v>
      </c>
      <c r="T125" s="15"/>
      <c r="U125" s="327">
        <f t="shared" si="46"/>
        <v>0</v>
      </c>
      <c r="AG125" s="93" t="e">
        <f>#REF!</f>
        <v>#REF!</v>
      </c>
      <c r="AH125" s="93" t="e">
        <f t="shared" si="67"/>
        <v>#REF!</v>
      </c>
      <c r="AI125" s="97" t="e">
        <f t="shared" si="68"/>
        <v>#REF!</v>
      </c>
      <c r="AK125" s="28" t="e">
        <f t="shared" si="73"/>
        <v>#REF!</v>
      </c>
      <c r="AL125" s="28" t="e">
        <f>#REF!</f>
        <v>#REF!</v>
      </c>
      <c r="AM125" s="28" t="e">
        <f>#REF!</f>
        <v>#REF!</v>
      </c>
      <c r="AN125" s="28" t="e">
        <f>#REF!</f>
        <v>#REF!</v>
      </c>
      <c r="AO125" s="28" t="e">
        <f>#REF!</f>
        <v>#REF!</v>
      </c>
      <c r="AP125" s="28" t="e">
        <f>#REF!</f>
        <v>#REF!</v>
      </c>
      <c r="AQ125" s="28" t="e">
        <f>#REF!</f>
        <v>#REF!</v>
      </c>
    </row>
    <row r="126" spans="1:43" s="4" customFormat="1" ht="19.5" customHeight="1" outlineLevel="1">
      <c r="A126" s="13"/>
      <c r="B126" s="18" t="s">
        <v>103</v>
      </c>
      <c r="C126" s="361" t="s">
        <v>9</v>
      </c>
      <c r="D126" s="28">
        <f t="shared" si="75"/>
        <v>6428.5714285714266</v>
      </c>
      <c r="E126" s="28">
        <v>602.47272449673994</v>
      </c>
      <c r="F126" s="28">
        <v>830.79302356502035</v>
      </c>
      <c r="G126" s="29">
        <v>4566.8101062497572</v>
      </c>
      <c r="H126" s="29">
        <v>428.49557425990929</v>
      </c>
      <c r="I126" s="214"/>
      <c r="J126" s="214"/>
      <c r="K126" s="28">
        <v>6026.7857142857138</v>
      </c>
      <c r="L126" s="28">
        <v>440.30197633006537</v>
      </c>
      <c r="M126" s="28">
        <v>714.8819147275218</v>
      </c>
      <c r="N126" s="320">
        <f t="shared" si="76"/>
        <v>4639.3741948580737</v>
      </c>
      <c r="O126" s="28">
        <v>232.22762837005303</v>
      </c>
      <c r="Q126" s="15"/>
      <c r="R126" s="326">
        <v>6026.7857142857138</v>
      </c>
      <c r="S126" s="327">
        <f t="shared" si="45"/>
        <v>0</v>
      </c>
      <c r="T126" s="15"/>
      <c r="U126" s="327">
        <f t="shared" si="46"/>
        <v>0</v>
      </c>
      <c r="AG126" s="93" t="e">
        <f>#REF!</f>
        <v>#REF!</v>
      </c>
      <c r="AH126" s="93" t="e">
        <f t="shared" si="67"/>
        <v>#REF!</v>
      </c>
      <c r="AI126" s="97" t="e">
        <f t="shared" si="68"/>
        <v>#REF!</v>
      </c>
      <c r="AK126" s="28" t="e">
        <f t="shared" si="73"/>
        <v>#REF!</v>
      </c>
      <c r="AL126" s="28" t="e">
        <f>#REF!</f>
        <v>#REF!</v>
      </c>
      <c r="AM126" s="28" t="e">
        <f>#REF!</f>
        <v>#REF!</v>
      </c>
      <c r="AN126" s="28" t="e">
        <f>#REF!</f>
        <v>#REF!</v>
      </c>
      <c r="AO126" s="28" t="e">
        <f>#REF!</f>
        <v>#REF!</v>
      </c>
      <c r="AP126" s="28" t="e">
        <f>#REF!</f>
        <v>#REF!</v>
      </c>
      <c r="AQ126" s="28" t="e">
        <f>#REF!</f>
        <v>#REF!</v>
      </c>
    </row>
    <row r="127" spans="1:43" s="4" customFormat="1" ht="19.5" customHeight="1" outlineLevel="1">
      <c r="A127" s="13"/>
      <c r="B127" s="18" t="s">
        <v>106</v>
      </c>
      <c r="C127" s="361" t="s">
        <v>9</v>
      </c>
      <c r="D127" s="28">
        <f t="shared" si="75"/>
        <v>281.31712707182322</v>
      </c>
      <c r="E127" s="28">
        <v>26.364472710264423</v>
      </c>
      <c r="F127" s="28">
        <v>36.355869912541685</v>
      </c>
      <c r="G127" s="29">
        <v>199.84562872909441</v>
      </c>
      <c r="H127" s="29">
        <v>18.751155719922703</v>
      </c>
      <c r="I127" s="214"/>
      <c r="J127" s="214"/>
      <c r="K127" s="28">
        <v>281.31712707182322</v>
      </c>
      <c r="L127" s="28">
        <v>20.552329698999451</v>
      </c>
      <c r="M127" s="28">
        <v>33.369118462275644</v>
      </c>
      <c r="N127" s="320">
        <f t="shared" si="76"/>
        <v>216.55580300706094</v>
      </c>
      <c r="O127" s="28">
        <v>10.839875903487158</v>
      </c>
      <c r="Q127" s="15"/>
      <c r="R127" s="326">
        <v>281.31712707182322</v>
      </c>
      <c r="S127" s="327">
        <f t="shared" si="45"/>
        <v>0</v>
      </c>
      <c r="T127" s="15"/>
      <c r="U127" s="327">
        <f t="shared" si="46"/>
        <v>0</v>
      </c>
      <c r="AG127" s="93" t="e">
        <f>#REF!</f>
        <v>#REF!</v>
      </c>
      <c r="AH127" s="93" t="e">
        <f t="shared" si="67"/>
        <v>#REF!</v>
      </c>
      <c r="AI127" s="97" t="e">
        <f t="shared" si="68"/>
        <v>#REF!</v>
      </c>
      <c r="AK127" s="28" t="e">
        <f t="shared" si="73"/>
        <v>#REF!</v>
      </c>
      <c r="AL127" s="28" t="e">
        <f>#REF!</f>
        <v>#REF!</v>
      </c>
      <c r="AM127" s="28" t="e">
        <f>#REF!</f>
        <v>#REF!</v>
      </c>
      <c r="AN127" s="28" t="e">
        <f>#REF!</f>
        <v>#REF!</v>
      </c>
      <c r="AO127" s="28" t="e">
        <f>#REF!</f>
        <v>#REF!</v>
      </c>
      <c r="AP127" s="28" t="e">
        <f>#REF!</f>
        <v>#REF!</v>
      </c>
      <c r="AQ127" s="28" t="e">
        <f>#REF!</f>
        <v>#REF!</v>
      </c>
    </row>
    <row r="128" spans="1:43" s="4" customFormat="1" ht="19.5" customHeight="1">
      <c r="A128" s="13"/>
      <c r="B128" s="18" t="s">
        <v>163</v>
      </c>
      <c r="C128" s="361" t="s">
        <v>9</v>
      </c>
      <c r="D128" s="28">
        <f t="shared" si="75"/>
        <v>15.722651933701655</v>
      </c>
      <c r="E128" s="28">
        <v>1.4734951695039609</v>
      </c>
      <c r="F128" s="28">
        <v>2.0319085948716205</v>
      </c>
      <c r="G128" s="29">
        <v>11.169256894114049</v>
      </c>
      <c r="H128" s="29">
        <v>1.047991275212026</v>
      </c>
      <c r="I128" s="214"/>
      <c r="J128" s="214"/>
      <c r="K128" s="28">
        <v>15.722651933701659</v>
      </c>
      <c r="L128" s="28">
        <v>1.1486578497637916</v>
      </c>
      <c r="M128" s="28">
        <v>1.8649807794420885</v>
      </c>
      <c r="N128" s="320">
        <f t="shared" si="76"/>
        <v>12.103178894024442</v>
      </c>
      <c r="O128" s="28">
        <v>0.60583441047133757</v>
      </c>
      <c r="Q128" s="15"/>
      <c r="R128" s="326">
        <v>15.722651933701659</v>
      </c>
      <c r="S128" s="327">
        <f t="shared" si="45"/>
        <v>0</v>
      </c>
      <c r="T128" s="15"/>
      <c r="U128" s="327">
        <f t="shared" si="46"/>
        <v>0</v>
      </c>
      <c r="AG128" s="93" t="e">
        <f>#REF!</f>
        <v>#REF!</v>
      </c>
      <c r="AH128" s="93" t="e">
        <f t="shared" si="67"/>
        <v>#REF!</v>
      </c>
      <c r="AI128" s="97" t="e">
        <f t="shared" si="68"/>
        <v>#REF!</v>
      </c>
      <c r="AK128" s="28" t="e">
        <f t="shared" si="73"/>
        <v>#REF!</v>
      </c>
      <c r="AL128" s="28" t="e">
        <f>#REF!</f>
        <v>#REF!</v>
      </c>
      <c r="AM128" s="28" t="e">
        <f>#REF!</f>
        <v>#REF!</v>
      </c>
      <c r="AN128" s="28" t="e">
        <f>#REF!</f>
        <v>#REF!</v>
      </c>
      <c r="AO128" s="28" t="e">
        <f>#REF!</f>
        <v>#REF!</v>
      </c>
      <c r="AP128" s="28" t="e">
        <f>#REF!</f>
        <v>#REF!</v>
      </c>
      <c r="AQ128" s="28" t="e">
        <f>#REF!</f>
        <v>#REF!</v>
      </c>
    </row>
    <row r="129" spans="1:43" s="4" customFormat="1" ht="34.5" customHeight="1" outlineLevel="1">
      <c r="A129" s="13"/>
      <c r="B129" s="18" t="s">
        <v>110</v>
      </c>
      <c r="C129" s="361" t="s">
        <v>9</v>
      </c>
      <c r="D129" s="28">
        <f t="shared" si="75"/>
        <v>1606.6637374617146</v>
      </c>
      <c r="E129" s="28">
        <v>258.33896911971215</v>
      </c>
      <c r="F129" s="28">
        <v>249.59205266308524</v>
      </c>
      <c r="G129" s="29">
        <v>1061.551985051048</v>
      </c>
      <c r="H129" s="29">
        <v>37.180730627869195</v>
      </c>
      <c r="I129" s="214"/>
      <c r="J129" s="214"/>
      <c r="K129" s="28">
        <v>1606.6637374617142</v>
      </c>
      <c r="L129" s="28">
        <v>245.23395336624384</v>
      </c>
      <c r="M129" s="28">
        <v>215.63190088291049</v>
      </c>
      <c r="N129" s="320">
        <f t="shared" si="76"/>
        <v>1127.4272285428754</v>
      </c>
      <c r="O129" s="28">
        <v>18.37065466968453</v>
      </c>
      <c r="Q129" s="15"/>
      <c r="R129" s="326">
        <v>1606.6637374617142</v>
      </c>
      <c r="S129" s="327">
        <f t="shared" si="45"/>
        <v>0</v>
      </c>
      <c r="T129" s="15"/>
      <c r="U129" s="327">
        <f t="shared" si="46"/>
        <v>0</v>
      </c>
      <c r="AG129" s="93" t="e">
        <f>#REF!</f>
        <v>#REF!</v>
      </c>
      <c r="AH129" s="93" t="e">
        <f t="shared" si="67"/>
        <v>#REF!</v>
      </c>
      <c r="AI129" s="97" t="e">
        <f t="shared" si="68"/>
        <v>#REF!</v>
      </c>
      <c r="AK129" s="28" t="e">
        <f t="shared" si="73"/>
        <v>#REF!</v>
      </c>
      <c r="AL129" s="28" t="e">
        <f>#REF!</f>
        <v>#REF!</v>
      </c>
      <c r="AM129" s="28" t="e">
        <f>#REF!</f>
        <v>#REF!</v>
      </c>
      <c r="AN129" s="28" t="e">
        <f>#REF!</f>
        <v>#REF!</v>
      </c>
      <c r="AO129" s="28" t="e">
        <f>#REF!</f>
        <v>#REF!</v>
      </c>
      <c r="AP129" s="28" t="e">
        <f>#REF!</f>
        <v>#REF!</v>
      </c>
      <c r="AQ129" s="28" t="e">
        <f>#REF!</f>
        <v>#REF!</v>
      </c>
    </row>
    <row r="130" spans="1:43" s="4" customFormat="1" ht="39" customHeight="1" outlineLevel="1">
      <c r="A130" s="13"/>
      <c r="B130" s="18" t="s">
        <v>164</v>
      </c>
      <c r="C130" s="361" t="s">
        <v>9</v>
      </c>
      <c r="D130" s="28">
        <f t="shared" si="75"/>
        <v>210</v>
      </c>
      <c r="E130" s="28">
        <v>19.680775666893513</v>
      </c>
      <c r="F130" s="28">
        <v>27.139238769790673</v>
      </c>
      <c r="G130" s="29">
        <v>149.18246347082544</v>
      </c>
      <c r="H130" s="29">
        <v>13.997522092490374</v>
      </c>
      <c r="I130" s="214"/>
      <c r="J130" s="214"/>
      <c r="K130" s="28">
        <v>210</v>
      </c>
      <c r="L130" s="28">
        <v>15.342077753012058</v>
      </c>
      <c r="M130" s="28">
        <v>24.909663162061204</v>
      </c>
      <c r="N130" s="320">
        <f t="shared" si="76"/>
        <v>161.65641638972133</v>
      </c>
      <c r="O130" s="28">
        <v>8.0918426952054041</v>
      </c>
      <c r="Q130" s="15"/>
      <c r="R130" s="326">
        <v>210</v>
      </c>
      <c r="S130" s="327">
        <f t="shared" si="45"/>
        <v>0</v>
      </c>
      <c r="T130" s="15"/>
      <c r="U130" s="327">
        <f t="shared" si="46"/>
        <v>0</v>
      </c>
      <c r="AG130" s="93" t="e">
        <f>#REF!</f>
        <v>#REF!</v>
      </c>
      <c r="AH130" s="93" t="e">
        <f t="shared" si="67"/>
        <v>#REF!</v>
      </c>
      <c r="AI130" s="97" t="e">
        <f t="shared" si="68"/>
        <v>#REF!</v>
      </c>
      <c r="AK130" s="28" t="e">
        <f t="shared" si="73"/>
        <v>#REF!</v>
      </c>
      <c r="AL130" s="28" t="e">
        <f>#REF!</f>
        <v>#REF!</v>
      </c>
      <c r="AM130" s="28" t="e">
        <f>#REF!</f>
        <v>#REF!</v>
      </c>
      <c r="AN130" s="28" t="e">
        <f>#REF!</f>
        <v>#REF!</v>
      </c>
      <c r="AO130" s="28" t="e">
        <f>#REF!</f>
        <v>#REF!</v>
      </c>
      <c r="AP130" s="28" t="e">
        <f>#REF!</f>
        <v>#REF!</v>
      </c>
      <c r="AQ130" s="28" t="e">
        <f>#REF!</f>
        <v>#REF!</v>
      </c>
    </row>
    <row r="131" spans="1:43" s="4" customFormat="1" outlineLevel="1">
      <c r="A131" s="362"/>
      <c r="B131" s="56" t="s">
        <v>130</v>
      </c>
      <c r="C131" s="364"/>
      <c r="D131" s="28">
        <f t="shared" si="75"/>
        <v>93.499999999999986</v>
      </c>
      <c r="E131" s="57">
        <v>8.7626310707359192</v>
      </c>
      <c r="F131" s="57">
        <v>12.083422976073464</v>
      </c>
      <c r="G131" s="29">
        <v>66.421715878677034</v>
      </c>
      <c r="H131" s="58">
        <v>6.2322300745135699</v>
      </c>
      <c r="I131" s="214"/>
      <c r="J131" s="214"/>
      <c r="K131" s="28">
        <v>93.500000000000014</v>
      </c>
      <c r="L131" s="57">
        <v>6.8308774757458455</v>
      </c>
      <c r="M131" s="57">
        <v>11.090730979298682</v>
      </c>
      <c r="N131" s="320">
        <f t="shared" si="76"/>
        <v>71.975594916375925</v>
      </c>
      <c r="O131" s="57">
        <v>3.6027966285795494</v>
      </c>
      <c r="Q131" s="15"/>
      <c r="R131" s="326">
        <v>93.500000000000014</v>
      </c>
      <c r="S131" s="327">
        <f t="shared" si="45"/>
        <v>0</v>
      </c>
      <c r="T131" s="15"/>
      <c r="U131" s="327">
        <f t="shared" si="46"/>
        <v>0</v>
      </c>
      <c r="AG131" s="93" t="e">
        <f>#REF!</f>
        <v>#REF!</v>
      </c>
      <c r="AH131" s="93" t="e">
        <f t="shared" si="67"/>
        <v>#REF!</v>
      </c>
      <c r="AI131" s="97" t="e">
        <f t="shared" si="68"/>
        <v>#REF!</v>
      </c>
      <c r="AK131" s="28" t="e">
        <f t="shared" si="73"/>
        <v>#REF!</v>
      </c>
      <c r="AL131" s="28" t="e">
        <f>#REF!</f>
        <v>#REF!</v>
      </c>
      <c r="AM131" s="28" t="e">
        <f>#REF!</f>
        <v>#REF!</v>
      </c>
      <c r="AN131" s="28" t="e">
        <f>#REF!</f>
        <v>#REF!</v>
      </c>
      <c r="AO131" s="28" t="e">
        <f>#REF!</f>
        <v>#REF!</v>
      </c>
      <c r="AP131" s="28" t="e">
        <f>#REF!</f>
        <v>#REF!</v>
      </c>
      <c r="AQ131" s="28" t="e">
        <f>#REF!</f>
        <v>#REF!</v>
      </c>
    </row>
    <row r="132" spans="1:43" s="4" customFormat="1" ht="20.25" customHeight="1" outlineLevel="1">
      <c r="A132" s="362"/>
      <c r="B132" s="56" t="s">
        <v>94</v>
      </c>
      <c r="C132" s="364"/>
      <c r="D132" s="28">
        <f t="shared" si="75"/>
        <v>207.94168329858704</v>
      </c>
      <c r="E132" s="57">
        <v>33.435397120024142</v>
      </c>
      <c r="F132" s="57">
        <v>32.30333165464144</v>
      </c>
      <c r="G132" s="29">
        <v>137.3908563027685</v>
      </c>
      <c r="H132" s="58">
        <v>4.8120982211529402</v>
      </c>
      <c r="I132" s="214"/>
      <c r="J132" s="214"/>
      <c r="K132" s="28">
        <v>207.94168329858695</v>
      </c>
      <c r="L132" s="57">
        <v>31.739286744286204</v>
      </c>
      <c r="M132" s="57">
        <v>27.908055305527146</v>
      </c>
      <c r="N132" s="320">
        <f t="shared" si="76"/>
        <v>145.91672808290585</v>
      </c>
      <c r="O132" s="57">
        <v>2.3776131658677437</v>
      </c>
      <c r="Q132" s="15"/>
      <c r="R132" s="326">
        <v>207.94168329858695</v>
      </c>
      <c r="S132" s="327">
        <f t="shared" si="45"/>
        <v>0</v>
      </c>
      <c r="T132" s="15"/>
      <c r="U132" s="327">
        <f t="shared" si="46"/>
        <v>0</v>
      </c>
      <c r="AG132" s="93" t="e">
        <f>#REF!</f>
        <v>#REF!</v>
      </c>
      <c r="AH132" s="93" t="e">
        <f t="shared" si="67"/>
        <v>#REF!</v>
      </c>
      <c r="AI132" s="97" t="e">
        <f t="shared" si="68"/>
        <v>#REF!</v>
      </c>
      <c r="AK132" s="28" t="e">
        <f t="shared" si="73"/>
        <v>#REF!</v>
      </c>
      <c r="AL132" s="28" t="e">
        <f>#REF!</f>
        <v>#REF!</v>
      </c>
      <c r="AM132" s="28" t="e">
        <f>#REF!</f>
        <v>#REF!</v>
      </c>
      <c r="AN132" s="28" t="e">
        <f>#REF!</f>
        <v>#REF!</v>
      </c>
      <c r="AO132" s="28" t="e">
        <f>#REF!</f>
        <v>#REF!</v>
      </c>
      <c r="AP132" s="28" t="e">
        <f>#REF!</f>
        <v>#REF!</v>
      </c>
      <c r="AQ132" s="28" t="e">
        <f>#REF!</f>
        <v>#REF!</v>
      </c>
    </row>
    <row r="133" spans="1:43" s="4" customFormat="1" hidden="1" outlineLevel="1">
      <c r="A133" s="362"/>
      <c r="B133" s="56" t="s">
        <v>165</v>
      </c>
      <c r="C133" s="364"/>
      <c r="D133" s="28">
        <f t="shared" si="75"/>
        <v>0</v>
      </c>
      <c r="E133" s="57">
        <v>0</v>
      </c>
      <c r="F133" s="57">
        <v>0</v>
      </c>
      <c r="G133" s="57">
        <v>0</v>
      </c>
      <c r="H133" s="58">
        <v>0</v>
      </c>
      <c r="K133" s="28">
        <v>0</v>
      </c>
      <c r="L133" s="57">
        <v>0</v>
      </c>
      <c r="M133" s="57">
        <v>0</v>
      </c>
      <c r="N133" s="57">
        <v>0</v>
      </c>
      <c r="O133" s="58">
        <v>0</v>
      </c>
      <c r="Q133" s="15"/>
      <c r="R133" s="326">
        <v>0</v>
      </c>
      <c r="S133" s="327">
        <f t="shared" si="45"/>
        <v>0</v>
      </c>
      <c r="T133" s="15"/>
      <c r="U133" s="327">
        <f t="shared" si="46"/>
        <v>0</v>
      </c>
      <c r="AG133" s="93" t="e">
        <f>#REF!</f>
        <v>#REF!</v>
      </c>
      <c r="AH133" s="93" t="e">
        <f t="shared" si="67"/>
        <v>#REF!</v>
      </c>
      <c r="AI133" s="97" t="e">
        <f t="shared" si="68"/>
        <v>#REF!</v>
      </c>
      <c r="AK133" s="28">
        <f t="shared" si="73"/>
        <v>0</v>
      </c>
      <c r="AL133" s="57">
        <v>0</v>
      </c>
      <c r="AM133" s="57">
        <v>0</v>
      </c>
      <c r="AN133" s="57">
        <v>0</v>
      </c>
      <c r="AO133" s="58">
        <v>0</v>
      </c>
      <c r="AP133" s="58">
        <v>0</v>
      </c>
      <c r="AQ133" s="58">
        <v>0</v>
      </c>
    </row>
    <row r="134" spans="1:43" s="4" customFormat="1" hidden="1" outlineLevel="1">
      <c r="A134" s="362"/>
      <c r="B134" s="56" t="s">
        <v>114</v>
      </c>
      <c r="C134" s="364"/>
      <c r="D134" s="28">
        <f t="shared" si="75"/>
        <v>0</v>
      </c>
      <c r="E134" s="57">
        <v>0</v>
      </c>
      <c r="F134" s="57">
        <v>0</v>
      </c>
      <c r="G134" s="57">
        <v>0</v>
      </c>
      <c r="H134" s="58">
        <v>0</v>
      </c>
      <c r="K134" s="28">
        <v>0</v>
      </c>
      <c r="L134" s="57">
        <v>0</v>
      </c>
      <c r="M134" s="57">
        <v>0</v>
      </c>
      <c r="N134" s="57">
        <v>0</v>
      </c>
      <c r="O134" s="58">
        <v>0</v>
      </c>
      <c r="Q134" s="15"/>
      <c r="R134" s="326">
        <v>0</v>
      </c>
      <c r="S134" s="327">
        <f t="shared" si="45"/>
        <v>0</v>
      </c>
      <c r="T134" s="15"/>
      <c r="U134" s="327">
        <f t="shared" si="46"/>
        <v>0</v>
      </c>
      <c r="AG134" s="93" t="e">
        <f>#REF!</f>
        <v>#REF!</v>
      </c>
      <c r="AH134" s="93" t="e">
        <f t="shared" si="67"/>
        <v>#REF!</v>
      </c>
      <c r="AI134" s="97" t="e">
        <f t="shared" si="68"/>
        <v>#REF!</v>
      </c>
      <c r="AK134" s="28">
        <f t="shared" si="73"/>
        <v>0</v>
      </c>
      <c r="AL134" s="57">
        <v>0</v>
      </c>
      <c r="AM134" s="57">
        <v>0</v>
      </c>
      <c r="AN134" s="57">
        <v>0</v>
      </c>
      <c r="AO134" s="58">
        <v>0</v>
      </c>
      <c r="AP134" s="58">
        <v>0</v>
      </c>
      <c r="AQ134" s="58">
        <v>0</v>
      </c>
    </row>
    <row r="135" spans="1:43" s="4" customFormat="1" ht="32.25" customHeight="1" collapsed="1">
      <c r="A135" s="13">
        <v>7</v>
      </c>
      <c r="B135" s="12" t="s">
        <v>66</v>
      </c>
      <c r="C135" s="361" t="s">
        <v>9</v>
      </c>
      <c r="D135" s="25">
        <f t="shared" si="75"/>
        <v>3060199.0170137505</v>
      </c>
      <c r="E135" s="35">
        <v>1352157.4899460636</v>
      </c>
      <c r="F135" s="35">
        <v>1029248.7883013519</v>
      </c>
      <c r="G135" s="33">
        <v>615653.21643749182</v>
      </c>
      <c r="H135" s="35">
        <v>63139.522328843101</v>
      </c>
      <c r="K135" s="175">
        <v>3060384.8732379996</v>
      </c>
      <c r="L135" s="35">
        <v>1464029.4950371918</v>
      </c>
      <c r="M135" s="35">
        <v>995164.48513533105</v>
      </c>
      <c r="N135" s="321">
        <f t="shared" ref="N135" si="77">K135-L135-M135-O135</f>
        <v>589705.70023031696</v>
      </c>
      <c r="O135" s="35">
        <v>11485.192835159829</v>
      </c>
      <c r="Q135" s="48"/>
      <c r="R135" s="332">
        <v>3060384.8732379996</v>
      </c>
      <c r="S135" s="327">
        <f t="shared" si="45"/>
        <v>0</v>
      </c>
      <c r="T135" s="15"/>
      <c r="U135" s="327">
        <f t="shared" si="46"/>
        <v>0</v>
      </c>
      <c r="AG135" s="92" t="e">
        <f>#REF!</f>
        <v>#REF!</v>
      </c>
      <c r="AH135" s="92" t="e">
        <f t="shared" si="67"/>
        <v>#REF!</v>
      </c>
      <c r="AI135" s="97" t="e">
        <f t="shared" si="68"/>
        <v>#REF!</v>
      </c>
      <c r="AK135" s="25" t="e">
        <f>SUM(AL135:AQ135)</f>
        <v>#REF!</v>
      </c>
      <c r="AL135" s="35" t="e">
        <f>#REF!</f>
        <v>#REF!</v>
      </c>
      <c r="AM135" s="35" t="e">
        <f>#REF!</f>
        <v>#REF!</v>
      </c>
      <c r="AN135" s="35" t="e">
        <f>#REF!</f>
        <v>#REF!</v>
      </c>
      <c r="AO135" s="35" t="e">
        <f>#REF!</f>
        <v>#REF!</v>
      </c>
      <c r="AP135" s="35" t="e">
        <f>#REF!</f>
        <v>#REF!</v>
      </c>
      <c r="AQ135" s="35" t="e">
        <f>#REF!</f>
        <v>#REF!</v>
      </c>
    </row>
    <row r="136" spans="1:43" s="6" customFormat="1" ht="27.75" customHeight="1">
      <c r="A136" s="19" t="s">
        <v>67</v>
      </c>
      <c r="B136" s="17" t="s">
        <v>68</v>
      </c>
      <c r="C136" s="361" t="s">
        <v>9</v>
      </c>
      <c r="D136" s="27">
        <f>D6+D94</f>
        <v>8437981.3526431881</v>
      </c>
      <c r="E136" s="27">
        <f>E6+E94</f>
        <v>2822085.1497539203</v>
      </c>
      <c r="F136" s="27">
        <f>F6+F94</f>
        <v>2278038.9182372401</v>
      </c>
      <c r="G136" s="27">
        <f>G6+G94</f>
        <v>3095071.4001153111</v>
      </c>
      <c r="H136" s="27">
        <f>H6+H94</f>
        <v>242785.88453671784</v>
      </c>
      <c r="K136" s="27">
        <f t="shared" ref="K136:O136" si="78">K6+K94</f>
        <v>8026666.6214488018</v>
      </c>
      <c r="L136" s="27">
        <f t="shared" si="78"/>
        <v>2687903.1796110133</v>
      </c>
      <c r="M136" s="27">
        <f t="shared" si="78"/>
        <v>2088213.325666812</v>
      </c>
      <c r="N136" s="27">
        <f t="shared" si="78"/>
        <v>3134293.5405736398</v>
      </c>
      <c r="O136" s="27">
        <f t="shared" si="78"/>
        <v>116256.57559733659</v>
      </c>
      <c r="Q136" s="203"/>
      <c r="R136" s="333">
        <v>8026666.6214488018</v>
      </c>
      <c r="S136" s="327">
        <f t="shared" ref="S136:S140" si="79">K136-R136</f>
        <v>0</v>
      </c>
      <c r="T136" s="253"/>
      <c r="U136" s="327">
        <f t="shared" ref="U136:U140" si="80">K136-(L136+M136+N136+O136)</f>
        <v>0</v>
      </c>
      <c r="V136" s="253"/>
      <c r="AG136" s="99" t="e">
        <f>AG6+AG94</f>
        <v>#REF!</v>
      </c>
      <c r="AH136" s="91" t="e">
        <f t="shared" si="67"/>
        <v>#REF!</v>
      </c>
      <c r="AI136" s="98" t="e">
        <f t="shared" si="68"/>
        <v>#REF!</v>
      </c>
      <c r="AK136" s="27" t="e">
        <f t="shared" ref="AK136:AQ136" si="81">AK6+AK94</f>
        <v>#REF!</v>
      </c>
      <c r="AL136" s="27" t="e">
        <f t="shared" si="81"/>
        <v>#REF!</v>
      </c>
      <c r="AM136" s="27" t="e">
        <f t="shared" si="81"/>
        <v>#REF!</v>
      </c>
      <c r="AN136" s="27" t="e">
        <f t="shared" si="81"/>
        <v>#REF!</v>
      </c>
      <c r="AO136" s="27" t="e">
        <f t="shared" si="81"/>
        <v>#REF!</v>
      </c>
      <c r="AP136" s="27" t="e">
        <f t="shared" si="81"/>
        <v>#REF!</v>
      </c>
      <c r="AQ136" s="27" t="e">
        <f t="shared" si="81"/>
        <v>#REF!</v>
      </c>
    </row>
    <row r="137" spans="1:43" s="4" customFormat="1" ht="29.25" customHeight="1">
      <c r="A137" s="19" t="s">
        <v>69</v>
      </c>
      <c r="B137" s="17" t="s">
        <v>70</v>
      </c>
      <c r="C137" s="361" t="s">
        <v>9</v>
      </c>
      <c r="D137" s="27">
        <f>SUM(E137:H137)</f>
        <v>5005696.2419580091</v>
      </c>
      <c r="E137" s="27">
        <v>2230430.8109019222</v>
      </c>
      <c r="F137" s="27">
        <v>1697781.6760105197</v>
      </c>
      <c r="G137" s="27">
        <v>999110.76775652147</v>
      </c>
      <c r="H137" s="27">
        <v>78372.987289045748</v>
      </c>
      <c r="I137" s="6"/>
      <c r="J137" s="6"/>
      <c r="K137" s="27">
        <f>SUM(L137:O137)</f>
        <v>3481852.4511521305</v>
      </c>
      <c r="L137" s="27">
        <v>1448168.7889724942</v>
      </c>
      <c r="M137" s="27">
        <v>984383.27380163688</v>
      </c>
      <c r="N137" s="27">
        <f t="shared" ref="N137:O137" si="82">N139-N138</f>
        <v>1011771.9499395608</v>
      </c>
      <c r="O137" s="27">
        <f t="shared" si="82"/>
        <v>37528.438438438476</v>
      </c>
      <c r="R137" s="333">
        <v>3481852.4511521305</v>
      </c>
      <c r="S137" s="327">
        <f t="shared" si="79"/>
        <v>0</v>
      </c>
      <c r="T137" s="253"/>
      <c r="U137" s="327">
        <f t="shared" si="80"/>
        <v>0</v>
      </c>
      <c r="V137" s="253"/>
      <c r="AG137" s="99" t="e">
        <f>#REF!</f>
        <v>#REF!</v>
      </c>
      <c r="AH137" s="91" t="e">
        <f t="shared" si="67"/>
        <v>#REF!</v>
      </c>
      <c r="AI137" s="95"/>
      <c r="AK137" s="27" t="e">
        <f>SUM(AL137:AQ137)</f>
        <v>#REF!</v>
      </c>
      <c r="AL137" s="27" t="e">
        <f>#REF!</f>
        <v>#REF!</v>
      </c>
      <c r="AM137" s="27" t="e">
        <f>#REF!</f>
        <v>#REF!</v>
      </c>
      <c r="AN137" s="27" t="e">
        <f>#REF!</f>
        <v>#REF!</v>
      </c>
      <c r="AO137" s="27" t="e">
        <f>#REF!</f>
        <v>#REF!</v>
      </c>
      <c r="AP137" s="27" t="e">
        <f>#REF!</f>
        <v>#REF!</v>
      </c>
      <c r="AQ137" s="27" t="e">
        <f>#REF!</f>
        <v>#REF!</v>
      </c>
    </row>
    <row r="138" spans="1:43" s="4" customFormat="1" ht="26.25" customHeight="1">
      <c r="A138" s="13"/>
      <c r="B138" s="12" t="s">
        <v>71</v>
      </c>
      <c r="C138" s="361" t="s">
        <v>9</v>
      </c>
      <c r="D138" s="35">
        <f>D139-D137</f>
        <v>1251424.0604895018</v>
      </c>
      <c r="E138" s="35">
        <f>E139-E137</f>
        <v>557607.70272548031</v>
      </c>
      <c r="F138" s="35">
        <f>F139-F137</f>
        <v>424445.41900262982</v>
      </c>
      <c r="G138" s="35">
        <f t="shared" ref="G138:H138" si="83">G139-G137</f>
        <v>249777.69193913043</v>
      </c>
      <c r="H138" s="35">
        <f t="shared" si="83"/>
        <v>19593.246822261441</v>
      </c>
      <c r="K138" s="35">
        <f>SUM(L138:O138)</f>
        <v>870463.11278803262</v>
      </c>
      <c r="L138" s="35">
        <f>L139-L137</f>
        <v>362042.19724312355</v>
      </c>
      <c r="M138" s="35">
        <f>M139-M137</f>
        <v>246095.81845040922</v>
      </c>
      <c r="N138" s="35">
        <f t="shared" ref="N138:O138" si="84">N139*0.2</f>
        <v>252942.98748489024</v>
      </c>
      <c r="O138" s="35">
        <f t="shared" si="84"/>
        <v>9382.1096096096189</v>
      </c>
      <c r="R138" s="333">
        <v>870463.11278803262</v>
      </c>
      <c r="S138" s="327">
        <f t="shared" si="79"/>
        <v>0</v>
      </c>
      <c r="T138" s="253"/>
      <c r="U138" s="327">
        <f t="shared" si="80"/>
        <v>0</v>
      </c>
      <c r="V138" s="253"/>
      <c r="AG138" s="102" t="e">
        <f>AG139-AG137</f>
        <v>#REF!</v>
      </c>
      <c r="AH138" s="92" t="e">
        <f t="shared" si="67"/>
        <v>#REF!</v>
      </c>
      <c r="AI138" s="95"/>
      <c r="AK138" s="35" t="e">
        <f>AK139-AK137</f>
        <v>#REF!</v>
      </c>
      <c r="AL138" s="35" t="e">
        <f>AL139-AL137</f>
        <v>#REF!</v>
      </c>
      <c r="AM138" s="35" t="e">
        <f>AM139-AM137</f>
        <v>#REF!</v>
      </c>
      <c r="AN138" s="35" t="e">
        <f t="shared" ref="AN138:AQ138" si="85">AN139-AN137</f>
        <v>#REF!</v>
      </c>
      <c r="AO138" s="35" t="e">
        <f t="shared" si="85"/>
        <v>#REF!</v>
      </c>
      <c r="AP138" s="35" t="e">
        <f>AP139-AP137</f>
        <v>#REF!</v>
      </c>
      <c r="AQ138" s="35" t="e">
        <f t="shared" si="85"/>
        <v>#REF!</v>
      </c>
    </row>
    <row r="139" spans="1:43" s="4" customFormat="1" ht="26.25" customHeight="1">
      <c r="A139" s="13"/>
      <c r="B139" s="12" t="s">
        <v>72</v>
      </c>
      <c r="C139" s="361" t="s">
        <v>9</v>
      </c>
      <c r="D139" s="54">
        <f>D137/8*10</f>
        <v>6257120.3024475109</v>
      </c>
      <c r="E139" s="54">
        <f t="shared" ref="E139:H139" si="86">E137/8*10</f>
        <v>2788038.5136274025</v>
      </c>
      <c r="F139" s="54">
        <f t="shared" si="86"/>
        <v>2122227.0950131495</v>
      </c>
      <c r="G139" s="54">
        <f t="shared" si="86"/>
        <v>1248888.4596956519</v>
      </c>
      <c r="H139" s="54">
        <f t="shared" si="86"/>
        <v>97966.234111307189</v>
      </c>
      <c r="K139" s="54">
        <f>SUM(L139:O139)</f>
        <v>4352315.5639401628</v>
      </c>
      <c r="L139" s="238">
        <f t="shared" ref="L139:M139" si="87">L137/8*10</f>
        <v>1810210.9862156177</v>
      </c>
      <c r="M139" s="238">
        <f t="shared" si="87"/>
        <v>1230479.0922520461</v>
      </c>
      <c r="N139" s="238">
        <f t="shared" ref="N139:O139" si="88">N140-N136</f>
        <v>1264714.9374244511</v>
      </c>
      <c r="O139" s="238">
        <f t="shared" si="88"/>
        <v>46910.548048048091</v>
      </c>
      <c r="R139" s="333">
        <v>4352315.5639401628</v>
      </c>
      <c r="S139" s="327">
        <f t="shared" si="79"/>
        <v>0</v>
      </c>
      <c r="T139" s="253"/>
      <c r="U139" s="327">
        <f t="shared" si="80"/>
        <v>0</v>
      </c>
      <c r="V139" s="253"/>
      <c r="AG139" s="103" t="e">
        <f>AG137/8*10</f>
        <v>#REF!</v>
      </c>
      <c r="AH139" s="92" t="e">
        <f t="shared" si="67"/>
        <v>#REF!</v>
      </c>
      <c r="AI139" s="95"/>
      <c r="AK139" s="54" t="e">
        <f>AK137/8*10</f>
        <v>#REF!</v>
      </c>
      <c r="AL139" s="54" t="e">
        <f t="shared" ref="AL139:AQ139" si="89">AL137/8*10</f>
        <v>#REF!</v>
      </c>
      <c r="AM139" s="54" t="e">
        <f t="shared" si="89"/>
        <v>#REF!</v>
      </c>
      <c r="AN139" s="54" t="e">
        <f t="shared" si="89"/>
        <v>#REF!</v>
      </c>
      <c r="AO139" s="54" t="e">
        <f t="shared" si="89"/>
        <v>#REF!</v>
      </c>
      <c r="AP139" s="54" t="e">
        <f>AP137/8*10</f>
        <v>#REF!</v>
      </c>
      <c r="AQ139" s="54" t="e">
        <f t="shared" si="89"/>
        <v>#REF!</v>
      </c>
    </row>
    <row r="140" spans="1:43" s="4" customFormat="1" ht="34.5" customHeight="1">
      <c r="A140" s="19" t="s">
        <v>73</v>
      </c>
      <c r="B140" s="17" t="s">
        <v>74</v>
      </c>
      <c r="C140" s="361" t="s">
        <v>9</v>
      </c>
      <c r="D140" s="31">
        <f>D136+D139</f>
        <v>14695101.655090699</v>
      </c>
      <c r="E140" s="31">
        <f>E136+E139</f>
        <v>5610123.6633813232</v>
      </c>
      <c r="F140" s="31">
        <f t="shared" ref="F140:H140" si="90">F136+F139</f>
        <v>4400266.0132503901</v>
      </c>
      <c r="G140" s="31">
        <f t="shared" si="90"/>
        <v>4343959.8598109633</v>
      </c>
      <c r="H140" s="31">
        <f t="shared" si="90"/>
        <v>340752.11864802503</v>
      </c>
      <c r="K140" s="31">
        <f>SUM(L140:O140)</f>
        <v>12378982.185388964</v>
      </c>
      <c r="L140" s="31">
        <f>L136+L139</f>
        <v>4498114.1658266308</v>
      </c>
      <c r="M140" s="31">
        <f>M136+M139</f>
        <v>3318692.4179188581</v>
      </c>
      <c r="N140" s="31">
        <f t="shared" ref="N140:O140" si="91">N136*0.8/(0.8-23%)</f>
        <v>4399008.4779980909</v>
      </c>
      <c r="O140" s="31">
        <f t="shared" si="91"/>
        <v>163167.12364538468</v>
      </c>
      <c r="R140" s="333">
        <v>12378982.185388964</v>
      </c>
      <c r="S140" s="327">
        <f t="shared" si="79"/>
        <v>0</v>
      </c>
      <c r="T140" s="253"/>
      <c r="U140" s="327">
        <f t="shared" si="80"/>
        <v>0</v>
      </c>
      <c r="V140" s="253"/>
      <c r="AG140" s="104" t="e">
        <f>AG136+AG139</f>
        <v>#REF!</v>
      </c>
      <c r="AH140" s="91" t="e">
        <f t="shared" si="67"/>
        <v>#REF!</v>
      </c>
      <c r="AI140" s="95"/>
      <c r="AK140" s="31" t="e">
        <f>AK136+AK139</f>
        <v>#REF!</v>
      </c>
      <c r="AL140" s="31" t="e">
        <f>AL136+AL139</f>
        <v>#REF!</v>
      </c>
      <c r="AM140" s="31" t="e">
        <f t="shared" ref="AM140:AQ140" si="92">AM136+AM139</f>
        <v>#REF!</v>
      </c>
      <c r="AN140" s="31" t="e">
        <f t="shared" si="92"/>
        <v>#REF!</v>
      </c>
      <c r="AO140" s="31" t="e">
        <f t="shared" si="92"/>
        <v>#REF!</v>
      </c>
      <c r="AP140" s="31" t="e">
        <f t="shared" si="92"/>
        <v>#REF!</v>
      </c>
      <c r="AQ140" s="31" t="e">
        <f t="shared" si="92"/>
        <v>#REF!</v>
      </c>
    </row>
    <row r="141" spans="1:43" s="4" customFormat="1" ht="27.75" customHeight="1">
      <c r="A141" s="820" t="s">
        <v>75</v>
      </c>
      <c r="B141" s="799" t="s">
        <v>76</v>
      </c>
      <c r="C141" s="14" t="s">
        <v>77</v>
      </c>
      <c r="D141" s="25" t="s">
        <v>133</v>
      </c>
      <c r="E141" s="25">
        <v>1559287</v>
      </c>
      <c r="F141" s="25"/>
      <c r="H141" s="25"/>
      <c r="K141" s="25" t="s">
        <v>133</v>
      </c>
      <c r="L141" s="25">
        <v>1559287</v>
      </c>
      <c r="M141" s="25"/>
      <c r="O141" s="25"/>
      <c r="R141" s="357">
        <v>1559287</v>
      </c>
      <c r="S141" s="360">
        <f>L141-R141</f>
        <v>0</v>
      </c>
      <c r="T141" s="245"/>
      <c r="U141" s="245"/>
      <c r="V141" s="245"/>
      <c r="AG141" s="92" t="e">
        <f>#REF!</f>
        <v>#REF!</v>
      </c>
      <c r="AH141" s="92"/>
      <c r="AI141" s="95"/>
      <c r="AK141" s="147" t="s">
        <v>133</v>
      </c>
      <c r="AL141" s="25" t="e">
        <f>#REF!</f>
        <v>#REF!</v>
      </c>
      <c r="AM141" s="25"/>
      <c r="AN141" s="25"/>
      <c r="AO141" s="25"/>
      <c r="AP141" s="25"/>
      <c r="AQ141" s="25"/>
    </row>
    <row r="142" spans="1:43" s="4" customFormat="1" ht="27.75" customHeight="1">
      <c r="A142" s="821"/>
      <c r="B142" s="800"/>
      <c r="C142" s="14" t="s">
        <v>131</v>
      </c>
      <c r="D142" s="25" t="s">
        <v>134</v>
      </c>
      <c r="E142" s="25"/>
      <c r="F142" s="25">
        <v>687793</v>
      </c>
      <c r="G142" s="25"/>
      <c r="H142" s="25"/>
      <c r="K142" s="25" t="s">
        <v>134</v>
      </c>
      <c r="L142" s="25"/>
      <c r="M142" s="25">
        <v>687793</v>
      </c>
      <c r="N142" s="25"/>
      <c r="O142" s="25"/>
      <c r="R142" s="357">
        <v>687793</v>
      </c>
      <c r="S142" s="360">
        <f>R142-M142</f>
        <v>0</v>
      </c>
      <c r="T142" s="245"/>
      <c r="U142" s="245"/>
      <c r="V142" s="245"/>
      <c r="AG142" s="92" t="e">
        <f>#REF!</f>
        <v>#REF!</v>
      </c>
      <c r="AH142" s="92"/>
      <c r="AI142" s="95"/>
      <c r="AK142" s="147" t="s">
        <v>134</v>
      </c>
      <c r="AL142" s="25"/>
      <c r="AM142" s="25" t="e">
        <f>#REF!</f>
        <v>#REF!</v>
      </c>
      <c r="AN142" s="25"/>
      <c r="AO142" s="25"/>
      <c r="AP142" s="25"/>
      <c r="AQ142" s="25"/>
    </row>
    <row r="143" spans="1:43" s="4" customFormat="1" ht="27.75" customHeight="1">
      <c r="A143" s="821"/>
      <c r="B143" s="800"/>
      <c r="C143" s="111"/>
      <c r="D143" s="25" t="s">
        <v>133</v>
      </c>
      <c r="E143" s="112"/>
      <c r="F143" s="112"/>
      <c r="G143" s="25">
        <f>1676445+484720</f>
        <v>2161165</v>
      </c>
      <c r="H143" s="112"/>
      <c r="K143" s="25" t="s">
        <v>133</v>
      </c>
      <c r="L143" s="25"/>
      <c r="M143" s="25"/>
      <c r="N143" s="25">
        <v>2154015</v>
      </c>
      <c r="O143" s="25"/>
      <c r="R143" s="357">
        <v>2154015</v>
      </c>
      <c r="S143" s="360">
        <f>R143-N143</f>
        <v>0</v>
      </c>
      <c r="T143" s="245"/>
      <c r="U143" s="245"/>
      <c r="V143" s="245"/>
      <c r="AG143" s="92" t="e">
        <f>#REF!</f>
        <v>#REF!</v>
      </c>
      <c r="AH143" s="92"/>
      <c r="AI143" s="95"/>
      <c r="AK143" s="147" t="s">
        <v>133</v>
      </c>
      <c r="AL143" s="25"/>
      <c r="AM143" s="25"/>
      <c r="AN143" s="25" t="e">
        <f>#REF!</f>
        <v>#REF!</v>
      </c>
      <c r="AO143" s="25"/>
      <c r="AP143" s="25"/>
      <c r="AQ143" s="25"/>
    </row>
    <row r="144" spans="1:43" s="4" customFormat="1" ht="27.75" customHeight="1">
      <c r="A144" s="822"/>
      <c r="B144" s="801"/>
      <c r="C144" s="14"/>
      <c r="D144" s="25" t="s">
        <v>137</v>
      </c>
      <c r="E144" s="25"/>
      <c r="F144" s="25"/>
      <c r="G144" s="25"/>
      <c r="H144" s="25">
        <v>2190</v>
      </c>
      <c r="K144" s="25" t="s">
        <v>137</v>
      </c>
      <c r="L144" s="25"/>
      <c r="M144" s="25"/>
      <c r="N144" s="25"/>
      <c r="O144" s="25">
        <v>2190</v>
      </c>
      <c r="R144" s="357">
        <v>2190</v>
      </c>
      <c r="S144" s="360">
        <f>R144-O144</f>
        <v>0</v>
      </c>
      <c r="T144" s="245"/>
      <c r="U144" s="245"/>
      <c r="V144" s="245"/>
      <c r="AG144" s="92" t="e">
        <f>#REF!</f>
        <v>#REF!</v>
      </c>
      <c r="AH144" s="92"/>
      <c r="AI144" s="95"/>
      <c r="AK144" s="147" t="s">
        <v>169</v>
      </c>
      <c r="AL144" s="25"/>
      <c r="AM144" s="25"/>
      <c r="AN144" s="25"/>
      <c r="AO144" s="25"/>
      <c r="AP144" s="25"/>
      <c r="AQ144" s="25" t="e">
        <f>#REF!</f>
        <v>#REF!</v>
      </c>
    </row>
    <row r="145" spans="1:43" s="5" customFormat="1" ht="27.75" customHeight="1">
      <c r="A145" s="820" t="s">
        <v>78</v>
      </c>
      <c r="B145" s="799" t="s">
        <v>79</v>
      </c>
      <c r="C145" s="14" t="s">
        <v>80</v>
      </c>
      <c r="D145" s="25" t="s">
        <v>169</v>
      </c>
      <c r="E145" s="31">
        <f>(E140*1000)/E141</f>
        <v>3597.8775320908358</v>
      </c>
      <c r="F145" s="31"/>
      <c r="H145" s="31"/>
      <c r="K145" s="25" t="s">
        <v>169</v>
      </c>
      <c r="L145" s="31">
        <f>(L140*1000)/L141</f>
        <v>2884.7249838077473</v>
      </c>
      <c r="M145" s="31"/>
      <c r="O145" s="31"/>
      <c r="R145" s="358">
        <v>2884.7249838077473</v>
      </c>
      <c r="S145" s="360">
        <f>R145-L145</f>
        <v>0</v>
      </c>
      <c r="T145" s="254"/>
      <c r="U145" s="254"/>
      <c r="V145" s="254"/>
      <c r="AG145" s="91" t="e">
        <f>#REF!</f>
        <v>#REF!</v>
      </c>
      <c r="AH145" s="91" t="e">
        <f>E145-AG145</f>
        <v>#REF!</v>
      </c>
      <c r="AI145" s="95"/>
      <c r="AK145" s="147" t="s">
        <v>170</v>
      </c>
      <c r="AL145" s="31" t="e">
        <f>(AL140*1000)/AL141</f>
        <v>#REF!</v>
      </c>
      <c r="AM145" s="31"/>
      <c r="AO145" s="68"/>
      <c r="AP145" s="31"/>
      <c r="AQ145" s="31"/>
    </row>
    <row r="146" spans="1:43" s="4" customFormat="1" ht="27.75" customHeight="1">
      <c r="A146" s="821"/>
      <c r="B146" s="800"/>
      <c r="C146" s="14" t="s">
        <v>89</v>
      </c>
      <c r="D146" s="25" t="s">
        <v>170</v>
      </c>
      <c r="E146" s="46"/>
      <c r="F146" s="31">
        <f>(F140*1000)/F142</f>
        <v>6397.6603618390855</v>
      </c>
      <c r="G146" s="46"/>
      <c r="H146" s="46"/>
      <c r="K146" s="25" t="s">
        <v>170</v>
      </c>
      <c r="L146" s="46"/>
      <c r="M146" s="31">
        <f>(M140*1000)/M142</f>
        <v>4825.1325877391282</v>
      </c>
      <c r="N146" s="46"/>
      <c r="O146" s="46"/>
      <c r="R146" s="358">
        <v>4825.1325877391282</v>
      </c>
      <c r="S146" s="360">
        <f>R146-M146</f>
        <v>0</v>
      </c>
      <c r="T146" s="245"/>
      <c r="U146" s="245"/>
      <c r="V146" s="245"/>
      <c r="AG146" s="91" t="e">
        <f>#REF!</f>
        <v>#REF!</v>
      </c>
      <c r="AH146" s="91" t="e">
        <f>F146-AG146</f>
        <v>#REF!</v>
      </c>
      <c r="AI146" s="95"/>
      <c r="AK146" s="147" t="s">
        <v>171</v>
      </c>
      <c r="AL146" s="46"/>
      <c r="AM146" s="31" t="e">
        <f>(AM140*1000)/AM142</f>
        <v>#REF!</v>
      </c>
      <c r="AN146" s="46"/>
      <c r="AO146" s="36"/>
      <c r="AP146" s="46"/>
      <c r="AQ146" s="46"/>
    </row>
    <row r="147" spans="1:43" s="4" customFormat="1" ht="27.75" customHeight="1">
      <c r="A147" s="821"/>
      <c r="B147" s="800"/>
      <c r="C147" s="111"/>
      <c r="D147" s="25" t="s">
        <v>169</v>
      </c>
      <c r="E147" s="113"/>
      <c r="F147" s="114"/>
      <c r="G147" s="31">
        <f>(G140*1000)/G143</f>
        <v>2010.0084259235014</v>
      </c>
      <c r="H147" s="113"/>
      <c r="K147" s="25" t="s">
        <v>169</v>
      </c>
      <c r="L147" s="113"/>
      <c r="M147" s="114"/>
      <c r="N147" s="31">
        <f>(N140*1000)/N143</f>
        <v>2042.236696586649</v>
      </c>
      <c r="O147" s="113"/>
      <c r="R147" s="358">
        <v>2042.236696586649</v>
      </c>
      <c r="S147" s="360">
        <f>R147-N147</f>
        <v>0</v>
      </c>
      <c r="T147" s="245"/>
      <c r="U147" s="245"/>
      <c r="V147" s="245"/>
      <c r="AG147" s="91" t="e">
        <f>#REF!</f>
        <v>#REF!</v>
      </c>
      <c r="AH147" s="91" t="e">
        <f>#REF!-AG147</f>
        <v>#REF!</v>
      </c>
      <c r="AI147" s="95"/>
      <c r="AK147" s="147" t="s">
        <v>170</v>
      </c>
      <c r="AL147" s="46"/>
      <c r="AM147" s="31"/>
      <c r="AN147" s="31" t="e">
        <f>(AN140*1000)/AN143</f>
        <v>#REF!</v>
      </c>
      <c r="AO147" s="148"/>
      <c r="AP147" s="148"/>
      <c r="AQ147" s="148"/>
    </row>
    <row r="148" spans="1:43" s="4" customFormat="1" ht="27.75" customHeight="1">
      <c r="A148" s="822"/>
      <c r="B148" s="801"/>
      <c r="C148" s="14"/>
      <c r="D148" s="25" t="s">
        <v>172</v>
      </c>
      <c r="E148" s="33"/>
      <c r="F148" s="25"/>
      <c r="G148" s="33"/>
      <c r="H148" s="46">
        <f>(H140*1000)/H144</f>
        <v>155594.5747251256</v>
      </c>
      <c r="K148" s="25" t="s">
        <v>172</v>
      </c>
      <c r="L148" s="33"/>
      <c r="M148" s="25"/>
      <c r="N148" s="33"/>
      <c r="O148" s="46">
        <f>(O140*1000)/O144</f>
        <v>74505.535911134546</v>
      </c>
      <c r="R148" s="359">
        <v>74505.535911134546</v>
      </c>
      <c r="S148" s="360">
        <f>R148-O148</f>
        <v>0</v>
      </c>
      <c r="T148" s="245"/>
      <c r="U148" s="245"/>
      <c r="V148" s="245"/>
      <c r="AG148" s="91" t="e">
        <f>#REF!</f>
        <v>#REF!</v>
      </c>
      <c r="AH148" s="91" t="e">
        <f>H148-AG148</f>
        <v>#REF!</v>
      </c>
      <c r="AI148" s="95"/>
      <c r="AK148" s="82"/>
      <c r="AL148" s="149"/>
      <c r="AM148" s="149"/>
      <c r="AN148" s="149"/>
      <c r="AO148" s="32"/>
      <c r="AP148" s="33"/>
      <c r="AQ148" s="46" t="e">
        <f>(AQ140*1000)/AQ144</f>
        <v>#REF!</v>
      </c>
    </row>
    <row r="149" spans="1:43" ht="15.75" customHeight="1">
      <c r="D149" s="86"/>
      <c r="K149" s="86"/>
      <c r="R149" s="334"/>
      <c r="S149" s="334"/>
      <c r="T149" s="255"/>
      <c r="U149" s="255"/>
      <c r="V149" s="255"/>
      <c r="AK149" s="85"/>
      <c r="AL149" s="40"/>
      <c r="AM149" s="40"/>
      <c r="AN149" s="40"/>
      <c r="AO149" s="38"/>
      <c r="AP149" s="39"/>
    </row>
    <row r="150" spans="1:43" ht="22.5" customHeight="1">
      <c r="B150" s="237" t="s">
        <v>283</v>
      </c>
      <c r="C150" s="3"/>
      <c r="D150" s="31">
        <f>[53]ДУП!$F$5</f>
        <v>3621139974.9052768</v>
      </c>
      <c r="E150" s="40"/>
      <c r="F150" s="40"/>
      <c r="G150" s="40"/>
      <c r="K150" s="82"/>
      <c r="L150" s="40"/>
      <c r="M150" s="40"/>
      <c r="N150" s="40"/>
      <c r="R150" s="334"/>
      <c r="S150" s="334"/>
      <c r="T150" s="255"/>
      <c r="U150" s="255"/>
      <c r="V150" s="255"/>
      <c r="AK150" s="40"/>
      <c r="AL150" s="40"/>
      <c r="AM150" s="40"/>
      <c r="AN150" s="40"/>
      <c r="AO150" s="38"/>
      <c r="AP150" s="39"/>
    </row>
    <row r="151" spans="1:43">
      <c r="B151" s="11"/>
      <c r="C151" s="84"/>
      <c r="D151" s="85"/>
      <c r="E151" s="40"/>
      <c r="F151" s="40"/>
      <c r="G151" s="40"/>
      <c r="K151" s="85"/>
      <c r="L151" s="40"/>
      <c r="M151" s="40"/>
      <c r="N151" s="40"/>
      <c r="R151" s="334"/>
      <c r="S151" s="334"/>
      <c r="T151" s="255"/>
      <c r="U151" s="255"/>
      <c r="V151" s="255"/>
      <c r="AK151" s="106"/>
      <c r="AL151" s="106"/>
      <c r="AM151" s="106"/>
      <c r="AN151" s="106"/>
      <c r="AO151" s="38"/>
      <c r="AP151" s="39"/>
    </row>
    <row r="152" spans="1:43" ht="25.5" customHeight="1">
      <c r="B152" s="218" t="s">
        <v>199</v>
      </c>
      <c r="C152" s="106"/>
      <c r="D152" s="216">
        <f>71*3*365*58</f>
        <v>4509210</v>
      </c>
      <c r="E152" s="106"/>
      <c r="F152" s="106"/>
      <c r="G152" s="106"/>
      <c r="K152" s="216">
        <f>71*3*365*58</f>
        <v>4509210</v>
      </c>
      <c r="L152" s="106"/>
      <c r="M152" s="106"/>
      <c r="N152" s="106"/>
      <c r="R152" s="334"/>
      <c r="S152" s="334"/>
      <c r="T152" s="255"/>
      <c r="U152" s="255"/>
      <c r="V152" s="255"/>
      <c r="AM152" s="82"/>
    </row>
    <row r="153" spans="1:43">
      <c r="B153" s="219" t="s">
        <v>200</v>
      </c>
      <c r="D153" s="217">
        <f>D140*1000/D152</f>
        <v>3258.9082466974701</v>
      </c>
      <c r="K153" s="217">
        <f>K140*1000/K152</f>
        <v>2745.2662850896195</v>
      </c>
      <c r="AO153" s="37"/>
      <c r="AQ153" s="37"/>
    </row>
    <row r="154" spans="1:43">
      <c r="D154" s="82"/>
      <c r="K154" s="201"/>
      <c r="L154" s="201"/>
      <c r="M154" s="201"/>
      <c r="N154" s="201"/>
      <c r="O154" s="11"/>
      <c r="P154" s="11"/>
      <c r="AK154" s="1"/>
      <c r="AO154" s="37"/>
      <c r="AP154" s="41"/>
      <c r="AQ154" s="37"/>
    </row>
    <row r="155" spans="1:43">
      <c r="H155" s="37"/>
      <c r="K155" s="227">
        <f>(L155+M155+N155)/58</f>
        <v>2891.0640278296328</v>
      </c>
      <c r="L155" s="227">
        <f>L145*(8.61+2.371)*2</f>
        <v>63354.330094385747</v>
      </c>
      <c r="M155" s="227">
        <f>M146*9.46</f>
        <v>45645.754280012159</v>
      </c>
      <c r="N155" s="227">
        <f>N147*(22.232+6.502)</f>
        <v>58681.629239720773</v>
      </c>
      <c r="O155" s="227"/>
      <c r="R155" s="335"/>
      <c r="S155" s="335"/>
      <c r="T155" s="256"/>
      <c r="U155" s="256"/>
      <c r="V155" s="256"/>
    </row>
    <row r="156" spans="1:43">
      <c r="D156" s="1"/>
      <c r="H156" s="37"/>
      <c r="K156" s="228"/>
      <c r="L156" s="227"/>
      <c r="M156" s="227"/>
      <c r="N156" s="227"/>
      <c r="O156" s="227"/>
      <c r="P156" s="202"/>
      <c r="R156" s="335"/>
      <c r="S156" s="335"/>
      <c r="T156" s="256"/>
      <c r="U156" s="256"/>
      <c r="V156" s="256"/>
    </row>
    <row r="157" spans="1:43">
      <c r="R157" s="335"/>
      <c r="S157" s="335"/>
      <c r="T157" s="256"/>
      <c r="U157" s="256"/>
      <c r="V157" s="256"/>
    </row>
    <row r="158" spans="1:43">
      <c r="K158" s="221"/>
      <c r="L158" s="221"/>
      <c r="M158" s="221"/>
      <c r="N158" s="221"/>
      <c r="O158" s="222"/>
      <c r="P158" s="222"/>
      <c r="Q158" s="222"/>
      <c r="R158" s="335"/>
      <c r="S158" s="335"/>
      <c r="T158" s="256"/>
      <c r="U158" s="256"/>
      <c r="V158" s="256"/>
    </row>
    <row r="159" spans="1:43">
      <c r="B159" s="3" t="s">
        <v>180</v>
      </c>
      <c r="R159" s="335"/>
      <c r="S159" s="335"/>
      <c r="T159" s="256"/>
      <c r="U159" s="256"/>
      <c r="V159" s="256"/>
      <c r="AN159" s="82"/>
    </row>
    <row r="160" spans="1:43">
      <c r="B160" s="3"/>
      <c r="F160" s="82"/>
      <c r="M160" s="82"/>
    </row>
    <row r="161" spans="2:40">
      <c r="B161" s="3"/>
      <c r="G161" s="82"/>
      <c r="N161" s="82"/>
      <c r="AN161" s="83"/>
    </row>
    <row r="162" spans="2:40">
      <c r="B162" s="3" t="s">
        <v>181</v>
      </c>
    </row>
    <row r="169" spans="2:40">
      <c r="D169" s="82"/>
      <c r="E169" s="82"/>
      <c r="F169" s="82"/>
      <c r="G169" s="82"/>
      <c r="H169" s="229"/>
      <c r="K169" s="82"/>
    </row>
  </sheetData>
  <mergeCells count="14">
    <mergeCell ref="A141:A144"/>
    <mergeCell ref="B141:B144"/>
    <mergeCell ref="A145:A148"/>
    <mergeCell ref="B145:B148"/>
    <mergeCell ref="A1:H1"/>
    <mergeCell ref="B2:C2"/>
    <mergeCell ref="AK2:AQ2"/>
    <mergeCell ref="A3:A4"/>
    <mergeCell ref="B3:B4"/>
    <mergeCell ref="C3:C4"/>
    <mergeCell ref="D3:H3"/>
    <mergeCell ref="K3:O3"/>
    <mergeCell ref="AG3:AI3"/>
    <mergeCell ref="AK3:AQ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I164"/>
  <sheetViews>
    <sheetView zoomScale="70" zoomScaleNormal="70" workbookViewId="0">
      <pane xSplit="3" ySplit="5" topLeftCell="D45" activePane="bottomRight" state="frozen"/>
      <selection pane="topRight" activeCell="D1" sqref="D1"/>
      <selection pane="bottomLeft" activeCell="A6" sqref="A6"/>
      <selection pane="bottomRight" activeCell="F93" sqref="F93:G94"/>
    </sheetView>
  </sheetViews>
  <sheetFormatPr defaultColWidth="9.140625" defaultRowHeight="20.25" outlineLevelRow="1"/>
  <cols>
    <col min="1" max="1" width="5.7109375" style="1" customWidth="1"/>
    <col min="2" max="2" width="52.140625" style="1" customWidth="1"/>
    <col min="3" max="3" width="4.28515625" style="1" hidden="1" customWidth="1"/>
    <col min="4" max="4" width="17.42578125" style="37" hidden="1" customWidth="1"/>
    <col min="5" max="5" width="17.42578125" style="37" customWidth="1"/>
    <col min="6" max="6" width="19.28515625" style="37" customWidth="1"/>
    <col min="7" max="7" width="20.140625" style="37" customWidth="1"/>
    <col min="8" max="8" width="16.7109375" style="37" hidden="1" customWidth="1"/>
    <col min="9" max="9" width="15.140625" style="41" hidden="1" customWidth="1"/>
    <col min="10" max="10" width="17.7109375" style="37" hidden="1" customWidth="1"/>
    <col min="11" max="11" width="15.42578125" style="1" hidden="1" customWidth="1"/>
    <col min="12" max="12" width="5.7109375" style="1" customWidth="1"/>
    <col min="13" max="13" width="14.5703125" style="37" customWidth="1"/>
    <col min="14" max="14" width="15" style="1" customWidth="1"/>
    <col min="15" max="15" width="14.42578125" style="1" customWidth="1"/>
    <col min="16" max="16" width="15" style="1" hidden="1" customWidth="1"/>
    <col min="17" max="17" width="9.140625" style="1" hidden="1" customWidth="1"/>
    <col min="18" max="18" width="8.28515625" style="1" hidden="1" customWidth="1"/>
    <col min="19" max="19" width="4.85546875" style="1" customWidth="1"/>
    <col min="20" max="20" width="5.140625" style="1" customWidth="1"/>
    <col min="21" max="21" width="1.28515625" style="1" customWidth="1"/>
    <col min="22" max="22" width="16.85546875" style="190" customWidth="1"/>
    <col min="23" max="23" width="15" style="191" customWidth="1"/>
    <col min="24" max="24" width="14.42578125" style="191" customWidth="1"/>
    <col min="25" max="25" width="12" style="191" customWidth="1"/>
    <col min="26" max="26" width="9.140625" style="1" hidden="1" customWidth="1"/>
    <col min="27" max="27" width="8.28515625" style="1" hidden="1" customWidth="1"/>
    <col min="28" max="28" width="4.85546875" style="1" customWidth="1"/>
    <col min="29" max="29" width="16.28515625" style="267" hidden="1" customWidth="1"/>
    <col min="30" max="30" width="26.85546875" style="1" hidden="1" customWidth="1"/>
    <col min="31" max="32" width="4.85546875" style="1" customWidth="1"/>
    <col min="33" max="33" width="6.85546875" style="1" customWidth="1"/>
    <col min="34" max="16384" width="9.140625" style="1"/>
  </cols>
  <sheetData>
    <row r="1" spans="1:34" s="2" customFormat="1" ht="30" customHeight="1">
      <c r="A1" s="786" t="s">
        <v>111</v>
      </c>
      <c r="B1" s="786"/>
      <c r="C1" s="786"/>
      <c r="D1" s="786"/>
      <c r="E1" s="786"/>
      <c r="F1" s="786"/>
      <c r="G1" s="786"/>
      <c r="H1" s="786"/>
      <c r="I1" s="20"/>
      <c r="J1" s="21"/>
      <c r="M1" s="166"/>
      <c r="N1" s="165"/>
      <c r="O1" s="165"/>
      <c r="P1" s="165"/>
      <c r="V1" s="179"/>
      <c r="W1" s="180"/>
      <c r="X1" s="180"/>
      <c r="Y1" s="181"/>
      <c r="AC1" s="266"/>
    </row>
    <row r="2" spans="1:34" s="2" customFormat="1" ht="9" customHeight="1">
      <c r="A2" s="158"/>
      <c r="B2" s="787"/>
      <c r="C2" s="787"/>
      <c r="D2" s="802"/>
      <c r="E2" s="802"/>
      <c r="F2" s="802"/>
      <c r="G2" s="802"/>
      <c r="H2" s="802"/>
      <c r="I2" s="802"/>
      <c r="J2" s="802"/>
      <c r="K2" s="802"/>
      <c r="M2" s="21"/>
      <c r="N2" s="167"/>
      <c r="O2" s="167"/>
      <c r="V2" s="182"/>
      <c r="W2" s="181"/>
      <c r="X2" s="181"/>
      <c r="Y2" s="181"/>
      <c r="AC2" s="266"/>
    </row>
    <row r="3" spans="1:34" s="2" customFormat="1" ht="18" customHeight="1">
      <c r="A3" s="789" t="s">
        <v>0</v>
      </c>
      <c r="B3" s="789" t="s">
        <v>1</v>
      </c>
      <c r="C3" s="789" t="s">
        <v>2</v>
      </c>
      <c r="D3" s="810" t="s">
        <v>204</v>
      </c>
      <c r="E3" s="810"/>
      <c r="F3" s="810"/>
      <c r="G3" s="810"/>
      <c r="H3" s="810"/>
      <c r="I3" s="71"/>
      <c r="J3" s="72"/>
      <c r="K3" s="72"/>
      <c r="L3" s="116"/>
      <c r="M3" s="814" t="s">
        <v>275</v>
      </c>
      <c r="N3" s="814"/>
      <c r="O3" s="814"/>
      <c r="P3" s="814"/>
      <c r="Q3" s="814"/>
      <c r="R3" s="814"/>
      <c r="S3" s="116"/>
      <c r="V3" s="815" t="s">
        <v>195</v>
      </c>
      <c r="W3" s="816"/>
      <c r="X3" s="816"/>
      <c r="Y3" s="816"/>
      <c r="Z3" s="816"/>
      <c r="AA3" s="816"/>
      <c r="AB3" s="116"/>
      <c r="AC3" s="266"/>
    </row>
    <row r="4" spans="1:34" ht="112.5" customHeight="1">
      <c r="A4" s="789"/>
      <c r="B4" s="789"/>
      <c r="C4" s="789"/>
      <c r="D4" s="160" t="s">
        <v>3</v>
      </c>
      <c r="E4" s="160" t="s">
        <v>3</v>
      </c>
      <c r="F4" s="73" t="s">
        <v>173</v>
      </c>
      <c r="G4" s="73" t="s">
        <v>174</v>
      </c>
      <c r="H4" s="73" t="s">
        <v>138</v>
      </c>
      <c r="I4" s="55" t="s">
        <v>139</v>
      </c>
      <c r="J4" s="55" t="s">
        <v>140</v>
      </c>
      <c r="K4" s="55" t="s">
        <v>141</v>
      </c>
      <c r="M4" s="87" t="s">
        <v>193</v>
      </c>
      <c r="N4" s="73" t="s">
        <v>173</v>
      </c>
      <c r="O4" s="73" t="s">
        <v>174</v>
      </c>
      <c r="P4" s="87" t="s">
        <v>194</v>
      </c>
      <c r="Q4" s="87" t="s">
        <v>189</v>
      </c>
      <c r="R4" s="87" t="s">
        <v>189</v>
      </c>
      <c r="V4" s="183" t="s">
        <v>193</v>
      </c>
      <c r="W4" s="184" t="s">
        <v>173</v>
      </c>
      <c r="X4" s="184" t="s">
        <v>174</v>
      </c>
      <c r="Y4" s="183" t="s">
        <v>196</v>
      </c>
      <c r="Z4" s="87" t="s">
        <v>189</v>
      </c>
      <c r="AA4" s="87" t="s">
        <v>189</v>
      </c>
      <c r="AC4" s="19" t="s">
        <v>211</v>
      </c>
      <c r="AD4" s="19" t="s">
        <v>214</v>
      </c>
    </row>
    <row r="5" spans="1:34" s="11" customFormat="1" ht="12" customHeight="1">
      <c r="A5" s="10">
        <v>1</v>
      </c>
      <c r="B5" s="10">
        <v>2</v>
      </c>
      <c r="C5" s="10">
        <v>3</v>
      </c>
      <c r="D5" s="10">
        <v>4</v>
      </c>
      <c r="E5" s="133">
        <v>3</v>
      </c>
      <c r="F5" s="134">
        <v>4</v>
      </c>
      <c r="G5" s="134">
        <v>5</v>
      </c>
      <c r="H5" s="134">
        <v>7</v>
      </c>
      <c r="I5" s="13">
        <v>8</v>
      </c>
      <c r="J5" s="134">
        <v>9</v>
      </c>
      <c r="K5" s="134">
        <v>10</v>
      </c>
      <c r="L5" s="135"/>
      <c r="M5" s="136"/>
      <c r="N5" s="134">
        <v>5</v>
      </c>
      <c r="O5" s="134">
        <v>6</v>
      </c>
      <c r="P5" s="136"/>
      <c r="Q5" s="136"/>
      <c r="R5" s="140"/>
      <c r="S5" s="135"/>
      <c r="T5" s="135"/>
      <c r="U5" s="135"/>
      <c r="V5" s="185"/>
      <c r="W5" s="186">
        <v>5</v>
      </c>
      <c r="X5" s="186">
        <v>6</v>
      </c>
      <c r="Y5" s="185"/>
      <c r="Z5" s="136"/>
      <c r="AA5" s="140"/>
      <c r="AB5" s="135"/>
      <c r="AC5" s="268"/>
      <c r="AD5" s="274"/>
      <c r="AE5" s="135"/>
      <c r="AF5" s="135"/>
    </row>
    <row r="6" spans="1:34" s="4" customFormat="1" ht="45.75" customHeight="1">
      <c r="A6" s="7" t="s">
        <v>4</v>
      </c>
      <c r="B6" s="17" t="s">
        <v>5</v>
      </c>
      <c r="C6" s="7" t="s">
        <v>6</v>
      </c>
      <c r="D6" s="27">
        <f>D8+D26+D32+D33+D34</f>
        <v>5159291.7473876867</v>
      </c>
      <c r="E6" s="70">
        <f>F6+G6</f>
        <v>2666916.1809299504</v>
      </c>
      <c r="F6" s="27">
        <f>F8+F26+F32+F33+F34</f>
        <v>1447498.3096553106</v>
      </c>
      <c r="G6" s="27">
        <f>G8+G26+G32+G33+G34</f>
        <v>1219417.8712746401</v>
      </c>
      <c r="H6" s="27">
        <f>H8+H26+H32+H33+H34</f>
        <v>960496.63180736476</v>
      </c>
      <c r="I6" s="27">
        <f t="shared" ref="I6:K6" si="0">I8+I26+I32+I33+I34</f>
        <v>501797.33043882524</v>
      </c>
      <c r="J6" s="27">
        <f t="shared" si="0"/>
        <v>864675.26794060203</v>
      </c>
      <c r="K6" s="27">
        <f t="shared" si="0"/>
        <v>165406.3362709441</v>
      </c>
      <c r="M6" s="99">
        <f>M8+M26+M32+M33+M34</f>
        <v>2258919.4199806978</v>
      </c>
      <c r="N6" s="117">
        <f t="shared" ref="N6:O6" si="1">N8+N26+N32+N33+N34</f>
        <v>1195194.1014716348</v>
      </c>
      <c r="O6" s="117">
        <f t="shared" si="1"/>
        <v>1063725.318509063</v>
      </c>
      <c r="P6" s="92">
        <f>E6-M6</f>
        <v>407996.76094925264</v>
      </c>
      <c r="Q6" s="96">
        <f>100%-(M6/E6)</f>
        <v>0.15298447092813572</v>
      </c>
      <c r="R6" s="141">
        <f>Q6</f>
        <v>0.15298447092813572</v>
      </c>
      <c r="V6" s="117">
        <f>V8+V26+V32+V33+V34</f>
        <v>2274792.027090142</v>
      </c>
      <c r="W6" s="117">
        <f t="shared" ref="W6:X6" si="2">W8+W26+W32+W33+W34</f>
        <v>1205461.8101127371</v>
      </c>
      <c r="X6" s="117">
        <f t="shared" si="2"/>
        <v>1069330.2169774049</v>
      </c>
      <c r="Y6" s="119"/>
      <c r="Z6" s="96">
        <f>100%-(V6/E6)</f>
        <v>0.14703280014712539</v>
      </c>
      <c r="AA6" s="141">
        <f t="shared" ref="AA6" si="3">Z6</f>
        <v>0.14703280014712539</v>
      </c>
      <c r="AC6" s="269"/>
      <c r="AD6" s="275"/>
      <c r="AH6" s="15"/>
    </row>
    <row r="7" spans="1:34" s="4" customFormat="1" ht="16.5" customHeight="1">
      <c r="A7" s="163"/>
      <c r="B7" s="12" t="s">
        <v>7</v>
      </c>
      <c r="C7" s="163"/>
      <c r="D7" s="25"/>
      <c r="E7" s="70"/>
      <c r="F7" s="25"/>
      <c r="G7" s="25"/>
      <c r="H7" s="25"/>
      <c r="I7" s="26"/>
      <c r="J7" s="25"/>
      <c r="K7" s="25"/>
      <c r="M7" s="92"/>
      <c r="N7" s="118"/>
      <c r="O7" s="118"/>
      <c r="P7" s="92"/>
      <c r="Q7" s="96"/>
      <c r="R7" s="141"/>
      <c r="V7" s="118"/>
      <c r="W7" s="118"/>
      <c r="X7" s="118"/>
      <c r="Y7" s="119"/>
      <c r="Z7" s="96"/>
      <c r="AA7" s="141"/>
      <c r="AC7" s="269"/>
      <c r="AD7" s="275"/>
    </row>
    <row r="8" spans="1:34" s="6" customFormat="1" ht="33" customHeight="1">
      <c r="A8" s="7" t="s">
        <v>8</v>
      </c>
      <c r="B8" s="17" t="s">
        <v>272</v>
      </c>
      <c r="C8" s="7" t="s">
        <v>9</v>
      </c>
      <c r="D8" s="27">
        <f>D10+D22+D25</f>
        <v>548661.31319345045</v>
      </c>
      <c r="E8" s="70">
        <f t="shared" ref="E8:E71" si="4">F8+G8</f>
        <v>94048.850721479364</v>
      </c>
      <c r="F8" s="27">
        <f t="shared" ref="F8:K8" si="5">F10+F22+F25</f>
        <v>36298.008209999367</v>
      </c>
      <c r="G8" s="27">
        <f t="shared" si="5"/>
        <v>57750.842511479997</v>
      </c>
      <c r="H8" s="27">
        <f t="shared" si="5"/>
        <v>181582.73428297805</v>
      </c>
      <c r="I8" s="27">
        <f t="shared" si="5"/>
        <v>85680.668413682783</v>
      </c>
      <c r="J8" s="27">
        <f t="shared" si="5"/>
        <v>181662.92865384585</v>
      </c>
      <c r="K8" s="27">
        <f t="shared" si="5"/>
        <v>5686.1311214643792</v>
      </c>
      <c r="M8" s="91">
        <f>M10+M22+M25</f>
        <v>69396.950643270451</v>
      </c>
      <c r="N8" s="119">
        <f t="shared" ref="N8:O8" si="6">N10+N22+N25</f>
        <v>28969.482017815768</v>
      </c>
      <c r="O8" s="119">
        <f t="shared" si="6"/>
        <v>40427.468625454683</v>
      </c>
      <c r="P8" s="92">
        <f t="shared" ref="P8:P71" si="7">E8-M8</f>
        <v>24651.900078208913</v>
      </c>
      <c r="Q8" s="96">
        <f t="shared" ref="Q8:Q70" si="8">100%-(M8/E8)</f>
        <v>0.26211803641507747</v>
      </c>
      <c r="R8" s="141">
        <f>Q8</f>
        <v>0.26211803641507747</v>
      </c>
      <c r="V8" s="119">
        <f>V10+V22+V25</f>
        <v>69786.31837891959</v>
      </c>
      <c r="W8" s="119">
        <f t="shared" ref="W8:X8" si="9">W10+W22+W25</f>
        <v>29226.680227653906</v>
      </c>
      <c r="X8" s="119">
        <f t="shared" si="9"/>
        <v>40559.638151265681</v>
      </c>
      <c r="Y8" s="119"/>
      <c r="Z8" s="96">
        <f>100%-(V8/E8)</f>
        <v>0.25797797800221889</v>
      </c>
      <c r="AA8" s="141">
        <f t="shared" ref="AA8" si="10">Z8</f>
        <v>0.25797797800221889</v>
      </c>
      <c r="AC8" s="270"/>
      <c r="AD8" s="276"/>
    </row>
    <row r="9" spans="1:34" s="4" customFormat="1" ht="16.5" customHeight="1">
      <c r="A9" s="163"/>
      <c r="B9" s="12" t="s">
        <v>7</v>
      </c>
      <c r="C9" s="163"/>
      <c r="D9" s="25"/>
      <c r="E9" s="70"/>
      <c r="F9" s="25"/>
      <c r="G9" s="25"/>
      <c r="H9" s="25"/>
      <c r="I9" s="25"/>
      <c r="J9" s="25"/>
      <c r="K9" s="25"/>
      <c r="M9" s="92"/>
      <c r="N9" s="118"/>
      <c r="O9" s="118"/>
      <c r="P9" s="92"/>
      <c r="Q9" s="96"/>
      <c r="R9" s="141"/>
      <c r="V9" s="118"/>
      <c r="W9" s="118"/>
      <c r="X9" s="118"/>
      <c r="Y9" s="119"/>
      <c r="Z9" s="96"/>
      <c r="AA9" s="141"/>
      <c r="AC9" s="269"/>
      <c r="AD9" s="275"/>
    </row>
    <row r="10" spans="1:34" s="4" customFormat="1" ht="16.5" customHeight="1">
      <c r="A10" s="163" t="s">
        <v>10</v>
      </c>
      <c r="B10" s="12" t="s">
        <v>11</v>
      </c>
      <c r="C10" s="163" t="s">
        <v>9</v>
      </c>
      <c r="D10" s="25">
        <f>SUM(D11:D21)</f>
        <v>161398.1160753826</v>
      </c>
      <c r="E10" s="74">
        <f t="shared" si="4"/>
        <v>67445.305853055106</v>
      </c>
      <c r="F10" s="25">
        <f t="shared" ref="F10:K10" si="11">SUM(F11:F21)</f>
        <v>25702.125475761815</v>
      </c>
      <c r="G10" s="25">
        <f t="shared" si="11"/>
        <v>41743.180377293291</v>
      </c>
      <c r="H10" s="25">
        <f t="shared" si="11"/>
        <v>34492.669000606395</v>
      </c>
      <c r="I10" s="25">
        <f t="shared" si="11"/>
        <v>24808.046059026579</v>
      </c>
      <c r="J10" s="25">
        <f t="shared" si="11"/>
        <v>29676.581901893976</v>
      </c>
      <c r="K10" s="25">
        <f t="shared" si="11"/>
        <v>4975.5132608005451</v>
      </c>
      <c r="M10" s="92">
        <f>SUM(M11:M21)</f>
        <v>43794.900456065887</v>
      </c>
      <c r="N10" s="118">
        <f t="shared" ref="N10:O10" si="12">SUM(N11:N21)</f>
        <v>18829.091618240342</v>
      </c>
      <c r="O10" s="118">
        <f t="shared" si="12"/>
        <v>24965.808837825552</v>
      </c>
      <c r="P10" s="92">
        <f t="shared" si="7"/>
        <v>23650.405396989219</v>
      </c>
      <c r="Q10" s="96">
        <f t="shared" si="8"/>
        <v>0.35066051073320048</v>
      </c>
      <c r="R10" s="141">
        <f t="shared" ref="R10:R19" si="13">Q10</f>
        <v>0.35066051073320048</v>
      </c>
      <c r="V10" s="118">
        <f>SUM(V11:V21)</f>
        <v>43964.305613436125</v>
      </c>
      <c r="W10" s="122">
        <f t="shared" ref="W10:X10" si="14">SUM(W11:W21)</f>
        <v>18940.992835579222</v>
      </c>
      <c r="X10" s="122">
        <f t="shared" si="14"/>
        <v>25023.312777856907</v>
      </c>
      <c r="Y10" s="204">
        <f t="shared" ref="Y10:Y19" si="15">V10-E10</f>
        <v>-23481.000239618981</v>
      </c>
      <c r="Z10" s="96">
        <f>100%-(V10/E10)</f>
        <v>0.34814876947519025</v>
      </c>
      <c r="AA10" s="141">
        <f t="shared" ref="AA10:AA19" si="16">Z10</f>
        <v>0.34814876947519025</v>
      </c>
      <c r="AC10" s="269"/>
      <c r="AD10" s="275"/>
    </row>
    <row r="11" spans="1:34" s="4" customFormat="1" ht="16.5" customHeight="1">
      <c r="A11" s="13"/>
      <c r="B11" s="18" t="s">
        <v>81</v>
      </c>
      <c r="C11" s="7" t="s">
        <v>9</v>
      </c>
      <c r="D11" s="28">
        <f>SUM(F11:K11)</f>
        <v>1366.7430000000002</v>
      </c>
      <c r="E11" s="76">
        <f t="shared" si="4"/>
        <v>304.71869995827171</v>
      </c>
      <c r="F11" s="28">
        <v>128.08839227284304</v>
      </c>
      <c r="G11" s="28">
        <v>176.63030768542865</v>
      </c>
      <c r="H11" s="28">
        <v>402.59181922017507</v>
      </c>
      <c r="I11" s="29">
        <v>199.2637599140576</v>
      </c>
      <c r="J11" s="30">
        <v>369.06864787294046</v>
      </c>
      <c r="K11" s="30">
        <v>91.100073034555095</v>
      </c>
      <c r="M11" s="93">
        <f>N11+O11</f>
        <v>154.63396302369651</v>
      </c>
      <c r="N11" s="120">
        <f>'Проект ТС-6 усл.свод'!N12</f>
        <v>58.939221758667763</v>
      </c>
      <c r="O11" s="120">
        <f>'Проект ТС-6 усл.свод'!O12</f>
        <v>95.694741265028753</v>
      </c>
      <c r="P11" s="92">
        <f t="shared" si="7"/>
        <v>150.0847369345752</v>
      </c>
      <c r="Q11" s="96">
        <f t="shared" si="8"/>
        <v>0.49253536771825246</v>
      </c>
      <c r="R11" s="141">
        <f t="shared" si="13"/>
        <v>0.49253536771825246</v>
      </c>
      <c r="V11" s="187">
        <f>W11+X11</f>
        <v>154.63396302369651</v>
      </c>
      <c r="W11" s="120">
        <f t="shared" ref="W11:W19" si="17">N11</f>
        <v>58.939221758667763</v>
      </c>
      <c r="X11" s="120">
        <f t="shared" ref="X11:X19" si="18">O11</f>
        <v>95.694741265028753</v>
      </c>
      <c r="Y11" s="204">
        <f t="shared" si="15"/>
        <v>-150.0847369345752</v>
      </c>
      <c r="Z11" s="96">
        <f>100%-(V11/E11)</f>
        <v>0.49253536771825246</v>
      </c>
      <c r="AA11" s="141">
        <f t="shared" si="16"/>
        <v>0.49253536771825246</v>
      </c>
      <c r="AC11" s="269" t="s">
        <v>206</v>
      </c>
      <c r="AD11" s="277" t="s">
        <v>213</v>
      </c>
    </row>
    <row r="12" spans="1:34" s="4" customFormat="1" ht="16.5" customHeight="1" outlineLevel="1">
      <c r="A12" s="13"/>
      <c r="B12" s="18" t="s">
        <v>177</v>
      </c>
      <c r="C12" s="7" t="s">
        <v>9</v>
      </c>
      <c r="D12" s="28">
        <f t="shared" ref="D12:D25" si="19">SUM(F12:K12)</f>
        <v>17499.689889948448</v>
      </c>
      <c r="E12" s="76">
        <f t="shared" si="4"/>
        <v>12100.353661465566</v>
      </c>
      <c r="F12" s="28">
        <v>226.86691023553198</v>
      </c>
      <c r="G12" s="28">
        <v>11873.486751230033</v>
      </c>
      <c r="H12" s="28">
        <v>301.40011085693578</v>
      </c>
      <c r="I12" s="29">
        <v>5034.026182126152</v>
      </c>
      <c r="J12" s="30">
        <v>63.909935499792965</v>
      </c>
      <c r="K12" s="30">
        <v>0</v>
      </c>
      <c r="M12" s="93">
        <f>N12+O12</f>
        <v>4349.6166731240464</v>
      </c>
      <c r="N12" s="120">
        <f>'Проект ТС-6 усл.свод'!N13</f>
        <v>112.51202384171123</v>
      </c>
      <c r="O12" s="120">
        <f>'Проект ТС-6 усл.свод'!O13</f>
        <v>4237.1046492823352</v>
      </c>
      <c r="P12" s="92">
        <f t="shared" si="7"/>
        <v>7750.7369883415195</v>
      </c>
      <c r="Q12" s="96">
        <f t="shared" si="8"/>
        <v>0.64053805410864073</v>
      </c>
      <c r="R12" s="141">
        <f t="shared" si="13"/>
        <v>0.64053805410864073</v>
      </c>
      <c r="V12" s="187">
        <f>W12+X12</f>
        <v>4349.6166731240464</v>
      </c>
      <c r="W12" s="120">
        <f t="shared" si="17"/>
        <v>112.51202384171123</v>
      </c>
      <c r="X12" s="120">
        <f t="shared" si="18"/>
        <v>4237.1046492823352</v>
      </c>
      <c r="Y12" s="204">
        <f t="shared" si="15"/>
        <v>-7750.7369883415195</v>
      </c>
      <c r="Z12" s="96">
        <f>100%-(V12/E12)</f>
        <v>0.64053805410864073</v>
      </c>
      <c r="AA12" s="141">
        <f t="shared" si="16"/>
        <v>0.64053805410864073</v>
      </c>
      <c r="AC12" s="269" t="s">
        <v>207</v>
      </c>
      <c r="AD12" s="277" t="s">
        <v>212</v>
      </c>
    </row>
    <row r="13" spans="1:34" s="4" customFormat="1" ht="39" customHeight="1" outlineLevel="1">
      <c r="A13" s="13"/>
      <c r="B13" s="18" t="s">
        <v>178</v>
      </c>
      <c r="C13" s="7" t="s">
        <v>9</v>
      </c>
      <c r="D13" s="28">
        <f t="shared" si="19"/>
        <v>35143.661362267871</v>
      </c>
      <c r="E13" s="76">
        <f t="shared" si="4"/>
        <v>31744.674613713934</v>
      </c>
      <c r="F13" s="49">
        <v>12599.674621934211</v>
      </c>
      <c r="G13" s="49">
        <v>19144.999991779725</v>
      </c>
      <c r="H13" s="49">
        <v>0</v>
      </c>
      <c r="I13" s="50">
        <v>3398.9867485539357</v>
      </c>
      <c r="J13" s="50">
        <v>0</v>
      </c>
      <c r="K13" s="50">
        <v>0</v>
      </c>
      <c r="M13" s="93">
        <f>N13+O13</f>
        <v>26500.568977345123</v>
      </c>
      <c r="N13" s="120">
        <f>'Проект ТС-6 усл.свод'!N14</f>
        <v>10518.253863796914</v>
      </c>
      <c r="O13" s="120">
        <f>'Проект ТС-6 усл.свод'!O14</f>
        <v>15982.315113548211</v>
      </c>
      <c r="P13" s="92">
        <f t="shared" si="7"/>
        <v>5244.1056363688112</v>
      </c>
      <c r="Q13" s="96">
        <f t="shared" si="8"/>
        <v>0.16519638963643113</v>
      </c>
      <c r="R13" s="141">
        <f t="shared" si="13"/>
        <v>0.16519638963643113</v>
      </c>
      <c r="V13" s="187">
        <f>W13+X13</f>
        <v>26500.568977345123</v>
      </c>
      <c r="W13" s="120">
        <f t="shared" si="17"/>
        <v>10518.253863796914</v>
      </c>
      <c r="X13" s="120">
        <f t="shared" si="18"/>
        <v>15982.315113548211</v>
      </c>
      <c r="Y13" s="204">
        <f t="shared" si="15"/>
        <v>-5244.1056363688112</v>
      </c>
      <c r="Z13" s="96">
        <f>100%-(V13/E13)</f>
        <v>0.16519638963643113</v>
      </c>
      <c r="AA13" s="141">
        <f t="shared" si="16"/>
        <v>0.16519638963643113</v>
      </c>
      <c r="AC13" s="269" t="s">
        <v>208</v>
      </c>
      <c r="AD13" s="281" t="s">
        <v>215</v>
      </c>
    </row>
    <row r="14" spans="1:34" s="4" customFormat="1" ht="16.5" hidden="1" customHeight="1" outlineLevel="1">
      <c r="A14" s="13"/>
      <c r="B14" s="18" t="s">
        <v>132</v>
      </c>
      <c r="C14" s="7" t="s">
        <v>9</v>
      </c>
      <c r="D14" s="28">
        <f t="shared" si="19"/>
        <v>3332.3595</v>
      </c>
      <c r="E14" s="76">
        <f t="shared" si="4"/>
        <v>0</v>
      </c>
      <c r="F14" s="28">
        <v>0</v>
      </c>
      <c r="G14" s="28">
        <v>0</v>
      </c>
      <c r="H14" s="28">
        <v>2997.8150000000001</v>
      </c>
      <c r="I14" s="29">
        <v>0</v>
      </c>
      <c r="J14" s="30">
        <v>0</v>
      </c>
      <c r="K14" s="29">
        <v>334.54450000000003</v>
      </c>
      <c r="M14" s="93">
        <v>0</v>
      </c>
      <c r="N14" s="120">
        <f>'Проект ТС-6 усл.свод'!N15</f>
        <v>0</v>
      </c>
      <c r="O14" s="120">
        <f>'Проект ТС-6 усл.свод'!O15</f>
        <v>0</v>
      </c>
      <c r="P14" s="92">
        <f t="shared" si="7"/>
        <v>0</v>
      </c>
      <c r="Q14" s="96" t="e">
        <f t="shared" si="8"/>
        <v>#DIV/0!</v>
      </c>
      <c r="R14" s="141" t="e">
        <f t="shared" si="13"/>
        <v>#DIV/0!</v>
      </c>
      <c r="V14" s="187">
        <v>0</v>
      </c>
      <c r="W14" s="120">
        <f t="shared" si="17"/>
        <v>0</v>
      </c>
      <c r="X14" s="120">
        <f t="shared" si="18"/>
        <v>0</v>
      </c>
      <c r="Y14" s="204">
        <f t="shared" si="15"/>
        <v>0</v>
      </c>
      <c r="Z14" s="96" t="e">
        <f t="shared" ref="Z14:Z77" si="20">100%-(V14/E14)</f>
        <v>#DIV/0!</v>
      </c>
      <c r="AA14" s="141" t="e">
        <f t="shared" si="16"/>
        <v>#DIV/0!</v>
      </c>
      <c r="AC14" s="269"/>
      <c r="AD14" s="275"/>
    </row>
    <row r="15" spans="1:34" s="4" customFormat="1" ht="16.5" hidden="1" customHeight="1" outlineLevel="1">
      <c r="A15" s="13"/>
      <c r="B15" s="18" t="s">
        <v>82</v>
      </c>
      <c r="C15" s="7" t="s">
        <v>9</v>
      </c>
      <c r="D15" s="28">
        <f t="shared" si="19"/>
        <v>30488.188357142855</v>
      </c>
      <c r="E15" s="76">
        <f t="shared" si="4"/>
        <v>0</v>
      </c>
      <c r="F15" s="28">
        <v>0</v>
      </c>
      <c r="G15" s="28">
        <v>0</v>
      </c>
      <c r="H15" s="28">
        <v>12195.275342857143</v>
      </c>
      <c r="I15" s="29">
        <v>6097.6376714285716</v>
      </c>
      <c r="J15" s="29">
        <v>12195.275342857143</v>
      </c>
      <c r="K15" s="29">
        <v>0</v>
      </c>
      <c r="M15" s="93">
        <v>0</v>
      </c>
      <c r="N15" s="120">
        <f>'Проект ТС-6 усл.свод'!N16</f>
        <v>0</v>
      </c>
      <c r="O15" s="120">
        <f>'Проект ТС-6 усл.свод'!O16</f>
        <v>0</v>
      </c>
      <c r="P15" s="92">
        <f t="shared" si="7"/>
        <v>0</v>
      </c>
      <c r="Q15" s="96" t="e">
        <f t="shared" si="8"/>
        <v>#DIV/0!</v>
      </c>
      <c r="R15" s="141" t="e">
        <f t="shared" si="13"/>
        <v>#DIV/0!</v>
      </c>
      <c r="V15" s="187">
        <v>0</v>
      </c>
      <c r="W15" s="120">
        <f t="shared" si="17"/>
        <v>0</v>
      </c>
      <c r="X15" s="120">
        <f t="shared" si="18"/>
        <v>0</v>
      </c>
      <c r="Y15" s="204">
        <f t="shared" si="15"/>
        <v>0</v>
      </c>
      <c r="Z15" s="96" t="e">
        <f t="shared" si="20"/>
        <v>#DIV/0!</v>
      </c>
      <c r="AA15" s="141" t="e">
        <f t="shared" si="16"/>
        <v>#DIV/0!</v>
      </c>
      <c r="AC15" s="269"/>
      <c r="AD15" s="275"/>
    </row>
    <row r="16" spans="1:34" s="4" customFormat="1" ht="16.5" customHeight="1" outlineLevel="1">
      <c r="A16" s="13"/>
      <c r="B16" s="18" t="s">
        <v>122</v>
      </c>
      <c r="C16" s="7" t="s">
        <v>9</v>
      </c>
      <c r="D16" s="28">
        <f t="shared" si="19"/>
        <v>9919.672340000001</v>
      </c>
      <c r="E16" s="76">
        <f t="shared" si="4"/>
        <v>2211.6152484094137</v>
      </c>
      <c r="F16" s="28">
        <v>929.65164767918395</v>
      </c>
      <c r="G16" s="28">
        <v>1281.9636007302297</v>
      </c>
      <c r="H16" s="28">
        <v>2921.9677243114847</v>
      </c>
      <c r="I16" s="29">
        <v>1446.2347402429557</v>
      </c>
      <c r="J16" s="29">
        <v>2678.6601854675</v>
      </c>
      <c r="K16" s="29">
        <v>661.1944415686462</v>
      </c>
      <c r="M16" s="93">
        <f t="shared" ref="M16:M21" si="21">N16+O16</f>
        <v>322.3301219962201</v>
      </c>
      <c r="N16" s="120">
        <f>'Проект ТС-6 усл.свод'!N17</f>
        <v>122.85714062002253</v>
      </c>
      <c r="O16" s="120">
        <f>'Проект ТС-6 усл.свод'!O17</f>
        <v>199.47298137619754</v>
      </c>
      <c r="P16" s="92">
        <f t="shared" si="7"/>
        <v>1889.2851264131937</v>
      </c>
      <c r="Q16" s="96">
        <f t="shared" si="8"/>
        <v>0.8542557878328797</v>
      </c>
      <c r="R16" s="141">
        <f t="shared" si="13"/>
        <v>0.8542557878328797</v>
      </c>
      <c r="V16" s="187">
        <f t="shared" ref="V16:V21" si="22">W16+X16</f>
        <v>322.3301219962201</v>
      </c>
      <c r="W16" s="120">
        <f t="shared" si="17"/>
        <v>122.85714062002253</v>
      </c>
      <c r="X16" s="120">
        <f t="shared" si="18"/>
        <v>199.47298137619754</v>
      </c>
      <c r="Y16" s="204">
        <f t="shared" si="15"/>
        <v>-1889.2851264131937</v>
      </c>
      <c r="Z16" s="96">
        <f t="shared" si="20"/>
        <v>0.8542557878328797</v>
      </c>
      <c r="AA16" s="141">
        <f t="shared" si="16"/>
        <v>0.8542557878328797</v>
      </c>
      <c r="AC16" s="269" t="s">
        <v>206</v>
      </c>
      <c r="AD16" s="278" t="s">
        <v>247</v>
      </c>
    </row>
    <row r="17" spans="1:32" s="4" customFormat="1" ht="16.5" customHeight="1" outlineLevel="1">
      <c r="A17" s="13"/>
      <c r="B17" s="18" t="s">
        <v>136</v>
      </c>
      <c r="C17" s="7"/>
      <c r="D17" s="28">
        <f t="shared" si="19"/>
        <v>8962.0112292857102</v>
      </c>
      <c r="E17" s="76">
        <f t="shared" si="4"/>
        <v>4934.3537825729009</v>
      </c>
      <c r="F17" s="49">
        <v>1981.0299127778831</v>
      </c>
      <c r="G17" s="49">
        <v>2953.3238697950178</v>
      </c>
      <c r="H17" s="49">
        <v>1270.9676471515772</v>
      </c>
      <c r="I17" s="50">
        <v>1054.4004084197081</v>
      </c>
      <c r="J17" s="50">
        <v>1165.1362214291573</v>
      </c>
      <c r="K17" s="50">
        <v>537.15316971236825</v>
      </c>
      <c r="M17" s="93">
        <f t="shared" si="21"/>
        <v>1482.9999965171132</v>
      </c>
      <c r="N17" s="120">
        <f>'Проект ТС-6 усл.свод'!N18</f>
        <v>575.18565974657213</v>
      </c>
      <c r="O17" s="120">
        <f>'Проект ТС-6 усл.свод'!O18</f>
        <v>907.81433677054122</v>
      </c>
      <c r="P17" s="92">
        <f t="shared" si="7"/>
        <v>3451.3537860557876</v>
      </c>
      <c r="Q17" s="96">
        <f t="shared" si="8"/>
        <v>0.69945405987005693</v>
      </c>
      <c r="R17" s="141">
        <f t="shared" si="13"/>
        <v>0.69945405987005693</v>
      </c>
      <c r="V17" s="187">
        <f t="shared" si="22"/>
        <v>1482.9999965171132</v>
      </c>
      <c r="W17" s="120">
        <f t="shared" si="17"/>
        <v>575.18565974657213</v>
      </c>
      <c r="X17" s="120">
        <f t="shared" si="18"/>
        <v>907.81433677054122</v>
      </c>
      <c r="Y17" s="204">
        <f t="shared" si="15"/>
        <v>-3451.3537860557876</v>
      </c>
      <c r="Z17" s="96">
        <f t="shared" si="20"/>
        <v>0.69945405987005693</v>
      </c>
      <c r="AA17" s="141">
        <f t="shared" si="16"/>
        <v>0.69945405987005693</v>
      </c>
      <c r="AC17" s="269" t="s">
        <v>207</v>
      </c>
      <c r="AD17" s="278" t="s">
        <v>248</v>
      </c>
    </row>
    <row r="18" spans="1:32" s="4" customFormat="1" ht="16.5" customHeight="1" outlineLevel="1">
      <c r="A18" s="13"/>
      <c r="B18" s="18" t="s">
        <v>142</v>
      </c>
      <c r="C18" s="7" t="s">
        <v>9</v>
      </c>
      <c r="D18" s="28">
        <f t="shared" si="19"/>
        <v>5709.0828729281757</v>
      </c>
      <c r="E18" s="76">
        <f t="shared" si="4"/>
        <v>1272.854012051065</v>
      </c>
      <c r="F18" s="49">
        <v>535.04371088477785</v>
      </c>
      <c r="G18" s="49">
        <v>737.8103011662871</v>
      </c>
      <c r="H18" s="49">
        <v>1681.6841643900123</v>
      </c>
      <c r="I18" s="50">
        <v>832.35349946597012</v>
      </c>
      <c r="J18" s="50">
        <v>1541.6530368226979</v>
      </c>
      <c r="K18" s="50">
        <v>380.53816019843129</v>
      </c>
      <c r="M18" s="93">
        <f t="shared" si="21"/>
        <v>540.29384459427399</v>
      </c>
      <c r="N18" s="120">
        <f>'Проект ТС-6 усл.свод'!N19</f>
        <v>205.93469958798866</v>
      </c>
      <c r="O18" s="120">
        <f>'Проект ТС-6 усл.свод'!O19</f>
        <v>334.3591450062853</v>
      </c>
      <c r="P18" s="92">
        <f t="shared" si="7"/>
        <v>732.56016745679096</v>
      </c>
      <c r="Q18" s="96">
        <f t="shared" si="8"/>
        <v>0.57552567735269999</v>
      </c>
      <c r="R18" s="141">
        <f t="shared" si="13"/>
        <v>0.57552567735269999</v>
      </c>
      <c r="V18" s="187">
        <f t="shared" si="22"/>
        <v>540.29384459427399</v>
      </c>
      <c r="W18" s="120">
        <f t="shared" si="17"/>
        <v>205.93469958798866</v>
      </c>
      <c r="X18" s="120">
        <f t="shared" si="18"/>
        <v>334.3591450062853</v>
      </c>
      <c r="Y18" s="204">
        <f t="shared" si="15"/>
        <v>-732.56016745679096</v>
      </c>
      <c r="Z18" s="96">
        <f t="shared" si="20"/>
        <v>0.57552567735269999</v>
      </c>
      <c r="AA18" s="141">
        <f t="shared" si="16"/>
        <v>0.57552567735269999</v>
      </c>
      <c r="AC18" s="269" t="s">
        <v>206</v>
      </c>
      <c r="AD18" s="278" t="s">
        <v>249</v>
      </c>
    </row>
    <row r="19" spans="1:32" s="4" customFormat="1" ht="37.5" customHeight="1" outlineLevel="1">
      <c r="A19" s="13"/>
      <c r="B19" s="18" t="s">
        <v>83</v>
      </c>
      <c r="C19" s="7" t="s">
        <v>9</v>
      </c>
      <c r="D19" s="28">
        <f t="shared" si="19"/>
        <v>37722.178952380949</v>
      </c>
      <c r="E19" s="76">
        <f t="shared" si="4"/>
        <v>8410.252205398383</v>
      </c>
      <c r="F19" s="49">
        <v>3535.246388705817</v>
      </c>
      <c r="G19" s="49">
        <v>4875.0058166925664</v>
      </c>
      <c r="H19" s="49">
        <v>11111.555463893394</v>
      </c>
      <c r="I19" s="50">
        <v>5499.6902930560864</v>
      </c>
      <c r="J19" s="50">
        <v>10186.314164972006</v>
      </c>
      <c r="K19" s="50">
        <v>2514.3668250610849</v>
      </c>
      <c r="M19" s="93">
        <f t="shared" si="21"/>
        <v>4147.3784073500847</v>
      </c>
      <c r="N19" s="120">
        <f>'Проект ТС-6 усл.свод'!N20</f>
        <v>1580.7863349557811</v>
      </c>
      <c r="O19" s="120">
        <f>'Проект ТС-6 усл.свод'!O20</f>
        <v>2566.5920723943041</v>
      </c>
      <c r="P19" s="92">
        <f t="shared" si="7"/>
        <v>4262.8737980482983</v>
      </c>
      <c r="Q19" s="96">
        <f t="shared" si="8"/>
        <v>0.50686634525799823</v>
      </c>
      <c r="R19" s="141">
        <f t="shared" si="13"/>
        <v>0.50686634525799823</v>
      </c>
      <c r="V19" s="187">
        <f t="shared" si="22"/>
        <v>4147.3784073500847</v>
      </c>
      <c r="W19" s="120">
        <f t="shared" si="17"/>
        <v>1580.7863349557811</v>
      </c>
      <c r="X19" s="120">
        <f t="shared" si="18"/>
        <v>2566.5920723943041</v>
      </c>
      <c r="Y19" s="204">
        <f t="shared" si="15"/>
        <v>-4262.8737980482983</v>
      </c>
      <c r="Z19" s="96">
        <f t="shared" si="20"/>
        <v>0.50686634525799823</v>
      </c>
      <c r="AA19" s="141">
        <f t="shared" si="16"/>
        <v>0.50686634525799823</v>
      </c>
      <c r="AC19" s="269" t="s">
        <v>206</v>
      </c>
      <c r="AD19" s="281" t="s">
        <v>250</v>
      </c>
    </row>
    <row r="20" spans="1:32" s="4" customFormat="1" ht="16.5" customHeight="1" outlineLevel="1">
      <c r="A20" s="159"/>
      <c r="B20" s="56" t="s">
        <v>113</v>
      </c>
      <c r="C20" s="162"/>
      <c r="D20" s="28">
        <f t="shared" si="19"/>
        <v>5258.9285714285706</v>
      </c>
      <c r="E20" s="76">
        <f t="shared" si="4"/>
        <v>5258.9285714285706</v>
      </c>
      <c r="F20" s="49">
        <v>5258.9285714285706</v>
      </c>
      <c r="G20" s="49"/>
      <c r="H20" s="49"/>
      <c r="I20" s="50"/>
      <c r="J20" s="50"/>
      <c r="K20" s="50"/>
      <c r="M20" s="93">
        <f t="shared" si="21"/>
        <v>5258.9285714285706</v>
      </c>
      <c r="N20" s="120">
        <f>'Проект ТС-6 усл.свод'!N21</f>
        <v>5258.9285714285706</v>
      </c>
      <c r="O20" s="120">
        <f>'Проект ТС-6 усл.свод'!O21</f>
        <v>0</v>
      </c>
      <c r="P20" s="92">
        <f t="shared" si="7"/>
        <v>0</v>
      </c>
      <c r="Q20" s="96">
        <f t="shared" si="8"/>
        <v>0</v>
      </c>
      <c r="R20" s="141"/>
      <c r="V20" s="187">
        <f t="shared" si="22"/>
        <v>5258.9285714285706</v>
      </c>
      <c r="W20" s="120">
        <v>5258.9285714285706</v>
      </c>
      <c r="X20" s="120"/>
      <c r="Y20" s="188"/>
      <c r="Z20" s="96">
        <f t="shared" si="20"/>
        <v>0</v>
      </c>
      <c r="AA20" s="141"/>
      <c r="AC20" s="269" t="s">
        <v>207</v>
      </c>
      <c r="AD20" s="278" t="s">
        <v>216</v>
      </c>
    </row>
    <row r="21" spans="1:32" s="4" customFormat="1" ht="16.5" customHeight="1" outlineLevel="1">
      <c r="A21" s="159"/>
      <c r="B21" s="56" t="s">
        <v>143</v>
      </c>
      <c r="C21" s="162"/>
      <c r="D21" s="28">
        <f t="shared" si="19"/>
        <v>5995.5999999999995</v>
      </c>
      <c r="E21" s="76">
        <f t="shared" si="4"/>
        <v>1207.5550580569945</v>
      </c>
      <c r="F21" s="49">
        <v>507.59531984299343</v>
      </c>
      <c r="G21" s="49">
        <v>699.95973821400116</v>
      </c>
      <c r="H21" s="49">
        <v>1609.4117279256689</v>
      </c>
      <c r="I21" s="50">
        <v>1245.4527558191398</v>
      </c>
      <c r="J21" s="50">
        <v>1476.5643669727374</v>
      </c>
      <c r="K21" s="50">
        <v>456.61609122545889</v>
      </c>
      <c r="M21" s="93">
        <f t="shared" si="21"/>
        <v>1038.1499006867609</v>
      </c>
      <c r="N21" s="120">
        <f>'Проект ТС-6 усл.свод'!N22</f>
        <v>395.6941025041138</v>
      </c>
      <c r="O21" s="120">
        <f>'Проект ТС-6 усл.свод'!O22</f>
        <v>642.45579818264707</v>
      </c>
      <c r="P21" s="92">
        <f t="shared" si="7"/>
        <v>169.40515737023361</v>
      </c>
      <c r="Q21" s="96">
        <f t="shared" si="8"/>
        <v>0.14028772952416213</v>
      </c>
      <c r="R21" s="141"/>
      <c r="V21" s="187">
        <f t="shared" si="22"/>
        <v>1207.5550580569945</v>
      </c>
      <c r="W21" s="120">
        <v>507.59531984299343</v>
      </c>
      <c r="X21" s="120">
        <v>699.95973821400116</v>
      </c>
      <c r="Y21" s="188"/>
      <c r="Z21" s="96">
        <f t="shared" si="20"/>
        <v>0</v>
      </c>
      <c r="AA21" s="141"/>
      <c r="AC21" s="269" t="s">
        <v>207</v>
      </c>
      <c r="AD21" s="278" t="s">
        <v>251</v>
      </c>
    </row>
    <row r="22" spans="1:32" s="4" customFormat="1" ht="16.5" customHeight="1">
      <c r="A22" s="163" t="s">
        <v>12</v>
      </c>
      <c r="B22" s="12" t="s">
        <v>13</v>
      </c>
      <c r="C22" s="163" t="s">
        <v>9</v>
      </c>
      <c r="D22" s="25">
        <f t="shared" si="19"/>
        <v>310983.29278606782</v>
      </c>
      <c r="E22" s="76">
        <f t="shared" si="4"/>
        <v>22472.589467165744</v>
      </c>
      <c r="F22" s="25">
        <f>F23+F24</f>
        <v>8956.2787828052278</v>
      </c>
      <c r="G22" s="25">
        <f t="shared" ref="G22:K22" si="23">G23+G24</f>
        <v>13516.310684360516</v>
      </c>
      <c r="H22" s="25">
        <f t="shared" si="23"/>
        <v>114360.75250977164</v>
      </c>
      <c r="I22" s="25">
        <f t="shared" si="23"/>
        <v>59492.936431914713</v>
      </c>
      <c r="J22" s="25">
        <f t="shared" si="23"/>
        <v>114188.25856795187</v>
      </c>
      <c r="K22" s="25">
        <f t="shared" si="23"/>
        <v>468.75580926383361</v>
      </c>
      <c r="M22" s="92">
        <f>M23+M24</f>
        <v>22252.626888886844</v>
      </c>
      <c r="N22" s="118">
        <f>N23+N24</f>
        <v>8810.981790305972</v>
      </c>
      <c r="O22" s="118">
        <f>O23+O24</f>
        <v>13441.645098580871</v>
      </c>
      <c r="P22" s="92">
        <f t="shared" si="7"/>
        <v>219.96257827890076</v>
      </c>
      <c r="Q22" s="96">
        <f t="shared" si="8"/>
        <v>9.788038828381751E-3</v>
      </c>
      <c r="R22" s="141"/>
      <c r="V22" s="118">
        <f>V23+V24</f>
        <v>22472.589467165744</v>
      </c>
      <c r="W22" s="118">
        <v>8956.2787828052278</v>
      </c>
      <c r="X22" s="118">
        <v>13516.310684360516</v>
      </c>
      <c r="Y22" s="188"/>
      <c r="Z22" s="96">
        <f t="shared" si="20"/>
        <v>0</v>
      </c>
      <c r="AA22" s="141"/>
      <c r="AC22" s="269"/>
      <c r="AD22" s="275"/>
    </row>
    <row r="23" spans="1:32" s="4" customFormat="1" ht="16.5" customHeight="1" outlineLevel="1">
      <c r="A23" s="13"/>
      <c r="B23" s="18" t="s">
        <v>175</v>
      </c>
      <c r="C23" s="9"/>
      <c r="D23" s="28">
        <f t="shared" si="19"/>
        <v>288011.72281999997</v>
      </c>
      <c r="E23" s="76">
        <f t="shared" si="4"/>
        <v>12127.01269516211</v>
      </c>
      <c r="F23" s="49">
        <v>4836.5382165168403</v>
      </c>
      <c r="G23" s="49">
        <v>7290.4744786452684</v>
      </c>
      <c r="H23" s="49">
        <v>109770.78578736179</v>
      </c>
      <c r="I23" s="49">
        <v>56155.781171041832</v>
      </c>
      <c r="J23" s="49">
        <v>109661.69963090691</v>
      </c>
      <c r="K23" s="49">
        <v>296.44353552733543</v>
      </c>
      <c r="M23" s="93">
        <f>N23+O23</f>
        <v>11987.90686692465</v>
      </c>
      <c r="N23" s="121">
        <f>'Проект ТС-6 усл.свод'!N24</f>
        <v>4744.6514560327087</v>
      </c>
      <c r="O23" s="121">
        <f>'Проект ТС-6 усл.свод'!O24</f>
        <v>7243.2554108919412</v>
      </c>
      <c r="P23" s="92">
        <f t="shared" si="7"/>
        <v>139.10582823745972</v>
      </c>
      <c r="Q23" s="96">
        <f t="shared" si="8"/>
        <v>1.1470741536615536E-2</v>
      </c>
      <c r="R23" s="141"/>
      <c r="V23" s="187">
        <f>W23+X23</f>
        <v>12127.01269516211</v>
      </c>
      <c r="W23" s="121">
        <v>4836.5382165168403</v>
      </c>
      <c r="X23" s="121">
        <v>7290.4744786452684</v>
      </c>
      <c r="Y23" s="188"/>
      <c r="Z23" s="96">
        <f t="shared" si="20"/>
        <v>0</v>
      </c>
      <c r="AA23" s="141"/>
      <c r="AC23" s="269" t="s">
        <v>207</v>
      </c>
      <c r="AD23" s="811" t="s">
        <v>252</v>
      </c>
    </row>
    <row r="24" spans="1:32" s="4" customFormat="1" ht="16.5" customHeight="1" outlineLevel="1">
      <c r="A24" s="13"/>
      <c r="B24" s="18" t="s">
        <v>14</v>
      </c>
      <c r="C24" s="9"/>
      <c r="D24" s="28">
        <f t="shared" si="19"/>
        <v>22971.569966067822</v>
      </c>
      <c r="E24" s="76">
        <f t="shared" si="4"/>
        <v>10345.576772003635</v>
      </c>
      <c r="F24" s="49">
        <v>4119.7405662883866</v>
      </c>
      <c r="G24" s="49">
        <v>6225.8362057152472</v>
      </c>
      <c r="H24" s="49">
        <v>4589.9667224098457</v>
      </c>
      <c r="I24" s="49">
        <v>3337.1552608728807</v>
      </c>
      <c r="J24" s="49">
        <v>4526.5589370449634</v>
      </c>
      <c r="K24" s="49">
        <v>172.31227373649816</v>
      </c>
      <c r="M24" s="93">
        <f>N24+O24</f>
        <v>10264.720021962194</v>
      </c>
      <c r="N24" s="121">
        <f>'Проект ТС-6 усл.свод'!N25</f>
        <v>4066.3303342732629</v>
      </c>
      <c r="O24" s="121">
        <f>'Проект ТС-6 усл.свод'!O25</f>
        <v>6198.3896876889303</v>
      </c>
      <c r="P24" s="92">
        <f t="shared" si="7"/>
        <v>80.856750041441046</v>
      </c>
      <c r="Q24" s="96">
        <f t="shared" si="8"/>
        <v>7.8155864891215066E-3</v>
      </c>
      <c r="R24" s="141"/>
      <c r="V24" s="187">
        <f>W24+X24</f>
        <v>10345.576772003635</v>
      </c>
      <c r="W24" s="121">
        <v>4119.7405662883866</v>
      </c>
      <c r="X24" s="121">
        <v>6225.8362057152472</v>
      </c>
      <c r="Y24" s="188"/>
      <c r="Z24" s="96">
        <f t="shared" si="20"/>
        <v>0</v>
      </c>
      <c r="AA24" s="141"/>
      <c r="AC24" s="269" t="s">
        <v>207</v>
      </c>
      <c r="AD24" s="812"/>
    </row>
    <row r="25" spans="1:32" s="4" customFormat="1" ht="16.5" customHeight="1">
      <c r="A25" s="163" t="s">
        <v>15</v>
      </c>
      <c r="B25" s="12" t="s">
        <v>179</v>
      </c>
      <c r="C25" s="163" t="s">
        <v>9</v>
      </c>
      <c r="D25" s="25">
        <f t="shared" si="19"/>
        <v>76279.904332000035</v>
      </c>
      <c r="E25" s="76">
        <f t="shared" si="4"/>
        <v>4130.955401258514</v>
      </c>
      <c r="F25" s="51">
        <v>1639.6039514323304</v>
      </c>
      <c r="G25" s="51">
        <v>2491.3514498261839</v>
      </c>
      <c r="H25" s="51">
        <v>32729.312772600006</v>
      </c>
      <c r="I25" s="51">
        <v>1379.6859227414866</v>
      </c>
      <c r="J25" s="51">
        <v>37798.088184000007</v>
      </c>
      <c r="K25" s="51">
        <v>241.86205139999996</v>
      </c>
      <c r="M25" s="137">
        <f>N25+O25</f>
        <v>3349.4232983177139</v>
      </c>
      <c r="N25" s="121">
        <f>'Проект ТС-6 усл.свод'!N26</f>
        <v>1329.408609269457</v>
      </c>
      <c r="O25" s="121">
        <f>'Проект ТС-6 усл.свод'!O26</f>
        <v>2020.014689048257</v>
      </c>
      <c r="P25" s="92">
        <f t="shared" si="7"/>
        <v>781.53210294080009</v>
      </c>
      <c r="Q25" s="96">
        <f t="shared" si="8"/>
        <v>0.18918918918918926</v>
      </c>
      <c r="R25" s="141">
        <f>Q25</f>
        <v>0.18918918918918926</v>
      </c>
      <c r="V25" s="188">
        <f>W25+X25</f>
        <v>3349.4232983177139</v>
      </c>
      <c r="W25" s="121">
        <f>N25</f>
        <v>1329.408609269457</v>
      </c>
      <c r="X25" s="121">
        <f>O25</f>
        <v>2020.014689048257</v>
      </c>
      <c r="Y25" s="204">
        <f>V25-E25</f>
        <v>-781.53210294080009</v>
      </c>
      <c r="Z25" s="96">
        <f t="shared" si="20"/>
        <v>0.18918918918918926</v>
      </c>
      <c r="AA25" s="141">
        <f t="shared" ref="AA25" si="24">Z25</f>
        <v>0.18918918918918926</v>
      </c>
      <c r="AC25" s="269" t="s">
        <v>206</v>
      </c>
      <c r="AD25" s="278" t="s">
        <v>253</v>
      </c>
    </row>
    <row r="26" spans="1:32" s="6" customFormat="1" ht="37.5" customHeight="1">
      <c r="A26" s="7" t="s">
        <v>16</v>
      </c>
      <c r="B26" s="17" t="s">
        <v>273</v>
      </c>
      <c r="C26" s="7" t="s">
        <v>9</v>
      </c>
      <c r="D26" s="27">
        <f>SUM(D28:D31)</f>
        <v>1206129.5796632001</v>
      </c>
      <c r="E26" s="70">
        <f t="shared" si="4"/>
        <v>267057.79093023599</v>
      </c>
      <c r="F26" s="27">
        <f t="shared" ref="F26:K26" si="25">SUM(F28:F31)</f>
        <v>112257.6431603157</v>
      </c>
      <c r="G26" s="27">
        <f t="shared" si="25"/>
        <v>154800.14776992027</v>
      </c>
      <c r="H26" s="27">
        <f t="shared" si="25"/>
        <v>355999.27695063071</v>
      </c>
      <c r="I26" s="27">
        <f t="shared" si="25"/>
        <v>175652.11139453118</v>
      </c>
      <c r="J26" s="27">
        <f t="shared" si="25"/>
        <v>327250.9628990097</v>
      </c>
      <c r="K26" s="27">
        <f t="shared" si="25"/>
        <v>80169.437488792464</v>
      </c>
      <c r="M26" s="91">
        <f>M28+M29+M31</f>
        <v>256722.74888155027</v>
      </c>
      <c r="N26" s="119">
        <f>N28+N29+N31</f>
        <v>105958.85517350391</v>
      </c>
      <c r="O26" s="119">
        <f>O28+O29+O31</f>
        <v>150763.89370804635</v>
      </c>
      <c r="P26" s="92">
        <f t="shared" si="7"/>
        <v>10335.042048685718</v>
      </c>
      <c r="Q26" s="96">
        <f t="shared" si="8"/>
        <v>3.8699646292609247E-2</v>
      </c>
      <c r="R26" s="141"/>
      <c r="V26" s="119">
        <f>V28+V29+V31</f>
        <v>265057.24684729939</v>
      </c>
      <c r="W26" s="119">
        <f>W28+W29+W31</f>
        <v>111357.59527369295</v>
      </c>
      <c r="X26" s="119">
        <f>X28+X29+X31</f>
        <v>153699.65157360645</v>
      </c>
      <c r="Y26" s="204">
        <f>V26-E26</f>
        <v>-2000.544082936598</v>
      </c>
      <c r="Z26" s="96">
        <f t="shared" si="20"/>
        <v>7.4910530637138928E-3</v>
      </c>
      <c r="AA26" s="141"/>
      <c r="AC26" s="270"/>
      <c r="AD26" s="276"/>
    </row>
    <row r="27" spans="1:32" s="4" customFormat="1" ht="16.5" customHeight="1">
      <c r="A27" s="163"/>
      <c r="B27" s="12" t="s">
        <v>7</v>
      </c>
      <c r="C27" s="163"/>
      <c r="D27" s="25"/>
      <c r="E27" s="70"/>
      <c r="F27" s="25"/>
      <c r="G27" s="25"/>
      <c r="H27" s="25"/>
      <c r="I27" s="32"/>
      <c r="J27" s="33"/>
      <c r="K27" s="33"/>
      <c r="M27" s="92"/>
      <c r="N27" s="122"/>
      <c r="O27" s="122"/>
      <c r="P27" s="92"/>
      <c r="Q27" s="96"/>
      <c r="R27" s="141"/>
      <c r="V27" s="118"/>
      <c r="W27" s="122"/>
      <c r="X27" s="122"/>
      <c r="Y27" s="205"/>
      <c r="Z27" s="96"/>
      <c r="AA27" s="141"/>
      <c r="AC27" s="269"/>
      <c r="AD27" s="275"/>
    </row>
    <row r="28" spans="1:32" s="4" customFormat="1" ht="16.5" customHeight="1">
      <c r="A28" s="163" t="s">
        <v>17</v>
      </c>
      <c r="B28" s="12" t="s">
        <v>18</v>
      </c>
      <c r="C28" s="163" t="s">
        <v>9</v>
      </c>
      <c r="D28" s="25">
        <f t="shared" ref="D28:D32" si="26">SUM(F28:K28)</f>
        <v>1075601.3768</v>
      </c>
      <c r="E28" s="74">
        <f t="shared" si="4"/>
        <v>239807.96185663517</v>
      </c>
      <c r="F28" s="25">
        <v>100803.18763715524</v>
      </c>
      <c r="G28" s="25">
        <v>139004.77421947994</v>
      </c>
      <c r="H28" s="25">
        <v>316832.29037327215</v>
      </c>
      <c r="I28" s="33">
        <v>156816.88108876723</v>
      </c>
      <c r="J28" s="33">
        <v>290450.17665051087</v>
      </c>
      <c r="K28" s="33">
        <v>71694.066830814583</v>
      </c>
      <c r="M28" s="92">
        <f>N28+O28</f>
        <v>232224.25124175879</v>
      </c>
      <c r="N28" s="122">
        <f>'Проект ТС-6 усл.свод'!N29</f>
        <v>95890.776263006876</v>
      </c>
      <c r="O28" s="122">
        <f>'Проект ТС-6 усл.свод'!O29</f>
        <v>136333.47497875191</v>
      </c>
      <c r="P28" s="92">
        <f t="shared" si="7"/>
        <v>7583.7106148763851</v>
      </c>
      <c r="Q28" s="96">
        <f t="shared" si="8"/>
        <v>3.1624098533518108E-2</v>
      </c>
      <c r="R28" s="141">
        <f>Q28</f>
        <v>3.1624098533518108E-2</v>
      </c>
      <c r="V28" s="118">
        <f>W28+X28</f>
        <v>239807.96185663517</v>
      </c>
      <c r="W28" s="122">
        <v>100803.18763715524</v>
      </c>
      <c r="X28" s="122">
        <v>139004.77421947994</v>
      </c>
      <c r="Y28" s="204"/>
      <c r="Z28" s="96">
        <f t="shared" si="20"/>
        <v>0</v>
      </c>
      <c r="AA28" s="141">
        <f t="shared" ref="AA28:AA30" si="27">Z28</f>
        <v>0</v>
      </c>
      <c r="AC28" s="269" t="s">
        <v>206</v>
      </c>
      <c r="AD28" s="278" t="s">
        <v>217</v>
      </c>
    </row>
    <row r="29" spans="1:32" s="4" customFormat="1" ht="16.5" customHeight="1">
      <c r="A29" s="163" t="s">
        <v>19</v>
      </c>
      <c r="B29" s="12" t="s">
        <v>20</v>
      </c>
      <c r="C29" s="163" t="s">
        <v>9</v>
      </c>
      <c r="D29" s="25">
        <f t="shared" si="26"/>
        <v>106484.5363032</v>
      </c>
      <c r="E29" s="74">
        <f t="shared" si="4"/>
        <v>23740.988223806882</v>
      </c>
      <c r="F29" s="25">
        <v>9979.5155760783673</v>
      </c>
      <c r="G29" s="25">
        <v>13761.472647728513</v>
      </c>
      <c r="H29" s="25">
        <v>31366.396746953946</v>
      </c>
      <c r="I29" s="33">
        <v>15524.871227787957</v>
      </c>
      <c r="J29" s="33">
        <v>28754.567488400578</v>
      </c>
      <c r="K29" s="33">
        <v>7097.7126162506447</v>
      </c>
      <c r="M29" s="92">
        <f>N29+O29</f>
        <v>22990.200872934121</v>
      </c>
      <c r="N29" s="122">
        <f>'Проект ТС-6 усл.свод'!N30</f>
        <v>9493.1868500376822</v>
      </c>
      <c r="O29" s="122">
        <f>'Проект ТС-6 усл.свод'!O30</f>
        <v>13497.014022896439</v>
      </c>
      <c r="P29" s="92">
        <f t="shared" si="7"/>
        <v>750.78735087276073</v>
      </c>
      <c r="Q29" s="96">
        <f t="shared" si="8"/>
        <v>3.1624098533518108E-2</v>
      </c>
      <c r="R29" s="141">
        <f>Q29</f>
        <v>3.1624098533518108E-2</v>
      </c>
      <c r="V29" s="118">
        <f>W29+X29</f>
        <v>23740.988223806882</v>
      </c>
      <c r="W29" s="122">
        <v>9979.5155760783673</v>
      </c>
      <c r="X29" s="122">
        <v>13761.472647728513</v>
      </c>
      <c r="Y29" s="204"/>
      <c r="Z29" s="96">
        <f t="shared" si="20"/>
        <v>0</v>
      </c>
      <c r="AA29" s="141">
        <f t="shared" si="27"/>
        <v>0</v>
      </c>
      <c r="AC29" s="269" t="s">
        <v>206</v>
      </c>
      <c r="AD29" s="278" t="s">
        <v>218</v>
      </c>
    </row>
    <row r="30" spans="1:32" s="4" customFormat="1" ht="16.5" hidden="1" customHeight="1">
      <c r="A30" s="160" t="s">
        <v>144</v>
      </c>
      <c r="B30" s="59" t="s">
        <v>145</v>
      </c>
      <c r="C30" s="160"/>
      <c r="D30" s="25">
        <f t="shared" si="26"/>
        <v>8305.5984000000008</v>
      </c>
      <c r="E30" s="74">
        <f t="shared" si="4"/>
        <v>0</v>
      </c>
      <c r="F30" s="60">
        <v>0</v>
      </c>
      <c r="G30" s="60">
        <v>0</v>
      </c>
      <c r="H30" s="60">
        <v>3164.7384000000002</v>
      </c>
      <c r="I30" s="61">
        <v>1015.8336</v>
      </c>
      <c r="J30" s="61">
        <v>3796.3872000000001</v>
      </c>
      <c r="K30" s="61">
        <v>328.63920000000002</v>
      </c>
      <c r="M30" s="92">
        <v>0</v>
      </c>
      <c r="N30" s="122">
        <f>'Проект ТС-6 усл.свод'!N31</f>
        <v>0</v>
      </c>
      <c r="O30" s="122">
        <f>'Проект ТС-6 усл.свод'!O31</f>
        <v>0</v>
      </c>
      <c r="P30" s="92">
        <f t="shared" si="7"/>
        <v>0</v>
      </c>
      <c r="Q30" s="96" t="e">
        <f t="shared" si="8"/>
        <v>#DIV/0!</v>
      </c>
      <c r="R30" s="141" t="e">
        <f>Q30</f>
        <v>#DIV/0!</v>
      </c>
      <c r="V30" s="118">
        <v>0</v>
      </c>
      <c r="W30" s="122">
        <f t="shared" ref="W30:X32" si="28">N30</f>
        <v>0</v>
      </c>
      <c r="X30" s="122">
        <f t="shared" si="28"/>
        <v>0</v>
      </c>
      <c r="Y30" s="188" t="e">
        <f>Q30-V30</f>
        <v>#DIV/0!</v>
      </c>
      <c r="Z30" s="96" t="e">
        <f t="shared" si="20"/>
        <v>#DIV/0!</v>
      </c>
      <c r="AA30" s="141" t="e">
        <f t="shared" si="27"/>
        <v>#DIV/0!</v>
      </c>
      <c r="AC30" s="269"/>
      <c r="AD30" s="275"/>
    </row>
    <row r="31" spans="1:32" s="4" customFormat="1" ht="38.25" customHeight="1">
      <c r="A31" s="160" t="s">
        <v>144</v>
      </c>
      <c r="B31" s="59" t="s">
        <v>147</v>
      </c>
      <c r="C31" s="160"/>
      <c r="D31" s="25">
        <f t="shared" si="26"/>
        <v>15738.068159999997</v>
      </c>
      <c r="E31" s="74">
        <f t="shared" si="4"/>
        <v>3508.8408497939031</v>
      </c>
      <c r="F31" s="60">
        <v>1474.9399470820929</v>
      </c>
      <c r="G31" s="60">
        <v>2033.9009027118102</v>
      </c>
      <c r="H31" s="60">
        <v>4635.8514304046284</v>
      </c>
      <c r="I31" s="61">
        <v>2294.5254779759721</v>
      </c>
      <c r="J31" s="61">
        <v>4249.8315600982596</v>
      </c>
      <c r="K31" s="61">
        <v>1049.018841727235</v>
      </c>
      <c r="M31" s="92">
        <f>N31+O31</f>
        <v>1508.2967668573424</v>
      </c>
      <c r="N31" s="122">
        <f>'Проект ТС-6 усл.свод'!N32</f>
        <v>574.89206045934134</v>
      </c>
      <c r="O31" s="122">
        <f>'Проект ТС-6 усл.свод'!O32</f>
        <v>933.40470639800094</v>
      </c>
      <c r="P31" s="92">
        <f t="shared" si="7"/>
        <v>2000.5440829365607</v>
      </c>
      <c r="Q31" s="96">
        <f t="shared" si="8"/>
        <v>0.57014386476208112</v>
      </c>
      <c r="R31" s="141">
        <f>Q31</f>
        <v>0.57014386476208112</v>
      </c>
      <c r="V31" s="118">
        <f>W31+X31</f>
        <v>1508.2967668573424</v>
      </c>
      <c r="W31" s="122">
        <f t="shared" si="28"/>
        <v>574.89206045934134</v>
      </c>
      <c r="X31" s="122">
        <f t="shared" si="28"/>
        <v>933.40470639800094</v>
      </c>
      <c r="Y31" s="204">
        <f>V31-E31</f>
        <v>-2000.5440829365607</v>
      </c>
      <c r="Z31" s="96">
        <f t="shared" si="20"/>
        <v>0.57014386476208112</v>
      </c>
      <c r="AA31" s="141"/>
      <c r="AC31" s="269" t="s">
        <v>206</v>
      </c>
      <c r="AD31" s="282" t="s">
        <v>254</v>
      </c>
    </row>
    <row r="32" spans="1:32" s="6" customFormat="1" ht="42" customHeight="1">
      <c r="A32" s="43" t="s">
        <v>21</v>
      </c>
      <c r="B32" s="17" t="s">
        <v>22</v>
      </c>
      <c r="C32" s="43" t="s">
        <v>9</v>
      </c>
      <c r="D32" s="31">
        <f t="shared" si="26"/>
        <v>2489153.8038947885</v>
      </c>
      <c r="E32" s="70">
        <f t="shared" si="4"/>
        <v>1937026.4689199622</v>
      </c>
      <c r="F32" s="46">
        <v>1099839.5662673169</v>
      </c>
      <c r="G32" s="46">
        <v>837186.90265264537</v>
      </c>
      <c r="H32" s="46">
        <v>225025.69975796001</v>
      </c>
      <c r="I32" s="46">
        <v>99816.955462476995</v>
      </c>
      <c r="J32" s="46">
        <v>175927.24146127226</v>
      </c>
      <c r="K32" s="46">
        <v>51357.438293116582</v>
      </c>
      <c r="L32" s="48"/>
      <c r="M32" s="91">
        <f>N32+O32</f>
        <v>1631988.581349937</v>
      </c>
      <c r="N32" s="124">
        <f>'Проект ТС-6 усл.свод'!N33</f>
        <v>895527.52671471401</v>
      </c>
      <c r="O32" s="124">
        <f>'Проект ТС-6 усл.свод'!O33</f>
        <v>736461.054635223</v>
      </c>
      <c r="P32" s="92">
        <f t="shared" si="7"/>
        <v>305037.88757002517</v>
      </c>
      <c r="Q32" s="96">
        <f t="shared" si="8"/>
        <v>0.15747739768373259</v>
      </c>
      <c r="R32" s="141"/>
      <c r="S32" s="48"/>
      <c r="T32" s="48"/>
      <c r="U32" s="48"/>
      <c r="V32" s="119">
        <f>W32+X32</f>
        <v>1631988.581349937</v>
      </c>
      <c r="W32" s="124">
        <f t="shared" si="28"/>
        <v>895527.52671471401</v>
      </c>
      <c r="X32" s="124">
        <f t="shared" si="28"/>
        <v>736461.054635223</v>
      </c>
      <c r="Y32" s="204">
        <f>V32-E32</f>
        <v>-305037.88757002517</v>
      </c>
      <c r="Z32" s="96">
        <f t="shared" si="20"/>
        <v>0.15747739768373259</v>
      </c>
      <c r="AA32" s="141"/>
      <c r="AB32" s="48"/>
      <c r="AC32" s="271"/>
      <c r="AD32" s="278" t="s">
        <v>219</v>
      </c>
      <c r="AE32" s="48"/>
      <c r="AF32" s="48"/>
    </row>
    <row r="33" spans="1:30" s="6" customFormat="1" ht="24" hidden="1" customHeight="1">
      <c r="A33" s="7" t="s">
        <v>23</v>
      </c>
      <c r="B33" s="17" t="s">
        <v>24</v>
      </c>
      <c r="C33" s="7" t="s">
        <v>9</v>
      </c>
      <c r="D33" s="31">
        <f>SUM(F33:J33)</f>
        <v>0</v>
      </c>
      <c r="E33" s="70"/>
      <c r="F33" s="31"/>
      <c r="G33" s="31"/>
      <c r="H33" s="31"/>
      <c r="I33" s="31"/>
      <c r="J33" s="31"/>
      <c r="K33" s="31"/>
      <c r="M33" s="91"/>
      <c r="N33" s="124"/>
      <c r="O33" s="124"/>
      <c r="P33" s="92">
        <f t="shared" si="7"/>
        <v>0</v>
      </c>
      <c r="Q33" s="96" t="e">
        <f t="shared" si="8"/>
        <v>#DIV/0!</v>
      </c>
      <c r="R33" s="141" t="e">
        <f>Q33</f>
        <v>#DIV/0!</v>
      </c>
      <c r="V33" s="119"/>
      <c r="W33" s="124"/>
      <c r="X33" s="124"/>
      <c r="Y33" s="205" t="e">
        <f>Q33-V33</f>
        <v>#DIV/0!</v>
      </c>
      <c r="Z33" s="96" t="e">
        <f t="shared" si="20"/>
        <v>#DIV/0!</v>
      </c>
      <c r="AA33" s="141" t="e">
        <f t="shared" ref="AA33:AA34" si="29">Z33</f>
        <v>#DIV/0!</v>
      </c>
      <c r="AC33" s="270"/>
      <c r="AD33" s="276"/>
    </row>
    <row r="34" spans="1:30" s="6" customFormat="1" ht="30" customHeight="1">
      <c r="A34" s="7" t="s">
        <v>25</v>
      </c>
      <c r="B34" s="17" t="s">
        <v>26</v>
      </c>
      <c r="C34" s="7" t="s">
        <v>9</v>
      </c>
      <c r="D34" s="31">
        <f>SUM(F34:K34)</f>
        <v>915347.05063624808</v>
      </c>
      <c r="E34" s="70">
        <f t="shared" si="4"/>
        <v>368783.07035827299</v>
      </c>
      <c r="F34" s="27">
        <f>F36+F37+F38+F39+F45+F68+F70+F75</f>
        <v>199103.09201767866</v>
      </c>
      <c r="G34" s="27">
        <f t="shared" ref="G34:K34" si="30">G36+G37+G38+G39+G45+G68+G70+G75</f>
        <v>169679.97834059433</v>
      </c>
      <c r="H34" s="27">
        <f t="shared" si="30"/>
        <v>197888.92081579604</v>
      </c>
      <c r="I34" s="27">
        <f t="shared" si="30"/>
        <v>140647.59516813426</v>
      </c>
      <c r="J34" s="27">
        <f t="shared" si="30"/>
        <v>179834.13492647422</v>
      </c>
      <c r="K34" s="27">
        <f t="shared" si="30"/>
        <v>28193.329367570681</v>
      </c>
      <c r="M34" s="99">
        <f>M36+M37+M38+M39+M45+M68+M70+M75</f>
        <v>300811.13910594012</v>
      </c>
      <c r="N34" s="117">
        <f>N36+N37+N38+N39+N45+N68+N70+N75</f>
        <v>164738.23756560116</v>
      </c>
      <c r="O34" s="117">
        <f>O36+O37+O38+O39+O45+O68+O70+O75</f>
        <v>136072.90154033893</v>
      </c>
      <c r="P34" s="92">
        <f t="shared" si="7"/>
        <v>67971.93125233287</v>
      </c>
      <c r="Q34" s="96">
        <f t="shared" si="8"/>
        <v>0.18431413130298546</v>
      </c>
      <c r="R34" s="141">
        <f>Q34</f>
        <v>0.18431413130298546</v>
      </c>
      <c r="V34" s="117">
        <f>V36+V37+V38+V39+V45+V68+V70+V75</f>
        <v>307959.88051398611</v>
      </c>
      <c r="W34" s="117">
        <f>W36+W37+W38+W39+W45+W68+W70+W75</f>
        <v>169350.00789667631</v>
      </c>
      <c r="X34" s="117">
        <f>X36+X37+X38+X39+X45+X68+X70+X75</f>
        <v>138609.87261730988</v>
      </c>
      <c r="Y34" s="205"/>
      <c r="Z34" s="96">
        <f t="shared" si="20"/>
        <v>0.16492945238835699</v>
      </c>
      <c r="AA34" s="141">
        <f t="shared" si="29"/>
        <v>0.16492945238835699</v>
      </c>
      <c r="AC34" s="270"/>
      <c r="AD34" s="276"/>
    </row>
    <row r="35" spans="1:30" s="4" customFormat="1" ht="16.5" customHeight="1">
      <c r="A35" s="163"/>
      <c r="B35" s="12" t="s">
        <v>7</v>
      </c>
      <c r="C35" s="163"/>
      <c r="D35" s="25"/>
      <c r="E35" s="70"/>
      <c r="F35" s="31"/>
      <c r="G35" s="31"/>
      <c r="H35" s="31"/>
      <c r="I35" s="32"/>
      <c r="J35" s="33"/>
      <c r="K35" s="33"/>
      <c r="M35" s="92"/>
      <c r="N35" s="124"/>
      <c r="O35" s="124"/>
      <c r="P35" s="92"/>
      <c r="Q35" s="96"/>
      <c r="R35" s="141"/>
      <c r="V35" s="118"/>
      <c r="W35" s="124"/>
      <c r="X35" s="124"/>
      <c r="Y35" s="205"/>
      <c r="Z35" s="96"/>
      <c r="AA35" s="141"/>
      <c r="AC35" s="269"/>
      <c r="AD35" s="275"/>
    </row>
    <row r="36" spans="1:30" s="4" customFormat="1" ht="16.5" customHeight="1">
      <c r="A36" s="163" t="s">
        <v>27</v>
      </c>
      <c r="B36" s="12" t="s">
        <v>28</v>
      </c>
      <c r="C36" s="163" t="s">
        <v>9</v>
      </c>
      <c r="D36" s="25">
        <f t="shared" ref="D36:D89" si="31">SUM(F36:K36)</f>
        <v>6258.5412933942844</v>
      </c>
      <c r="E36" s="74">
        <f t="shared" si="4"/>
        <v>1395.3571129014504</v>
      </c>
      <c r="F36" s="25">
        <v>586.53784379658339</v>
      </c>
      <c r="G36" s="25">
        <v>808.81926910486698</v>
      </c>
      <c r="H36" s="25">
        <v>1843.5342452620523</v>
      </c>
      <c r="I36" s="33">
        <v>912.46157448703548</v>
      </c>
      <c r="J36" s="33">
        <v>1690.026122548272</v>
      </c>
      <c r="K36" s="33">
        <v>417.16223819547525</v>
      </c>
      <c r="M36" s="92">
        <f>N36+O36</f>
        <v>1199.6056316571157</v>
      </c>
      <c r="N36" s="122">
        <f>'Проект ТС-6 усл.свод'!N37</f>
        <v>457.23346258900847</v>
      </c>
      <c r="O36" s="122">
        <f>'Проект ТС-6 усл.свод'!O37</f>
        <v>742.37216906810738</v>
      </c>
      <c r="P36" s="92">
        <f t="shared" si="7"/>
        <v>195.75148124433463</v>
      </c>
      <c r="Q36" s="96">
        <f t="shared" si="8"/>
        <v>0.14028772952416224</v>
      </c>
      <c r="R36" s="141"/>
      <c r="V36" s="118">
        <f>W36+X36</f>
        <v>1395.3571129014504</v>
      </c>
      <c r="W36" s="122">
        <v>586.53784379658339</v>
      </c>
      <c r="X36" s="122">
        <v>808.81926910486698</v>
      </c>
      <c r="Y36" s="188"/>
      <c r="Z36" s="96">
        <f t="shared" si="20"/>
        <v>0</v>
      </c>
      <c r="AA36" s="141"/>
      <c r="AC36" s="269" t="s">
        <v>206</v>
      </c>
      <c r="AD36" s="283" t="s">
        <v>255</v>
      </c>
    </row>
    <row r="37" spans="1:30" s="4" customFormat="1" ht="16.5" customHeight="1">
      <c r="A37" s="163" t="s">
        <v>29</v>
      </c>
      <c r="B37" s="12" t="s">
        <v>30</v>
      </c>
      <c r="C37" s="163" t="s">
        <v>9</v>
      </c>
      <c r="D37" s="25">
        <f t="shared" si="31"/>
        <v>2234.5857982142857</v>
      </c>
      <c r="E37" s="74">
        <f t="shared" si="4"/>
        <v>498.20637777334434</v>
      </c>
      <c r="F37" s="25">
        <v>209.42086572895963</v>
      </c>
      <c r="G37" s="25">
        <v>288.78551204438469</v>
      </c>
      <c r="H37" s="25">
        <v>658.22613447199387</v>
      </c>
      <c r="I37" s="33">
        <v>325.7905604804518</v>
      </c>
      <c r="J37" s="33">
        <v>603.416706069116</v>
      </c>
      <c r="K37" s="33">
        <v>148.94601941937952</v>
      </c>
      <c r="M37" s="92">
        <f>N37+O37</f>
        <v>268.02037622957647</v>
      </c>
      <c r="N37" s="122">
        <f>'Проект ТС-6 усл.свод'!N38</f>
        <v>102.15681006646523</v>
      </c>
      <c r="O37" s="122">
        <f>'Проект ТС-6 усл.свод'!O38</f>
        <v>165.86356616311124</v>
      </c>
      <c r="P37" s="92">
        <f t="shared" si="7"/>
        <v>230.18600154376787</v>
      </c>
      <c r="Q37" s="96">
        <f t="shared" si="8"/>
        <v>0.46202941554571875</v>
      </c>
      <c r="R37" s="141">
        <f>Q37</f>
        <v>0.46202941554571875</v>
      </c>
      <c r="V37" s="118">
        <f>W37+X37</f>
        <v>268.02037622957647</v>
      </c>
      <c r="W37" s="122">
        <f>N37</f>
        <v>102.15681006646523</v>
      </c>
      <c r="X37" s="122">
        <f>O37</f>
        <v>165.86356616311124</v>
      </c>
      <c r="Y37" s="204">
        <f>V37-E37</f>
        <v>-230.18600154376787</v>
      </c>
      <c r="Z37" s="96">
        <f t="shared" si="20"/>
        <v>0.46202941554571875</v>
      </c>
      <c r="AA37" s="141">
        <f t="shared" ref="AA37:AA38" si="32">Z37</f>
        <v>0.46202941554571875</v>
      </c>
      <c r="AC37" s="269" t="s">
        <v>206</v>
      </c>
      <c r="AD37" s="278" t="s">
        <v>220</v>
      </c>
    </row>
    <row r="38" spans="1:30" s="4" customFormat="1" ht="16.5" customHeight="1">
      <c r="A38" s="163" t="s">
        <v>31</v>
      </c>
      <c r="B38" s="12" t="s">
        <v>32</v>
      </c>
      <c r="C38" s="163" t="s">
        <v>9</v>
      </c>
      <c r="D38" s="25">
        <f>SUM(F38:K38)</f>
        <v>20478.45736</v>
      </c>
      <c r="E38" s="74">
        <f t="shared" si="4"/>
        <v>4565.7222344581969</v>
      </c>
      <c r="F38" s="25">
        <v>1919.1996443152584</v>
      </c>
      <c r="G38" s="25">
        <v>2646.522590142939</v>
      </c>
      <c r="H38" s="25">
        <v>6032.1943506461594</v>
      </c>
      <c r="I38" s="52">
        <v>2985.6486631307462</v>
      </c>
      <c r="J38" s="33">
        <v>5529.9032578757424</v>
      </c>
      <c r="K38" s="33">
        <v>1364.9888538891528</v>
      </c>
      <c r="M38" s="92">
        <f>N38+O38</f>
        <v>2880.2770262666891</v>
      </c>
      <c r="N38" s="122">
        <f>'Проект ТС-6 усл.свод'!N39</f>
        <v>1097.8266550118349</v>
      </c>
      <c r="O38" s="122">
        <f>'Проект ТС-6 усл.свод'!O39</f>
        <v>1782.450371254854</v>
      </c>
      <c r="P38" s="92">
        <f t="shared" si="7"/>
        <v>1685.4452081915078</v>
      </c>
      <c r="Q38" s="96">
        <f t="shared" si="8"/>
        <v>0.36915193733670382</v>
      </c>
      <c r="R38" s="141">
        <f>Q38</f>
        <v>0.36915193733670382</v>
      </c>
      <c r="V38" s="118">
        <f>W38+X38</f>
        <v>2880.2770262666891</v>
      </c>
      <c r="W38" s="122">
        <f>N38</f>
        <v>1097.8266550118349</v>
      </c>
      <c r="X38" s="122">
        <f>O38</f>
        <v>1782.450371254854</v>
      </c>
      <c r="Y38" s="204">
        <f>V38-E38</f>
        <v>-1685.4452081915078</v>
      </c>
      <c r="Z38" s="96">
        <f t="shared" si="20"/>
        <v>0.36915193733670382</v>
      </c>
      <c r="AA38" s="141">
        <f t="shared" si="32"/>
        <v>0.36915193733670382</v>
      </c>
      <c r="AC38" s="269" t="s">
        <v>206</v>
      </c>
      <c r="AD38" s="278" t="s">
        <v>256</v>
      </c>
    </row>
    <row r="39" spans="1:30" s="4" customFormat="1" ht="16.5" customHeight="1">
      <c r="A39" s="163" t="s">
        <v>33</v>
      </c>
      <c r="B39" s="12" t="s">
        <v>34</v>
      </c>
      <c r="C39" s="7" t="s">
        <v>9</v>
      </c>
      <c r="D39" s="25">
        <f t="shared" si="31"/>
        <v>390838.78575276007</v>
      </c>
      <c r="E39" s="74">
        <f t="shared" si="4"/>
        <v>301489.36515746993</v>
      </c>
      <c r="F39" s="25">
        <f>SUM(F40:F44)</f>
        <v>170983.24303371736</v>
      </c>
      <c r="G39" s="25">
        <f t="shared" ref="G39:K39" si="33">SUM(G40:G44)</f>
        <v>130506.12212375256</v>
      </c>
      <c r="H39" s="25">
        <f t="shared" si="33"/>
        <v>36331.179809635156</v>
      </c>
      <c r="I39" s="25">
        <f t="shared" si="33"/>
        <v>16316.845828581792</v>
      </c>
      <c r="J39" s="25">
        <f t="shared" si="33"/>
        <v>28711.717231572711</v>
      </c>
      <c r="K39" s="25">
        <f t="shared" si="33"/>
        <v>7989.6777255004772</v>
      </c>
      <c r="M39" s="92">
        <f>M40+M41+M42+M43+M44</f>
        <v>245257.82116468908</v>
      </c>
      <c r="N39" s="122">
        <f>'Проект ТС-6 усл.свод'!N40</f>
        <v>143451.66851664681</v>
      </c>
      <c r="O39" s="122">
        <f>'Проект ТС-6 усл.свод'!O40</f>
        <v>101806.1526480422</v>
      </c>
      <c r="P39" s="92">
        <f t="shared" si="7"/>
        <v>56231.543992780847</v>
      </c>
      <c r="Q39" s="96">
        <f t="shared" si="8"/>
        <v>0.18651252910168403</v>
      </c>
      <c r="R39" s="141"/>
      <c r="V39" s="118">
        <f>V40+V41+V42+V43+V44</f>
        <v>245421.7536968101</v>
      </c>
      <c r="W39" s="122">
        <f t="shared" ref="W39:X39" si="34">SUM(W40:W44)</f>
        <v>143449.59693034031</v>
      </c>
      <c r="X39" s="122">
        <f t="shared" si="34"/>
        <v>101972.15676646984</v>
      </c>
      <c r="Y39" s="188"/>
      <c r="Z39" s="96">
        <f t="shared" si="20"/>
        <v>0.18596878676425399</v>
      </c>
      <c r="AA39" s="141"/>
      <c r="AC39" s="269"/>
      <c r="AD39" s="275"/>
    </row>
    <row r="40" spans="1:30" s="4" customFormat="1" ht="16.5" customHeight="1">
      <c r="A40" s="163"/>
      <c r="B40" s="18" t="s">
        <v>148</v>
      </c>
      <c r="C40" s="7" t="s">
        <v>9</v>
      </c>
      <c r="D40" s="25">
        <f t="shared" si="31"/>
        <v>7049.5699300135602</v>
      </c>
      <c r="E40" s="76">
        <f t="shared" si="4"/>
        <v>5485.8817994983538</v>
      </c>
      <c r="F40" s="49">
        <v>3114.8721794794146</v>
      </c>
      <c r="G40" s="49">
        <v>2371.0096200189391</v>
      </c>
      <c r="H40" s="49">
        <v>637.29866913480055</v>
      </c>
      <c r="I40" s="50">
        <v>282.693101018005</v>
      </c>
      <c r="J40" s="50">
        <v>498.24618685075086</v>
      </c>
      <c r="K40" s="50">
        <v>145.45017351165043</v>
      </c>
      <c r="M40" s="93">
        <f>N40+O40</f>
        <v>5331.7470076992668</v>
      </c>
      <c r="N40" s="120">
        <f>'Проект ТС-6 усл.свод'!N41</f>
        <v>3123.4157002076759</v>
      </c>
      <c r="O40" s="120">
        <f>'Проект ТС-6 усл.свод'!O41</f>
        <v>2208.3313074915905</v>
      </c>
      <c r="P40" s="92">
        <f t="shared" si="7"/>
        <v>154.134791799087</v>
      </c>
      <c r="Q40" s="96">
        <f t="shared" si="8"/>
        <v>2.8096630119369581E-2</v>
      </c>
      <c r="R40" s="141"/>
      <c r="V40" s="187">
        <f>W40+X40</f>
        <v>5485.8817994983538</v>
      </c>
      <c r="W40" s="265">
        <v>3114.8721794794146</v>
      </c>
      <c r="X40" s="265">
        <v>2371.0096200189391</v>
      </c>
      <c r="Y40" s="204"/>
      <c r="Z40" s="96">
        <f t="shared" si="20"/>
        <v>0</v>
      </c>
      <c r="AA40" s="141"/>
      <c r="AC40" s="272" t="s">
        <v>210</v>
      </c>
      <c r="AD40" s="278" t="s">
        <v>257</v>
      </c>
    </row>
    <row r="41" spans="1:30" s="4" customFormat="1" ht="16.5" customHeight="1">
      <c r="A41" s="163"/>
      <c r="B41" s="18" t="s">
        <v>97</v>
      </c>
      <c r="C41" s="7" t="s">
        <v>9</v>
      </c>
      <c r="D41" s="25">
        <f t="shared" si="31"/>
        <v>378846.23629857873</v>
      </c>
      <c r="E41" s="76">
        <f t="shared" si="4"/>
        <v>294813.11528954899</v>
      </c>
      <c r="F41" s="49">
        <v>167394.26851031423</v>
      </c>
      <c r="G41" s="49">
        <v>127418.84677923474</v>
      </c>
      <c r="H41" s="49">
        <v>34248.642767821715</v>
      </c>
      <c r="I41" s="50">
        <v>15192.021415700614</v>
      </c>
      <c r="J41" s="50">
        <v>26775.916050550088</v>
      </c>
      <c r="K41" s="50">
        <v>7816.5407749573169</v>
      </c>
      <c r="M41" s="93">
        <f>N41+O41</f>
        <v>238745.5038288892</v>
      </c>
      <c r="N41" s="120">
        <f>'Проект ТС-6 усл.свод'!N42</f>
        <v>139860.62240693718</v>
      </c>
      <c r="O41" s="120">
        <f>'Проект ТС-6 усл.свод'!O42</f>
        <v>98884.881421952014</v>
      </c>
      <c r="P41" s="92">
        <f t="shared" si="7"/>
        <v>56067.611460659798</v>
      </c>
      <c r="Q41" s="96">
        <f t="shared" si="8"/>
        <v>0.19018018043597995</v>
      </c>
      <c r="R41" s="141"/>
      <c r="V41" s="187">
        <f>W41+X41</f>
        <v>238745.5038288892</v>
      </c>
      <c r="W41" s="265">
        <f>N41</f>
        <v>139860.62240693718</v>
      </c>
      <c r="X41" s="265">
        <f>O41</f>
        <v>98884.881421952014</v>
      </c>
      <c r="Y41" s="204">
        <f>V41-E41</f>
        <v>-56067.611460659798</v>
      </c>
      <c r="Z41" s="96">
        <f t="shared" si="20"/>
        <v>0.19018018043597995</v>
      </c>
      <c r="AA41" s="141"/>
      <c r="AC41" s="272" t="s">
        <v>210</v>
      </c>
      <c r="AD41" s="278" t="s">
        <v>241</v>
      </c>
    </row>
    <row r="42" spans="1:30" s="4" customFormat="1" ht="16.5" customHeight="1" outlineLevel="1">
      <c r="A42" s="14"/>
      <c r="B42" s="18" t="s">
        <v>35</v>
      </c>
      <c r="C42" s="7" t="s">
        <v>9</v>
      </c>
      <c r="D42" s="25">
        <f t="shared" si="31"/>
        <v>128.84779999999998</v>
      </c>
      <c r="E42" s="76">
        <f t="shared" si="4"/>
        <v>39.867390930506666</v>
      </c>
      <c r="F42" s="49">
        <v>16.364254279270934</v>
      </c>
      <c r="G42" s="49">
        <v>23.503136651235732</v>
      </c>
      <c r="H42" s="49">
        <v>30.468116405965723</v>
      </c>
      <c r="I42" s="50">
        <v>16.87976098195557</v>
      </c>
      <c r="J42" s="50">
        <v>27.93108550234945</v>
      </c>
      <c r="K42" s="50">
        <v>13.701446179222581</v>
      </c>
      <c r="M42" s="93">
        <f>N42+O42</f>
        <v>36.632203446183688</v>
      </c>
      <c r="N42" s="120">
        <f>'Проект ТС-6 усл.свод'!N43</f>
        <v>14.227238952021755</v>
      </c>
      <c r="O42" s="120">
        <f>'Проект ТС-6 усл.свод'!O43</f>
        <v>22.404964494161934</v>
      </c>
      <c r="P42" s="92">
        <f t="shared" si="7"/>
        <v>3.235187484322978</v>
      </c>
      <c r="Q42" s="96">
        <f t="shared" si="8"/>
        <v>8.1148713492745772E-2</v>
      </c>
      <c r="R42" s="141"/>
      <c r="V42" s="187">
        <f>W42+X42</f>
        <v>39.867390930506666</v>
      </c>
      <c r="W42" s="265">
        <v>16.364254279270934</v>
      </c>
      <c r="X42" s="265">
        <v>23.503136651235732</v>
      </c>
      <c r="Y42" s="188"/>
      <c r="Z42" s="96">
        <f t="shared" si="20"/>
        <v>0</v>
      </c>
      <c r="AA42" s="141"/>
      <c r="AC42" s="269" t="s">
        <v>207</v>
      </c>
      <c r="AD42" s="278" t="s">
        <v>221</v>
      </c>
    </row>
    <row r="43" spans="1:30" s="4" customFormat="1" ht="16.5" customHeight="1" outlineLevel="1">
      <c r="A43" s="62"/>
      <c r="B43" s="56" t="s">
        <v>36</v>
      </c>
      <c r="C43" s="162"/>
      <c r="D43" s="25">
        <f t="shared" si="31"/>
        <v>4655.3017241677644</v>
      </c>
      <c r="E43" s="76">
        <f t="shared" si="4"/>
        <v>1115.0891399064469</v>
      </c>
      <c r="F43" s="49">
        <v>442.85286298169564</v>
      </c>
      <c r="G43" s="49">
        <v>672.23627692475134</v>
      </c>
      <c r="H43" s="49">
        <v>1367.9848264978496</v>
      </c>
      <c r="I43" s="50">
        <v>802.09499329347022</v>
      </c>
      <c r="J43" s="50">
        <v>1366.7342261603294</v>
      </c>
      <c r="K43" s="50">
        <v>3.3985383096677753</v>
      </c>
      <c r="M43" s="93">
        <f>N43+O43</f>
        <v>1113.4943912756485</v>
      </c>
      <c r="N43" s="120">
        <f>'Проект ТС-6 усл.свод'!N44</f>
        <v>441.79944574277499</v>
      </c>
      <c r="O43" s="120">
        <f>'Проект ТС-6 усл.свод'!O44</f>
        <v>671.69494553287348</v>
      </c>
      <c r="P43" s="92">
        <f t="shared" si="7"/>
        <v>1.5947486307984491</v>
      </c>
      <c r="Q43" s="96">
        <f t="shared" si="8"/>
        <v>1.4301534951117745E-3</v>
      </c>
      <c r="R43" s="141"/>
      <c r="V43" s="187">
        <f>W43+X43</f>
        <v>1115.0891399064469</v>
      </c>
      <c r="W43" s="265">
        <v>442.85286298169564</v>
      </c>
      <c r="X43" s="265">
        <v>672.23627692475134</v>
      </c>
      <c r="Y43" s="188"/>
      <c r="Z43" s="96">
        <f t="shared" si="20"/>
        <v>0</v>
      </c>
      <c r="AA43" s="141"/>
      <c r="AC43" s="269" t="s">
        <v>207</v>
      </c>
      <c r="AD43" s="278" t="s">
        <v>222</v>
      </c>
    </row>
    <row r="44" spans="1:30" s="4" customFormat="1" ht="36.75" customHeight="1" outlineLevel="1">
      <c r="A44" s="62"/>
      <c r="B44" s="56" t="s">
        <v>37</v>
      </c>
      <c r="C44" s="162"/>
      <c r="D44" s="25">
        <f t="shared" si="31"/>
        <v>158.83000000000001</v>
      </c>
      <c r="E44" s="76">
        <f t="shared" si="4"/>
        <v>35.411537585612137</v>
      </c>
      <c r="F44" s="49">
        <v>14.885226662727124</v>
      </c>
      <c r="G44" s="49">
        <v>20.526310922885013</v>
      </c>
      <c r="H44" s="49">
        <v>46.78542977482995</v>
      </c>
      <c r="I44" s="50">
        <v>23.156557587746757</v>
      </c>
      <c r="J44" s="50">
        <v>42.889682509190926</v>
      </c>
      <c r="K44" s="50">
        <v>10.58679254262022</v>
      </c>
      <c r="M44" s="93">
        <f>N44+O44</f>
        <v>30.443733378767082</v>
      </c>
      <c r="N44" s="120">
        <f>'Проект ТС-6 усл.свод'!N45</f>
        <v>11.603724807194787</v>
      </c>
      <c r="O44" s="120">
        <f>'Проект ТС-6 усл.свод'!O45</f>
        <v>18.840008571572294</v>
      </c>
      <c r="P44" s="92">
        <f t="shared" si="7"/>
        <v>4.9678042068450559</v>
      </c>
      <c r="Q44" s="96">
        <f t="shared" si="8"/>
        <v>0.14028772952416213</v>
      </c>
      <c r="R44" s="141"/>
      <c r="V44" s="187">
        <f>W44+X44</f>
        <v>35.411537585612137</v>
      </c>
      <c r="W44" s="265">
        <v>14.885226662727124</v>
      </c>
      <c r="X44" s="265">
        <v>20.526310922885013</v>
      </c>
      <c r="Y44" s="188"/>
      <c r="Z44" s="96">
        <f t="shared" si="20"/>
        <v>0</v>
      </c>
      <c r="AA44" s="141"/>
      <c r="AC44" s="269" t="s">
        <v>206</v>
      </c>
      <c r="AD44" s="278" t="s">
        <v>258</v>
      </c>
    </row>
    <row r="45" spans="1:30" s="4" customFormat="1" ht="17.25" customHeight="1">
      <c r="A45" s="163" t="s">
        <v>38</v>
      </c>
      <c r="B45" s="12" t="s">
        <v>39</v>
      </c>
      <c r="C45" s="7" t="s">
        <v>9</v>
      </c>
      <c r="D45" s="25">
        <f t="shared" si="31"/>
        <v>422232.40846603567</v>
      </c>
      <c r="E45" s="74">
        <f t="shared" si="4"/>
        <v>44401.665552482213</v>
      </c>
      <c r="F45" s="33">
        <f>SUM(F46:F67)</f>
        <v>18500.474236874688</v>
      </c>
      <c r="G45" s="33">
        <f t="shared" ref="G45:K45" si="35">SUM(G46:G67)</f>
        <v>25901.191315607528</v>
      </c>
      <c r="H45" s="33">
        <f t="shared" si="35"/>
        <v>131498.13799513964</v>
      </c>
      <c r="I45" s="33">
        <f t="shared" si="35"/>
        <v>109437.67208880799</v>
      </c>
      <c r="J45" s="33">
        <f t="shared" si="35"/>
        <v>123565.8293360911</v>
      </c>
      <c r="K45" s="33">
        <f t="shared" si="35"/>
        <v>13329.103493514727</v>
      </c>
      <c r="M45" s="100">
        <f>SUM(M46:M67)</f>
        <v>37360.467936003901</v>
      </c>
      <c r="N45" s="125">
        <f>SUM(N46:N67)</f>
        <v>14350.099081205322</v>
      </c>
      <c r="O45" s="125">
        <f>SUM(O46:O67)</f>
        <v>23010.368854798577</v>
      </c>
      <c r="P45" s="92">
        <f t="shared" si="7"/>
        <v>7041.1976164783118</v>
      </c>
      <c r="Q45" s="96">
        <f t="shared" si="8"/>
        <v>0.15857958319504262</v>
      </c>
      <c r="R45" s="141">
        <f>Q45</f>
        <v>0.15857958319504262</v>
      </c>
      <c r="V45" s="125">
        <f>SUM(V46:V67)</f>
        <v>42187.084885732198</v>
      </c>
      <c r="W45" s="125">
        <f>SUM(W46:W67)</f>
        <v>17538.339160122592</v>
      </c>
      <c r="X45" s="125">
        <f>SUM(X46:X67)</f>
        <v>24648.745725609602</v>
      </c>
      <c r="Y45" s="188"/>
      <c r="Z45" s="96">
        <f t="shared" si="20"/>
        <v>4.9876071971498681E-2</v>
      </c>
      <c r="AA45" s="141">
        <f t="shared" ref="AA45" si="36">Z45</f>
        <v>4.9876071971498681E-2</v>
      </c>
      <c r="AC45" s="269"/>
      <c r="AD45" s="275"/>
    </row>
    <row r="46" spans="1:30" s="4" customFormat="1" ht="16.5" customHeight="1" outlineLevel="1">
      <c r="A46" s="9"/>
      <c r="B46" s="18" t="s">
        <v>149</v>
      </c>
      <c r="C46" s="7" t="s">
        <v>9</v>
      </c>
      <c r="D46" s="28">
        <f t="shared" si="31"/>
        <v>5683.5645714285702</v>
      </c>
      <c r="E46" s="76">
        <f t="shared" si="4"/>
        <v>1267.1646442195829</v>
      </c>
      <c r="F46" s="29">
        <v>532.65218723137843</v>
      </c>
      <c r="G46" s="29">
        <v>734.51245698820458</v>
      </c>
      <c r="H46" s="29">
        <v>1674.1674187954598</v>
      </c>
      <c r="I46" s="29">
        <v>828.63306870215274</v>
      </c>
      <c r="J46" s="29">
        <v>1534.7621985081987</v>
      </c>
      <c r="K46" s="29">
        <v>378.83724120317623</v>
      </c>
      <c r="M46" s="93">
        <f>N46+O46</f>
        <v>1089.3969933487249</v>
      </c>
      <c r="N46" s="126">
        <f>'Проект ТС-6 усл.свод'!N47</f>
        <v>415.22709318629421</v>
      </c>
      <c r="O46" s="126">
        <f>'Проект ТС-6 усл.свод'!O47</f>
        <v>674.16990016243074</v>
      </c>
      <c r="P46" s="92">
        <f t="shared" si="7"/>
        <v>177.76765087085801</v>
      </c>
      <c r="Q46" s="96">
        <f t="shared" si="8"/>
        <v>0.14028772952416213</v>
      </c>
      <c r="R46" s="141"/>
      <c r="V46" s="187">
        <f>W46+X46</f>
        <v>1267.1646442195829</v>
      </c>
      <c r="W46" s="126">
        <v>532.65218723137843</v>
      </c>
      <c r="X46" s="126">
        <v>734.51245698820458</v>
      </c>
      <c r="Y46" s="188"/>
      <c r="Z46" s="96">
        <f t="shared" si="20"/>
        <v>0</v>
      </c>
      <c r="AA46" s="141"/>
      <c r="AC46" s="269" t="s">
        <v>206</v>
      </c>
      <c r="AD46" s="275"/>
    </row>
    <row r="47" spans="1:30" s="4" customFormat="1" ht="16.5" hidden="1" customHeight="1" outlineLevel="1">
      <c r="A47" s="9"/>
      <c r="B47" s="18" t="s">
        <v>84</v>
      </c>
      <c r="C47" s="7" t="s">
        <v>9</v>
      </c>
      <c r="D47" s="28">
        <f t="shared" si="31"/>
        <v>0</v>
      </c>
      <c r="E47" s="76">
        <f t="shared" si="4"/>
        <v>0</v>
      </c>
      <c r="F47" s="29">
        <v>0</v>
      </c>
      <c r="G47" s="29">
        <v>0</v>
      </c>
      <c r="H47" s="29"/>
      <c r="I47" s="29"/>
      <c r="J47" s="29"/>
      <c r="K47" s="29">
        <v>0</v>
      </c>
      <c r="M47" s="93">
        <v>0</v>
      </c>
      <c r="N47" s="126">
        <f>'Проект ТС-6 усл.свод'!N48</f>
        <v>0</v>
      </c>
      <c r="O47" s="126">
        <f>'Проект ТС-6 усл.свод'!O48</f>
        <v>0</v>
      </c>
      <c r="P47" s="92">
        <f t="shared" si="7"/>
        <v>0</v>
      </c>
      <c r="Q47" s="96" t="e">
        <f t="shared" si="8"/>
        <v>#DIV/0!</v>
      </c>
      <c r="R47" s="141" t="e">
        <f>Q47</f>
        <v>#DIV/0!</v>
      </c>
      <c r="V47" s="187">
        <v>0</v>
      </c>
      <c r="W47" s="126">
        <v>0</v>
      </c>
      <c r="X47" s="126">
        <v>0</v>
      </c>
      <c r="Y47" s="188" t="e">
        <f>Q47-V47</f>
        <v>#DIV/0!</v>
      </c>
      <c r="Z47" s="96" t="e">
        <f t="shared" si="20"/>
        <v>#DIV/0!</v>
      </c>
      <c r="AA47" s="141" t="e">
        <f t="shared" ref="AA47" si="37">Z47</f>
        <v>#DIV/0!</v>
      </c>
      <c r="AC47" s="269"/>
      <c r="AD47" s="275"/>
    </row>
    <row r="48" spans="1:30" s="4" customFormat="1" ht="54" customHeight="1" outlineLevel="1">
      <c r="A48" s="9"/>
      <c r="B48" s="18" t="s">
        <v>85</v>
      </c>
      <c r="C48" s="7" t="s">
        <v>9</v>
      </c>
      <c r="D48" s="28">
        <f t="shared" si="31"/>
        <v>11224.196428571428</v>
      </c>
      <c r="E48" s="76">
        <f t="shared" si="4"/>
        <v>6745.1687572289829</v>
      </c>
      <c r="F48" s="29">
        <v>2688.4027686458444</v>
      </c>
      <c r="G48" s="29">
        <v>4056.7659885831386</v>
      </c>
      <c r="H48" s="29">
        <v>631.20627321435245</v>
      </c>
      <c r="I48" s="29">
        <v>983.48565211288519</v>
      </c>
      <c r="J48" s="29">
        <v>578.64674507142752</v>
      </c>
      <c r="K48" s="29">
        <v>2285.6890009437789</v>
      </c>
      <c r="M48" s="93">
        <f>N48+O48</f>
        <v>6678.1455580288712</v>
      </c>
      <c r="N48" s="126">
        <f>'Проект ТС-6 усл.свод'!N49</f>
        <v>2644.130340953177</v>
      </c>
      <c r="O48" s="126">
        <f>'Проект ТС-6 усл.свод'!O49</f>
        <v>4034.0152170756946</v>
      </c>
      <c r="P48" s="92">
        <f t="shared" si="7"/>
        <v>67.023199200111776</v>
      </c>
      <c r="Q48" s="96">
        <f t="shared" si="8"/>
        <v>9.9364747736342407E-3</v>
      </c>
      <c r="R48" s="141"/>
      <c r="V48" s="187">
        <f>W48+X48</f>
        <v>6745.1687572289829</v>
      </c>
      <c r="W48" s="126">
        <v>2688.4027686458444</v>
      </c>
      <c r="X48" s="126">
        <v>4056.7659885831386</v>
      </c>
      <c r="Y48" s="188"/>
      <c r="Z48" s="96">
        <f t="shared" si="20"/>
        <v>0</v>
      </c>
      <c r="AA48" s="141"/>
      <c r="AC48" s="269" t="s">
        <v>207</v>
      </c>
      <c r="AD48" s="278" t="s">
        <v>223</v>
      </c>
    </row>
    <row r="49" spans="1:30" s="4" customFormat="1" ht="16.5" hidden="1" customHeight="1" outlineLevel="1">
      <c r="A49" s="9"/>
      <c r="B49" s="18" t="s">
        <v>86</v>
      </c>
      <c r="C49" s="7" t="s">
        <v>9</v>
      </c>
      <c r="D49" s="28">
        <f t="shared" si="31"/>
        <v>39095.405430428575</v>
      </c>
      <c r="E49" s="76">
        <f t="shared" si="4"/>
        <v>0</v>
      </c>
      <c r="F49" s="29">
        <v>0</v>
      </c>
      <c r="G49" s="29">
        <v>0</v>
      </c>
      <c r="H49" s="29">
        <v>0</v>
      </c>
      <c r="I49" s="29">
        <v>39095.405430428575</v>
      </c>
      <c r="J49" s="29">
        <v>0</v>
      </c>
      <c r="K49" s="29">
        <v>0</v>
      </c>
      <c r="M49" s="93">
        <v>0</v>
      </c>
      <c r="N49" s="126">
        <f>'Проект ТС-6 усл.свод'!N50</f>
        <v>0</v>
      </c>
      <c r="O49" s="126">
        <f>'Проект ТС-6 усл.свод'!O50</f>
        <v>0</v>
      </c>
      <c r="P49" s="92">
        <f t="shared" si="7"/>
        <v>0</v>
      </c>
      <c r="Q49" s="96" t="e">
        <f t="shared" si="8"/>
        <v>#DIV/0!</v>
      </c>
      <c r="R49" s="141" t="e">
        <f>Q49</f>
        <v>#DIV/0!</v>
      </c>
      <c r="V49" s="187">
        <v>0</v>
      </c>
      <c r="W49" s="126">
        <v>0</v>
      </c>
      <c r="X49" s="126">
        <v>0</v>
      </c>
      <c r="Y49" s="188"/>
      <c r="Z49" s="96" t="e">
        <f t="shared" si="20"/>
        <v>#DIV/0!</v>
      </c>
      <c r="AA49" s="141" t="e">
        <f t="shared" ref="AA49:AA52" si="38">Z49</f>
        <v>#DIV/0!</v>
      </c>
      <c r="AC49" s="269"/>
      <c r="AD49" s="275"/>
    </row>
    <row r="50" spans="1:30" s="4" customFormat="1" ht="16.5" hidden="1" customHeight="1" outlineLevel="1">
      <c r="A50" s="9"/>
      <c r="B50" s="18" t="s">
        <v>87</v>
      </c>
      <c r="C50" s="7" t="s">
        <v>9</v>
      </c>
      <c r="D50" s="28">
        <f t="shared" si="31"/>
        <v>1442.808</v>
      </c>
      <c r="E50" s="76">
        <f t="shared" si="4"/>
        <v>0</v>
      </c>
      <c r="F50" s="29">
        <v>0</v>
      </c>
      <c r="G50" s="29">
        <v>0</v>
      </c>
      <c r="H50" s="29">
        <v>0</v>
      </c>
      <c r="I50" s="29">
        <v>1442.808</v>
      </c>
      <c r="J50" s="29">
        <v>0</v>
      </c>
      <c r="K50" s="29">
        <v>0</v>
      </c>
      <c r="M50" s="93">
        <v>0</v>
      </c>
      <c r="N50" s="126">
        <f>'Проект ТС-6 усл.свод'!N51</f>
        <v>0</v>
      </c>
      <c r="O50" s="126">
        <f>'Проект ТС-6 усл.свод'!O51</f>
        <v>0</v>
      </c>
      <c r="P50" s="92">
        <f t="shared" si="7"/>
        <v>0</v>
      </c>
      <c r="Q50" s="96" t="e">
        <f t="shared" si="8"/>
        <v>#DIV/0!</v>
      </c>
      <c r="R50" s="141" t="e">
        <f>Q50</f>
        <v>#DIV/0!</v>
      </c>
      <c r="V50" s="187">
        <v>0</v>
      </c>
      <c r="W50" s="126">
        <v>0</v>
      </c>
      <c r="X50" s="126">
        <v>0</v>
      </c>
      <c r="Y50" s="188"/>
      <c r="Z50" s="96" t="e">
        <f t="shared" si="20"/>
        <v>#DIV/0!</v>
      </c>
      <c r="AA50" s="141" t="e">
        <f t="shared" si="38"/>
        <v>#DIV/0!</v>
      </c>
      <c r="AC50" s="269"/>
      <c r="AD50" s="275"/>
    </row>
    <row r="51" spans="1:30" s="4" customFormat="1" ht="16.5" hidden="1" customHeight="1" outlineLevel="1">
      <c r="A51" s="9"/>
      <c r="B51" s="18" t="s">
        <v>124</v>
      </c>
      <c r="C51" s="7" t="s">
        <v>9</v>
      </c>
      <c r="D51" s="28">
        <f t="shared" si="31"/>
        <v>2223.2142857142853</v>
      </c>
      <c r="E51" s="76">
        <f t="shared" si="4"/>
        <v>0</v>
      </c>
      <c r="F51" s="29">
        <v>0</v>
      </c>
      <c r="G51" s="29">
        <v>0</v>
      </c>
      <c r="H51" s="29">
        <v>2223.2142857142853</v>
      </c>
      <c r="I51" s="50">
        <v>0</v>
      </c>
      <c r="J51" s="30">
        <v>0</v>
      </c>
      <c r="K51" s="30">
        <v>0</v>
      </c>
      <c r="M51" s="93">
        <v>0</v>
      </c>
      <c r="N51" s="126">
        <f>'Проект ТС-6 усл.свод'!N52</f>
        <v>0</v>
      </c>
      <c r="O51" s="126">
        <f>'Проект ТС-6 усл.свод'!O52</f>
        <v>0</v>
      </c>
      <c r="P51" s="92">
        <f t="shared" si="7"/>
        <v>0</v>
      </c>
      <c r="Q51" s="96" t="e">
        <f t="shared" si="8"/>
        <v>#DIV/0!</v>
      </c>
      <c r="R51" s="141" t="e">
        <f>Q51</f>
        <v>#DIV/0!</v>
      </c>
      <c r="V51" s="187">
        <v>0</v>
      </c>
      <c r="W51" s="126">
        <v>0</v>
      </c>
      <c r="X51" s="126">
        <v>0</v>
      </c>
      <c r="Y51" s="188"/>
      <c r="Z51" s="96" t="e">
        <f t="shared" si="20"/>
        <v>#DIV/0!</v>
      </c>
      <c r="AA51" s="141" t="e">
        <f t="shared" si="38"/>
        <v>#DIV/0!</v>
      </c>
      <c r="AC51" s="269"/>
      <c r="AD51" s="275"/>
    </row>
    <row r="52" spans="1:30" s="4" customFormat="1" ht="16.5" hidden="1" customHeight="1" outlineLevel="1">
      <c r="A52" s="9"/>
      <c r="B52" s="18" t="s">
        <v>150</v>
      </c>
      <c r="C52" s="7" t="s">
        <v>9</v>
      </c>
      <c r="D52" s="28">
        <f t="shared" si="31"/>
        <v>4560</v>
      </c>
      <c r="E52" s="76">
        <f t="shared" si="4"/>
        <v>0</v>
      </c>
      <c r="F52" s="29">
        <v>0</v>
      </c>
      <c r="G52" s="29">
        <v>0</v>
      </c>
      <c r="H52" s="29">
        <v>0</v>
      </c>
      <c r="I52" s="29">
        <v>4560</v>
      </c>
      <c r="J52" s="30">
        <v>0</v>
      </c>
      <c r="K52" s="30">
        <v>0</v>
      </c>
      <c r="M52" s="93">
        <v>0</v>
      </c>
      <c r="N52" s="126">
        <f>'Проект ТС-6 усл.свод'!N53</f>
        <v>0</v>
      </c>
      <c r="O52" s="126">
        <f>'Проект ТС-6 усл.свод'!O53</f>
        <v>0</v>
      </c>
      <c r="P52" s="92">
        <f t="shared" si="7"/>
        <v>0</v>
      </c>
      <c r="Q52" s="96" t="e">
        <f t="shared" si="8"/>
        <v>#DIV/0!</v>
      </c>
      <c r="R52" s="141" t="e">
        <f>Q52</f>
        <v>#DIV/0!</v>
      </c>
      <c r="V52" s="187">
        <v>0</v>
      </c>
      <c r="W52" s="126">
        <v>0</v>
      </c>
      <c r="X52" s="126">
        <v>0</v>
      </c>
      <c r="Y52" s="188"/>
      <c r="Z52" s="96" t="e">
        <f t="shared" si="20"/>
        <v>#DIV/0!</v>
      </c>
      <c r="AA52" s="141" t="e">
        <f t="shared" si="38"/>
        <v>#DIV/0!</v>
      </c>
      <c r="AC52" s="269"/>
      <c r="AD52" s="275"/>
    </row>
    <row r="53" spans="1:30" s="4" customFormat="1" ht="16.5" customHeight="1" outlineLevel="1">
      <c r="A53" s="9"/>
      <c r="B53" s="18" t="s">
        <v>123</v>
      </c>
      <c r="C53" s="7" t="s">
        <v>9</v>
      </c>
      <c r="D53" s="28">
        <f t="shared" si="31"/>
        <v>22552.37260714285</v>
      </c>
      <c r="E53" s="76">
        <f t="shared" si="4"/>
        <v>5028.1067192757582</v>
      </c>
      <c r="F53" s="29">
        <v>2113.5627906541563</v>
      </c>
      <c r="G53" s="29">
        <v>2914.5439286216024</v>
      </c>
      <c r="H53" s="29">
        <v>6643.0928972315087</v>
      </c>
      <c r="I53" s="29">
        <v>3288.0143236014983</v>
      </c>
      <c r="J53" s="30">
        <v>6089.9332679552444</v>
      </c>
      <c r="K53" s="30">
        <v>1503.225399078842</v>
      </c>
      <c r="M53" s="93">
        <f t="shared" ref="M53:M63" si="39">N53+O53</f>
        <v>4322.7250438233787</v>
      </c>
      <c r="N53" s="126">
        <f>'Проект ТС-6 усл.свод'!N54</f>
        <v>1647.6202573984995</v>
      </c>
      <c r="O53" s="126">
        <f>'Проект ТС-6 усл.свод'!O54</f>
        <v>2675.104786424879</v>
      </c>
      <c r="P53" s="92">
        <f t="shared" si="7"/>
        <v>705.38167545237957</v>
      </c>
      <c r="Q53" s="96">
        <f t="shared" si="8"/>
        <v>0.14028772952416213</v>
      </c>
      <c r="R53" s="141"/>
      <c r="V53" s="187">
        <f t="shared" ref="V53:V63" si="40">W53+X53</f>
        <v>5028.1067192757582</v>
      </c>
      <c r="W53" s="126">
        <v>2113.5627906541563</v>
      </c>
      <c r="X53" s="126">
        <v>2914.5439286216024</v>
      </c>
      <c r="Y53" s="188"/>
      <c r="Z53" s="96">
        <f t="shared" si="20"/>
        <v>0</v>
      </c>
      <c r="AA53" s="141"/>
      <c r="AC53" s="269" t="s">
        <v>206</v>
      </c>
      <c r="AD53" s="275"/>
    </row>
    <row r="54" spans="1:30" s="4" customFormat="1" ht="16.5" customHeight="1" outlineLevel="1">
      <c r="A54" s="9"/>
      <c r="B54" s="18" t="s">
        <v>125</v>
      </c>
      <c r="C54" s="7" t="s">
        <v>9</v>
      </c>
      <c r="D54" s="28">
        <f t="shared" si="31"/>
        <v>719.99999999999989</v>
      </c>
      <c r="E54" s="76">
        <f t="shared" si="4"/>
        <v>160.52576378291721</v>
      </c>
      <c r="F54" s="29">
        <v>67.476945143634893</v>
      </c>
      <c r="G54" s="29">
        <v>93.048818639282317</v>
      </c>
      <c r="H54" s="29">
        <v>212.08530780002241</v>
      </c>
      <c r="I54" s="29">
        <v>104.97211775595079</v>
      </c>
      <c r="J54" s="30">
        <v>194.42530634399967</v>
      </c>
      <c r="K54" s="30">
        <v>47.99150431710985</v>
      </c>
      <c r="M54" s="93">
        <f t="shared" si="39"/>
        <v>138.00596885167974</v>
      </c>
      <c r="N54" s="126">
        <f>'Проект ТС-6 усл.свод'!N55</f>
        <v>52.601409438898479</v>
      </c>
      <c r="O54" s="126">
        <f>'Проект ТС-6 усл.свод'!O55</f>
        <v>85.404559412781268</v>
      </c>
      <c r="P54" s="92">
        <f t="shared" si="7"/>
        <v>22.51979493123747</v>
      </c>
      <c r="Q54" s="96">
        <f t="shared" si="8"/>
        <v>0.14028772952416235</v>
      </c>
      <c r="R54" s="141"/>
      <c r="V54" s="187">
        <f t="shared" si="40"/>
        <v>160.52576378291721</v>
      </c>
      <c r="W54" s="126">
        <v>67.476945143634893</v>
      </c>
      <c r="X54" s="126">
        <v>93.048818639282317</v>
      </c>
      <c r="Y54" s="188"/>
      <c r="Z54" s="96">
        <f t="shared" si="20"/>
        <v>0</v>
      </c>
      <c r="AA54" s="141"/>
      <c r="AC54" s="269" t="s">
        <v>206</v>
      </c>
      <c r="AD54" s="278" t="s">
        <v>259</v>
      </c>
    </row>
    <row r="55" spans="1:30" s="4" customFormat="1" ht="16.5" customHeight="1" outlineLevel="1">
      <c r="A55" s="9"/>
      <c r="B55" s="18" t="s">
        <v>151</v>
      </c>
      <c r="C55" s="7" t="s">
        <v>9</v>
      </c>
      <c r="D55" s="28">
        <f t="shared" si="31"/>
        <v>1347.9985937499998</v>
      </c>
      <c r="E55" s="76">
        <f t="shared" si="4"/>
        <v>351.65104188119449</v>
      </c>
      <c r="F55" s="29">
        <v>143.68574828732955</v>
      </c>
      <c r="G55" s="29">
        <v>207.96529359386497</v>
      </c>
      <c r="H55" s="29">
        <v>563.45530331532257</v>
      </c>
      <c r="I55" s="29">
        <v>145.04426163143057</v>
      </c>
      <c r="J55" s="30">
        <v>235.39429960499737</v>
      </c>
      <c r="K55" s="30">
        <v>52.453687317054701</v>
      </c>
      <c r="M55" s="93">
        <f t="shared" si="39"/>
        <v>327.03738789022793</v>
      </c>
      <c r="N55" s="126">
        <f>'Проект ТС-6 усл.свод'!N56</f>
        <v>127.42710606236093</v>
      </c>
      <c r="O55" s="126">
        <f>'Проект ТС-6 усл.свод'!O56</f>
        <v>199.61028182786703</v>
      </c>
      <c r="P55" s="92">
        <f t="shared" si="7"/>
        <v>24.613653990966554</v>
      </c>
      <c r="Q55" s="96">
        <f t="shared" si="8"/>
        <v>6.9994543054083369E-2</v>
      </c>
      <c r="R55" s="141"/>
      <c r="V55" s="187">
        <f t="shared" si="40"/>
        <v>351.65104188119449</v>
      </c>
      <c r="W55" s="126">
        <v>143.68574828732955</v>
      </c>
      <c r="X55" s="126">
        <v>207.96529359386497</v>
      </c>
      <c r="Y55" s="188"/>
      <c r="Z55" s="96">
        <f t="shared" si="20"/>
        <v>0</v>
      </c>
      <c r="AA55" s="141"/>
      <c r="AC55" s="269" t="s">
        <v>207</v>
      </c>
      <c r="AD55" s="278" t="s">
        <v>224</v>
      </c>
    </row>
    <row r="56" spans="1:30" s="4" customFormat="1" ht="16.5" customHeight="1" outlineLevel="1">
      <c r="A56" s="9"/>
      <c r="B56" s="18" t="s">
        <v>88</v>
      </c>
      <c r="C56" s="7" t="s">
        <v>9</v>
      </c>
      <c r="D56" s="28">
        <f t="shared" si="31"/>
        <v>56063.999999999993</v>
      </c>
      <c r="E56" s="76">
        <f t="shared" si="4"/>
        <v>12499.606139896485</v>
      </c>
      <c r="F56" s="29">
        <v>5254.2047951843697</v>
      </c>
      <c r="G56" s="29">
        <v>7245.401344712116</v>
      </c>
      <c r="H56" s="29">
        <v>16514.375967361746</v>
      </c>
      <c r="I56" s="29">
        <v>8173.8289025967015</v>
      </c>
      <c r="J56" s="30">
        <v>15139.250520652775</v>
      </c>
      <c r="K56" s="30">
        <v>3736.9384694922874</v>
      </c>
      <c r="M56" s="93">
        <f t="shared" si="39"/>
        <v>10746.064774584131</v>
      </c>
      <c r="N56" s="126">
        <f>'Проект ТС-6 усл.свод'!N57</f>
        <v>4095.8964149755616</v>
      </c>
      <c r="O56" s="126">
        <f>'Проект ТС-6 усл.свод'!O57</f>
        <v>6650.1683596085686</v>
      </c>
      <c r="P56" s="92">
        <f t="shared" si="7"/>
        <v>1753.5413653123542</v>
      </c>
      <c r="Q56" s="96">
        <f t="shared" si="8"/>
        <v>0.14028772952416213</v>
      </c>
      <c r="R56" s="141"/>
      <c r="V56" s="187">
        <f t="shared" si="40"/>
        <v>12499.606139896485</v>
      </c>
      <c r="W56" s="126">
        <v>5254.2047951843697</v>
      </c>
      <c r="X56" s="126">
        <v>7245.401344712116</v>
      </c>
      <c r="Y56" s="188"/>
      <c r="Z56" s="96">
        <f t="shared" si="20"/>
        <v>0</v>
      </c>
      <c r="AA56" s="141"/>
      <c r="AC56" s="269" t="s">
        <v>206</v>
      </c>
      <c r="AD56" s="278" t="s">
        <v>225</v>
      </c>
    </row>
    <row r="57" spans="1:30" s="4" customFormat="1" ht="16.5" customHeight="1" outlineLevel="1">
      <c r="A57" s="9"/>
      <c r="B57" s="18" t="s">
        <v>40</v>
      </c>
      <c r="C57" s="7" t="s">
        <v>9</v>
      </c>
      <c r="D57" s="28">
        <f t="shared" si="31"/>
        <v>599.3850000000001</v>
      </c>
      <c r="E57" s="76">
        <f t="shared" si="4"/>
        <v>541.41432781302763</v>
      </c>
      <c r="F57" s="29">
        <v>214.89098405029395</v>
      </c>
      <c r="G57" s="29">
        <v>326.52334376273365</v>
      </c>
      <c r="H57" s="29">
        <v>0</v>
      </c>
      <c r="I57" s="29">
        <v>57.970672186972457</v>
      </c>
      <c r="J57" s="30">
        <v>0</v>
      </c>
      <c r="K57" s="30">
        <v>0</v>
      </c>
      <c r="M57" s="93">
        <f t="shared" si="39"/>
        <v>541.41432781302763</v>
      </c>
      <c r="N57" s="126">
        <f>'Проект ТС-6 усл.свод'!N58</f>
        <v>214.89098405029398</v>
      </c>
      <c r="O57" s="126">
        <f>'Проект ТС-6 усл.свод'!O58</f>
        <v>326.52334376273365</v>
      </c>
      <c r="P57" s="92">
        <f t="shared" si="7"/>
        <v>0</v>
      </c>
      <c r="Q57" s="96">
        <f t="shared" si="8"/>
        <v>0</v>
      </c>
      <c r="R57" s="141"/>
      <c r="V57" s="187">
        <f t="shared" si="40"/>
        <v>541.41432781302763</v>
      </c>
      <c r="W57" s="126">
        <v>214.89098405029395</v>
      </c>
      <c r="X57" s="126">
        <v>326.52334376273365</v>
      </c>
      <c r="Y57" s="188"/>
      <c r="Z57" s="96">
        <f t="shared" si="20"/>
        <v>0</v>
      </c>
      <c r="AA57" s="141"/>
      <c r="AC57" s="269" t="s">
        <v>208</v>
      </c>
      <c r="AD57" s="278" t="s">
        <v>226</v>
      </c>
    </row>
    <row r="58" spans="1:30" s="4" customFormat="1" ht="16.5" customHeight="1" outlineLevel="1">
      <c r="A58" s="63"/>
      <c r="B58" s="18" t="s">
        <v>166</v>
      </c>
      <c r="C58" s="7" t="s">
        <v>9</v>
      </c>
      <c r="D58" s="28">
        <f t="shared" ref="D58" si="41">SUM(F58:K58)</f>
        <v>1974.2999999999995</v>
      </c>
      <c r="E58" s="76">
        <f t="shared" si="4"/>
        <v>440.17502143974076</v>
      </c>
      <c r="F58" s="58">
        <v>185.0274066626088</v>
      </c>
      <c r="G58" s="58">
        <v>255.14761477713196</v>
      </c>
      <c r="H58" s="58">
        <v>581.55558776331134</v>
      </c>
      <c r="I58" s="58">
        <v>287.84229456329666</v>
      </c>
      <c r="J58" s="64">
        <v>533.13039210410898</v>
      </c>
      <c r="K58" s="64">
        <v>131.59670412954162</v>
      </c>
      <c r="M58" s="93">
        <f t="shared" si="39"/>
        <v>378.42386708871015</v>
      </c>
      <c r="N58" s="126">
        <f>'Проект ТС-6 усл.свод'!N59</f>
        <v>144.23744813224619</v>
      </c>
      <c r="O58" s="126">
        <f>'Проект ТС-6 усл.свод'!O59</f>
        <v>234.18641895646394</v>
      </c>
      <c r="P58" s="92">
        <f t="shared" si="7"/>
        <v>61.751154351030607</v>
      </c>
      <c r="Q58" s="96">
        <f t="shared" si="8"/>
        <v>0.14028772952416213</v>
      </c>
      <c r="R58" s="141"/>
      <c r="V58" s="187">
        <f t="shared" si="40"/>
        <v>440.17502143974076</v>
      </c>
      <c r="W58" s="126">
        <v>185.0274066626088</v>
      </c>
      <c r="X58" s="126">
        <v>255.14761477713196</v>
      </c>
      <c r="Y58" s="188"/>
      <c r="Z58" s="96">
        <f t="shared" si="20"/>
        <v>0</v>
      </c>
      <c r="AA58" s="141"/>
      <c r="AC58" s="269" t="s">
        <v>206</v>
      </c>
      <c r="AD58" s="283" t="s">
        <v>260</v>
      </c>
    </row>
    <row r="59" spans="1:30" s="4" customFormat="1" ht="16.5" customHeight="1" outlineLevel="1">
      <c r="A59" s="9"/>
      <c r="B59" s="18" t="s">
        <v>115</v>
      </c>
      <c r="C59" s="7" t="s">
        <v>9</v>
      </c>
      <c r="D59" s="28">
        <f t="shared" si="31"/>
        <v>9240</v>
      </c>
      <c r="E59" s="76">
        <f t="shared" si="4"/>
        <v>2060.0806352141039</v>
      </c>
      <c r="F59" s="29">
        <v>865.95412934331443</v>
      </c>
      <c r="G59" s="29">
        <v>1194.1265058707895</v>
      </c>
      <c r="H59" s="29">
        <v>2721.7614501002877</v>
      </c>
      <c r="I59" s="29">
        <v>1347.1421778680351</v>
      </c>
      <c r="J59" s="30">
        <v>2495.1247647479959</v>
      </c>
      <c r="K59" s="30">
        <v>615.89097206957649</v>
      </c>
      <c r="M59" s="93">
        <f t="shared" si="39"/>
        <v>1771.0766002632236</v>
      </c>
      <c r="N59" s="126">
        <f>'Проект ТС-6 усл.свод'!N60</f>
        <v>675.05142113253055</v>
      </c>
      <c r="O59" s="126">
        <f>'Проект ТС-6 усл.свод'!O60</f>
        <v>1096.025179130693</v>
      </c>
      <c r="P59" s="92">
        <f t="shared" si="7"/>
        <v>289.0040349508804</v>
      </c>
      <c r="Q59" s="96">
        <f t="shared" si="8"/>
        <v>0.14028772952416213</v>
      </c>
      <c r="R59" s="141"/>
      <c r="V59" s="187">
        <f t="shared" si="40"/>
        <v>2060.0806352141039</v>
      </c>
      <c r="W59" s="126">
        <v>865.95412934331443</v>
      </c>
      <c r="X59" s="126">
        <v>1194.1265058707895</v>
      </c>
      <c r="Y59" s="188"/>
      <c r="Z59" s="96">
        <f t="shared" si="20"/>
        <v>0</v>
      </c>
      <c r="AA59" s="141"/>
      <c r="AC59" s="269" t="s">
        <v>206</v>
      </c>
      <c r="AD59" s="278" t="s">
        <v>227</v>
      </c>
    </row>
    <row r="60" spans="1:30" s="4" customFormat="1" ht="16.5" customHeight="1" outlineLevel="1">
      <c r="A60" s="9"/>
      <c r="B60" s="18" t="s">
        <v>116</v>
      </c>
      <c r="C60" s="7" t="s">
        <v>9</v>
      </c>
      <c r="D60" s="28">
        <f t="shared" si="31"/>
        <v>10183.257142857141</v>
      </c>
      <c r="E60" s="76">
        <f t="shared" si="4"/>
        <v>2270.3821259097081</v>
      </c>
      <c r="F60" s="29">
        <v>954.35428279458267</v>
      </c>
      <c r="G60" s="29">
        <v>1316.0278431151253</v>
      </c>
      <c r="H60" s="29">
        <v>2999.610035485603</v>
      </c>
      <c r="I60" s="29">
        <v>1484.6639832487874</v>
      </c>
      <c r="J60" s="30">
        <v>2749.8373466385033</v>
      </c>
      <c r="K60" s="30">
        <v>678.76365157453927</v>
      </c>
      <c r="M60" s="93">
        <f t="shared" si="39"/>
        <v>1951.8753723135942</v>
      </c>
      <c r="N60" s="126">
        <f>'Проект ТС-6 усл.свод'!N61</f>
        <v>743.96344221252218</v>
      </c>
      <c r="O60" s="126">
        <f>'Проект ТС-6 усл.свод'!O61</f>
        <v>1207.9119301010721</v>
      </c>
      <c r="P60" s="92">
        <f t="shared" si="7"/>
        <v>318.50675359611387</v>
      </c>
      <c r="Q60" s="96">
        <f t="shared" si="8"/>
        <v>0.14028772952416235</v>
      </c>
      <c r="R60" s="141"/>
      <c r="V60" s="187">
        <f t="shared" si="40"/>
        <v>2270.3821259097081</v>
      </c>
      <c r="W60" s="126">
        <v>954.35428279458267</v>
      </c>
      <c r="X60" s="126">
        <v>1316.0278431151253</v>
      </c>
      <c r="Y60" s="188"/>
      <c r="Z60" s="96">
        <f t="shared" si="20"/>
        <v>0</v>
      </c>
      <c r="AA60" s="141"/>
      <c r="AC60" s="269" t="s">
        <v>206</v>
      </c>
      <c r="AD60" s="278" t="s">
        <v>228</v>
      </c>
    </row>
    <row r="61" spans="1:30" s="4" customFormat="1" ht="35.25" customHeight="1" outlineLevel="1">
      <c r="A61" s="9"/>
      <c r="B61" s="18" t="s">
        <v>152</v>
      </c>
      <c r="C61" s="7" t="s">
        <v>9</v>
      </c>
      <c r="D61" s="28">
        <f t="shared" si="31"/>
        <v>375.28928571428565</v>
      </c>
      <c r="E61" s="76">
        <f t="shared" si="4"/>
        <v>83.67166559559881</v>
      </c>
      <c r="F61" s="29">
        <v>35.171353534912186</v>
      </c>
      <c r="G61" s="29">
        <v>48.500312060686625</v>
      </c>
      <c r="H61" s="29">
        <v>110.54631065939562</v>
      </c>
      <c r="I61" s="29">
        <v>54.715154295203689</v>
      </c>
      <c r="J61" s="29">
        <v>101.34129769808446</v>
      </c>
      <c r="K61" s="29">
        <v>25.014857466003075</v>
      </c>
      <c r="M61" s="93">
        <f t="shared" si="39"/>
        <v>71.933557603687291</v>
      </c>
      <c r="N61" s="126">
        <f>'Проект ТС-6 усл.свод'!N62</f>
        <v>27.417701910956797</v>
      </c>
      <c r="O61" s="126">
        <f>'Проект ТС-6 усл.свод'!O62</f>
        <v>44.515855692730497</v>
      </c>
      <c r="P61" s="92">
        <f t="shared" si="7"/>
        <v>11.738107991911519</v>
      </c>
      <c r="Q61" s="96">
        <f t="shared" si="8"/>
        <v>0.14028772952416224</v>
      </c>
      <c r="R61" s="141"/>
      <c r="V61" s="187">
        <f t="shared" si="40"/>
        <v>83.67166559559881</v>
      </c>
      <c r="W61" s="126">
        <v>35.171353534912186</v>
      </c>
      <c r="X61" s="126">
        <v>48.500312060686625</v>
      </c>
      <c r="Y61" s="188"/>
      <c r="Z61" s="96">
        <f t="shared" si="20"/>
        <v>0</v>
      </c>
      <c r="AA61" s="141"/>
      <c r="AC61" s="269" t="s">
        <v>206</v>
      </c>
      <c r="AD61" s="275"/>
    </row>
    <row r="62" spans="1:30" s="4" customFormat="1" ht="36.75" customHeight="1" outlineLevel="1">
      <c r="A62" s="63"/>
      <c r="B62" s="56" t="s">
        <v>126</v>
      </c>
      <c r="C62" s="162"/>
      <c r="D62" s="28">
        <f t="shared" si="31"/>
        <v>41712.393750000003</v>
      </c>
      <c r="E62" s="76">
        <f t="shared" si="4"/>
        <v>9299.880369350738</v>
      </c>
      <c r="F62" s="58">
        <v>3909.2012567756233</v>
      </c>
      <c r="G62" s="58">
        <v>5390.6791125751151</v>
      </c>
      <c r="H62" s="58">
        <v>12286.924816034003</v>
      </c>
      <c r="I62" s="58">
        <v>6081.4420952883138</v>
      </c>
      <c r="J62" s="58">
        <v>11263.812407201787</v>
      </c>
      <c r="K62" s="58">
        <v>2780.3340621251541</v>
      </c>
      <c r="M62" s="93">
        <f t="shared" si="39"/>
        <v>7995.2212674881957</v>
      </c>
      <c r="N62" s="126">
        <f>'Проект ТС-6 усл.свод'!N63</f>
        <v>3047.4037532226384</v>
      </c>
      <c r="O62" s="126">
        <f>'Проект ТС-6 усл.свод'!O63</f>
        <v>4947.8175142655573</v>
      </c>
      <c r="P62" s="92">
        <f t="shared" si="7"/>
        <v>1304.6591018625422</v>
      </c>
      <c r="Q62" s="96">
        <f t="shared" si="8"/>
        <v>0.14028772952416224</v>
      </c>
      <c r="R62" s="141"/>
      <c r="V62" s="187">
        <f t="shared" si="40"/>
        <v>9299.880369350738</v>
      </c>
      <c r="W62" s="126">
        <v>3909.2012567756233</v>
      </c>
      <c r="X62" s="126">
        <v>5390.6791125751151</v>
      </c>
      <c r="Y62" s="188"/>
      <c r="Z62" s="96">
        <f t="shared" si="20"/>
        <v>0</v>
      </c>
      <c r="AA62" s="141"/>
      <c r="AC62" s="269" t="s">
        <v>206</v>
      </c>
      <c r="AD62" s="278" t="s">
        <v>229</v>
      </c>
    </row>
    <row r="63" spans="1:30" s="4" customFormat="1" ht="38.25" customHeight="1" outlineLevel="1">
      <c r="A63" s="63"/>
      <c r="B63" s="56" t="s">
        <v>153</v>
      </c>
      <c r="C63" s="162"/>
      <c r="D63" s="28">
        <f t="shared" si="31"/>
        <v>13507.419798999999</v>
      </c>
      <c r="E63" s="76">
        <f t="shared" si="4"/>
        <v>3011.5123332930179</v>
      </c>
      <c r="F63" s="58">
        <v>1265.8880900127374</v>
      </c>
      <c r="G63" s="58">
        <v>1745.6242432802806</v>
      </c>
      <c r="H63" s="58">
        <v>3978.7851189653225</v>
      </c>
      <c r="I63" s="58">
        <v>1969.3089746106796</v>
      </c>
      <c r="J63" s="58">
        <v>3647.4781004688634</v>
      </c>
      <c r="K63" s="58">
        <v>900.33527166211616</v>
      </c>
      <c r="M63" s="93">
        <f t="shared" si="39"/>
        <v>796.93166654299353</v>
      </c>
      <c r="N63" s="126">
        <f>'Проект ТС-6 усл.свод'!N64</f>
        <v>303.7530132606397</v>
      </c>
      <c r="O63" s="126">
        <f>'Проект ТС-6 усл.свод'!O64</f>
        <v>493.17865328235376</v>
      </c>
      <c r="P63" s="92">
        <f t="shared" si="7"/>
        <v>2214.5806667500246</v>
      </c>
      <c r="Q63" s="96">
        <f t="shared" si="8"/>
        <v>0.7353716079018785</v>
      </c>
      <c r="R63" s="141">
        <f>Q63</f>
        <v>0.7353716079018785</v>
      </c>
      <c r="V63" s="187">
        <f t="shared" si="40"/>
        <v>796.93166654299353</v>
      </c>
      <c r="W63" s="126">
        <f>N63</f>
        <v>303.7530132606397</v>
      </c>
      <c r="X63" s="126">
        <f>O63</f>
        <v>493.17865328235376</v>
      </c>
      <c r="Y63" s="204">
        <f>V63-E63</f>
        <v>-2214.5806667500246</v>
      </c>
      <c r="Z63" s="96">
        <f t="shared" si="20"/>
        <v>0.7353716079018785</v>
      </c>
      <c r="AA63" s="141">
        <f>Z63</f>
        <v>0.7353716079018785</v>
      </c>
      <c r="AC63" s="269" t="s">
        <v>206</v>
      </c>
      <c r="AD63" s="278" t="s">
        <v>230</v>
      </c>
    </row>
    <row r="64" spans="1:30" s="4" customFormat="1" ht="16.5" hidden="1" customHeight="1" outlineLevel="1">
      <c r="A64" s="63"/>
      <c r="B64" s="56" t="s">
        <v>118</v>
      </c>
      <c r="C64" s="162"/>
      <c r="D64" s="28">
        <f t="shared" si="31"/>
        <v>0</v>
      </c>
      <c r="E64" s="76">
        <f t="shared" si="4"/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M64" s="93">
        <v>0</v>
      </c>
      <c r="N64" s="126">
        <f>'Проект ТС-6 усл.свод'!N65</f>
        <v>0</v>
      </c>
      <c r="O64" s="126">
        <f>'Проект ТС-6 усл.свод'!O65</f>
        <v>0</v>
      </c>
      <c r="P64" s="92">
        <f t="shared" si="7"/>
        <v>0</v>
      </c>
      <c r="Q64" s="96" t="e">
        <f t="shared" si="8"/>
        <v>#DIV/0!</v>
      </c>
      <c r="R64" s="141" t="e">
        <f>Q64</f>
        <v>#DIV/0!</v>
      </c>
      <c r="V64" s="187">
        <v>0</v>
      </c>
      <c r="W64" s="126">
        <v>0</v>
      </c>
      <c r="X64" s="126">
        <v>0</v>
      </c>
      <c r="Y64" s="188" t="e">
        <f>Q64-V64</f>
        <v>#DIV/0!</v>
      </c>
      <c r="Z64" s="96" t="e">
        <f t="shared" si="20"/>
        <v>#DIV/0!</v>
      </c>
      <c r="AA64" s="141" t="e">
        <f t="shared" ref="AA64" si="42">Z64</f>
        <v>#DIV/0!</v>
      </c>
      <c r="AC64" s="269"/>
      <c r="AD64" s="275"/>
    </row>
    <row r="65" spans="1:32" s="4" customFormat="1" ht="16.5" customHeight="1" outlineLevel="1">
      <c r="A65" s="63"/>
      <c r="B65" s="56" t="s">
        <v>93</v>
      </c>
      <c r="C65" s="162"/>
      <c r="D65" s="28">
        <f t="shared" si="31"/>
        <v>2880.9999999999995</v>
      </c>
      <c r="E65" s="76">
        <f t="shared" si="4"/>
        <v>642.32600758136732</v>
      </c>
      <c r="F65" s="58">
        <v>270.00149855390572</v>
      </c>
      <c r="G65" s="58">
        <v>372.3245090274616</v>
      </c>
      <c r="H65" s="58">
        <v>848.63579412758975</v>
      </c>
      <c r="I65" s="58">
        <v>420.03426563179755</v>
      </c>
      <c r="J65" s="58">
        <v>777.97126052369867</v>
      </c>
      <c r="K65" s="58">
        <v>192.03267213554651</v>
      </c>
      <c r="M65" s="93">
        <f>N65+O65</f>
        <v>552.2155503634574</v>
      </c>
      <c r="N65" s="126">
        <f>'Проект ТС-6 усл.свод'!N66</f>
        <v>210.47869526870346</v>
      </c>
      <c r="O65" s="126">
        <f>'Проект ТС-6 усл.свод'!O66</f>
        <v>341.73685509475393</v>
      </c>
      <c r="P65" s="92">
        <f t="shared" si="7"/>
        <v>90.110457217909925</v>
      </c>
      <c r="Q65" s="96">
        <f t="shared" si="8"/>
        <v>0.14028772952416235</v>
      </c>
      <c r="R65" s="141"/>
      <c r="V65" s="187">
        <f>W65+X65</f>
        <v>642.32600758136732</v>
      </c>
      <c r="W65" s="126">
        <v>270.00149855390572</v>
      </c>
      <c r="X65" s="126">
        <v>372.3245090274616</v>
      </c>
      <c r="Y65" s="188"/>
      <c r="Z65" s="96">
        <f t="shared" si="20"/>
        <v>0</v>
      </c>
      <c r="AA65" s="141"/>
      <c r="AC65" s="269" t="s">
        <v>206</v>
      </c>
      <c r="AD65" s="284" t="s">
        <v>265</v>
      </c>
    </row>
    <row r="66" spans="1:32" s="4" customFormat="1" ht="16.5" hidden="1" customHeight="1" outlineLevel="1">
      <c r="A66" s="63"/>
      <c r="B66" s="56" t="s">
        <v>154</v>
      </c>
      <c r="C66" s="162"/>
      <c r="D66" s="28">
        <f t="shared" si="31"/>
        <v>1284</v>
      </c>
      <c r="E66" s="70">
        <f t="shared" si="4"/>
        <v>0</v>
      </c>
      <c r="F66" s="58">
        <v>0</v>
      </c>
      <c r="G66" s="58">
        <v>0</v>
      </c>
      <c r="H66" s="58">
        <v>1284</v>
      </c>
      <c r="I66" s="58">
        <v>0</v>
      </c>
      <c r="J66" s="58">
        <v>0</v>
      </c>
      <c r="K66" s="58">
        <v>0</v>
      </c>
      <c r="M66" s="93">
        <v>0</v>
      </c>
      <c r="N66" s="126">
        <f>'Проект ТС-6 усл.свод'!N67</f>
        <v>0</v>
      </c>
      <c r="O66" s="126">
        <f>'Проект ТС-6 усл.свод'!O67</f>
        <v>0</v>
      </c>
      <c r="P66" s="92">
        <f t="shared" si="7"/>
        <v>0</v>
      </c>
      <c r="Q66" s="96" t="e">
        <f t="shared" si="8"/>
        <v>#DIV/0!</v>
      </c>
      <c r="R66" s="141" t="e">
        <f>Q66</f>
        <v>#DIV/0!</v>
      </c>
      <c r="V66" s="187">
        <v>0</v>
      </c>
      <c r="W66" s="126">
        <f>'Проект ТС-6 усл.свод'!AA67</f>
        <v>0</v>
      </c>
      <c r="X66" s="126">
        <f>'Проект ТС-6 усл.свод'!AB67</f>
        <v>0</v>
      </c>
      <c r="Y66" s="188"/>
      <c r="Z66" s="96" t="e">
        <f t="shared" si="20"/>
        <v>#DIV/0!</v>
      </c>
      <c r="AA66" s="141" t="e">
        <f t="shared" ref="AA66:AA67" si="43">Z66</f>
        <v>#DIV/0!</v>
      </c>
      <c r="AC66" s="269"/>
      <c r="AD66" s="275"/>
    </row>
    <row r="67" spans="1:32" s="4" customFormat="1" ht="16.5" hidden="1" customHeight="1" outlineLevel="1">
      <c r="A67" s="63"/>
      <c r="B67" s="56" t="s">
        <v>127</v>
      </c>
      <c r="C67" s="162"/>
      <c r="D67" s="28">
        <f t="shared" si="31"/>
        <v>195561.80357142852</v>
      </c>
      <c r="E67" s="70">
        <f t="shared" si="4"/>
        <v>0</v>
      </c>
      <c r="F67" s="58">
        <v>0</v>
      </c>
      <c r="G67" s="58">
        <v>0</v>
      </c>
      <c r="H67" s="58">
        <v>78224.721428571414</v>
      </c>
      <c r="I67" s="58">
        <v>39112.360714285707</v>
      </c>
      <c r="J67" s="58">
        <v>78224.721428571414</v>
      </c>
      <c r="K67" s="58">
        <v>0</v>
      </c>
      <c r="M67" s="93">
        <v>0</v>
      </c>
      <c r="N67" s="126">
        <f>'Проект ТС-6 усл.свод'!N68</f>
        <v>0</v>
      </c>
      <c r="O67" s="126">
        <f>'Проект ТС-6 усл.свод'!O68</f>
        <v>0</v>
      </c>
      <c r="P67" s="92">
        <f t="shared" si="7"/>
        <v>0</v>
      </c>
      <c r="Q67" s="96" t="e">
        <f t="shared" si="8"/>
        <v>#DIV/0!</v>
      </c>
      <c r="R67" s="141" t="e">
        <f>Q67</f>
        <v>#DIV/0!</v>
      </c>
      <c r="V67" s="187">
        <v>0</v>
      </c>
      <c r="W67" s="126">
        <f>'Проект ТС-6 усл.свод'!AA68</f>
        <v>0</v>
      </c>
      <c r="X67" s="126">
        <f>'Проект ТС-6 усл.свод'!AB68</f>
        <v>0</v>
      </c>
      <c r="Y67" s="188"/>
      <c r="Z67" s="96" t="e">
        <f t="shared" si="20"/>
        <v>#DIV/0!</v>
      </c>
      <c r="AA67" s="141" t="e">
        <f t="shared" si="43"/>
        <v>#DIV/0!</v>
      </c>
      <c r="AC67" s="269"/>
      <c r="AD67" s="275"/>
    </row>
    <row r="68" spans="1:32" s="4" customFormat="1" ht="39" customHeight="1" collapsed="1">
      <c r="A68" s="16" t="s">
        <v>41</v>
      </c>
      <c r="B68" s="12" t="s">
        <v>108</v>
      </c>
      <c r="C68" s="7" t="s">
        <v>9</v>
      </c>
      <c r="D68" s="25">
        <f t="shared" si="31"/>
        <v>24630.262846479996</v>
      </c>
      <c r="E68" s="74">
        <f t="shared" si="4"/>
        <v>5491.3774383405689</v>
      </c>
      <c r="F68" s="33">
        <f t="shared" ref="F68:K68" si="44">F69</f>
        <v>2308.298465229499</v>
      </c>
      <c r="G68" s="33">
        <f t="shared" si="44"/>
        <v>3183.0789731110704</v>
      </c>
      <c r="H68" s="33">
        <f t="shared" si="44"/>
        <v>7255.1623291543983</v>
      </c>
      <c r="I68" s="33">
        <f>I69</f>
        <v>3590.9595165009973</v>
      </c>
      <c r="J68" s="33">
        <f t="shared" si="44"/>
        <v>6651.036665639037</v>
      </c>
      <c r="K68" s="33">
        <f t="shared" si="44"/>
        <v>1641.7268968449932</v>
      </c>
      <c r="M68" s="92">
        <f>M69</f>
        <v>4721.0045655555605</v>
      </c>
      <c r="N68" s="126">
        <f>'Проект ТС-6 усл.свод'!N69</f>
        <v>1799.4257507991438</v>
      </c>
      <c r="O68" s="126">
        <f>'Проект ТС-6 усл.свод'!O69</f>
        <v>2921.5788147564167</v>
      </c>
      <c r="P68" s="92">
        <f t="shared" si="7"/>
        <v>770.37287278500844</v>
      </c>
      <c r="Q68" s="96">
        <f t="shared" si="8"/>
        <v>0.14028772952416224</v>
      </c>
      <c r="R68" s="141"/>
      <c r="V68" s="118">
        <f>V69</f>
        <v>5491.3774383405689</v>
      </c>
      <c r="W68" s="125">
        <f t="shared" ref="W68:X68" si="45">W69</f>
        <v>2308.298465229499</v>
      </c>
      <c r="X68" s="125">
        <f t="shared" si="45"/>
        <v>3183.0789731110704</v>
      </c>
      <c r="Y68" s="188"/>
      <c r="Z68" s="96">
        <f t="shared" si="20"/>
        <v>0</v>
      </c>
      <c r="AA68" s="141"/>
      <c r="AC68" s="269"/>
      <c r="AD68" s="275"/>
    </row>
    <row r="69" spans="1:32" s="4" customFormat="1" ht="16.5" customHeight="1" outlineLevel="1">
      <c r="A69" s="163"/>
      <c r="B69" s="18" t="s">
        <v>168</v>
      </c>
      <c r="C69" s="7" t="s">
        <v>9</v>
      </c>
      <c r="D69" s="28">
        <f t="shared" si="31"/>
        <v>24630.262846479996</v>
      </c>
      <c r="E69" s="76">
        <f t="shared" si="4"/>
        <v>5491.3774383405689</v>
      </c>
      <c r="F69" s="29">
        <v>2308.298465229499</v>
      </c>
      <c r="G69" s="29">
        <v>3183.0789731110704</v>
      </c>
      <c r="H69" s="29">
        <v>7255.1623291543983</v>
      </c>
      <c r="I69" s="66">
        <v>3590.9595165009973</v>
      </c>
      <c r="J69" s="30">
        <v>6651.036665639037</v>
      </c>
      <c r="K69" s="30">
        <v>1641.7268968449932</v>
      </c>
      <c r="M69" s="93">
        <f>N69+O69</f>
        <v>4721.0045655555605</v>
      </c>
      <c r="N69" s="126">
        <f>'Проект ТС-6 усл.свод'!N70</f>
        <v>1799.4257507991438</v>
      </c>
      <c r="O69" s="126">
        <f>'Проект ТС-6 усл.свод'!O70</f>
        <v>2921.5788147564167</v>
      </c>
      <c r="P69" s="92">
        <f t="shared" si="7"/>
        <v>770.37287278500844</v>
      </c>
      <c r="Q69" s="96">
        <f t="shared" si="8"/>
        <v>0.14028772952416224</v>
      </c>
      <c r="R69" s="141"/>
      <c r="V69" s="187">
        <f>W69+X69</f>
        <v>5491.3774383405689</v>
      </c>
      <c r="W69" s="126">
        <v>2308.298465229499</v>
      </c>
      <c r="X69" s="126">
        <v>3183.0789731110704</v>
      </c>
      <c r="Y69" s="188"/>
      <c r="Z69" s="96">
        <f t="shared" si="20"/>
        <v>0</v>
      </c>
      <c r="AA69" s="141"/>
      <c r="AC69" s="269" t="s">
        <v>206</v>
      </c>
      <c r="AD69" s="278" t="s">
        <v>231</v>
      </c>
    </row>
    <row r="70" spans="1:32" s="4" customFormat="1" ht="16.5" customHeight="1" outlineLevel="1">
      <c r="A70" s="160" t="s">
        <v>43</v>
      </c>
      <c r="B70" s="65" t="s">
        <v>160</v>
      </c>
      <c r="C70" s="162"/>
      <c r="D70" s="25">
        <f t="shared" si="31"/>
        <v>5755.7888171200002</v>
      </c>
      <c r="E70" s="74">
        <f t="shared" si="4"/>
        <v>1356.7431421639915</v>
      </c>
      <c r="F70" s="58">
        <f>SUM(F71:F74)</f>
        <v>567.51610114249934</v>
      </c>
      <c r="G70" s="58">
        <f t="shared" ref="G70:K70" si="46">SUM(G71:G74)</f>
        <v>789.22704102149214</v>
      </c>
      <c r="H70" s="58">
        <f t="shared" si="46"/>
        <v>1635.2583214322565</v>
      </c>
      <c r="I70" s="58">
        <f t="shared" si="46"/>
        <v>822.11961822090677</v>
      </c>
      <c r="J70" s="58">
        <f t="shared" si="46"/>
        <v>1499.0929989163894</v>
      </c>
      <c r="K70" s="58">
        <f t="shared" si="46"/>
        <v>442.57473638645547</v>
      </c>
      <c r="M70" s="92">
        <f>SUM(M71:M74)</f>
        <v>1183.1069650980285</v>
      </c>
      <c r="N70" s="126">
        <f>'Проект ТС-6 усл.свод'!N71</f>
        <v>452.82006774319626</v>
      </c>
      <c r="O70" s="126">
        <f>'Проект ТС-6 усл.свод'!O71</f>
        <v>730.28689735483226</v>
      </c>
      <c r="P70" s="92">
        <f t="shared" si="7"/>
        <v>173.63617706596301</v>
      </c>
      <c r="Q70" s="96">
        <f t="shared" si="8"/>
        <v>0.12798013984357792</v>
      </c>
      <c r="R70" s="141"/>
      <c r="V70" s="118">
        <f>SUM(V71:V74)</f>
        <v>1356.7431421639915</v>
      </c>
      <c r="W70" s="127">
        <f t="shared" ref="W70:X70" si="47">SUM(W71:W74)</f>
        <v>567.51610114249934</v>
      </c>
      <c r="X70" s="127">
        <f t="shared" si="47"/>
        <v>789.22704102149214</v>
      </c>
      <c r="Y70" s="188"/>
      <c r="Z70" s="96">
        <f t="shared" si="20"/>
        <v>0</v>
      </c>
      <c r="AA70" s="141"/>
      <c r="AC70" s="269"/>
      <c r="AD70" s="275"/>
    </row>
    <row r="71" spans="1:32" s="4" customFormat="1" ht="57" customHeight="1" outlineLevel="1">
      <c r="A71" s="160"/>
      <c r="B71" s="56" t="s">
        <v>90</v>
      </c>
      <c r="C71" s="162"/>
      <c r="D71" s="25">
        <f t="shared" si="31"/>
        <v>228.50450973599993</v>
      </c>
      <c r="E71" s="76">
        <f t="shared" si="4"/>
        <v>88.62683963672572</v>
      </c>
      <c r="F71" s="58">
        <v>36.081415530352459</v>
      </c>
      <c r="G71" s="58">
        <v>52.545424106373261</v>
      </c>
      <c r="H71" s="58">
        <v>50.994118711623408</v>
      </c>
      <c r="I71" s="66">
        <v>30.596479318510326</v>
      </c>
      <c r="J71" s="64">
        <v>46.747920707445708</v>
      </c>
      <c r="K71" s="64">
        <v>11.539151361694788</v>
      </c>
      <c r="M71" s="93">
        <f>N71+O71</f>
        <v>83.212145389410139</v>
      </c>
      <c r="N71" s="126">
        <f>'Проект ТС-6 усл.свод'!N72</f>
        <v>32.504718768587239</v>
      </c>
      <c r="O71" s="126">
        <f>'Проект ТС-6 усл.свод'!O72</f>
        <v>50.707426620822901</v>
      </c>
      <c r="P71" s="92">
        <f t="shared" si="7"/>
        <v>5.4146942473155804</v>
      </c>
      <c r="Q71" s="96">
        <f t="shared" ref="Q71:Q130" si="48">100%-(M71/E71)</f>
        <v>6.109542289344827E-2</v>
      </c>
      <c r="R71" s="141"/>
      <c r="V71" s="187">
        <f>W71+X71</f>
        <v>88.62683963672572</v>
      </c>
      <c r="W71" s="126">
        <v>36.081415530352459</v>
      </c>
      <c r="X71" s="126">
        <v>52.545424106373261</v>
      </c>
      <c r="Y71" s="188"/>
      <c r="Z71" s="96">
        <f t="shared" si="20"/>
        <v>0</v>
      </c>
      <c r="AA71" s="141"/>
      <c r="AC71" s="269" t="s">
        <v>207</v>
      </c>
      <c r="AD71" s="278" t="s">
        <v>232</v>
      </c>
    </row>
    <row r="72" spans="1:32" s="4" customFormat="1" ht="57.75" customHeight="1" outlineLevel="1">
      <c r="A72" s="160"/>
      <c r="B72" s="56" t="s">
        <v>105</v>
      </c>
      <c r="C72" s="162"/>
      <c r="D72" s="25">
        <f t="shared" si="31"/>
        <v>148.92859858399999</v>
      </c>
      <c r="E72" s="76">
        <f t="shared" ref="E72:E131" si="49">F72+G72</f>
        <v>68.998721900414452</v>
      </c>
      <c r="F72" s="58">
        <v>27.386056270961983</v>
      </c>
      <c r="G72" s="58">
        <v>41.612665629452472</v>
      </c>
      <c r="H72" s="58">
        <v>0</v>
      </c>
      <c r="I72" s="66">
        <v>7.3878766835855387</v>
      </c>
      <c r="J72" s="64">
        <v>0</v>
      </c>
      <c r="K72" s="64">
        <v>72.542000000000002</v>
      </c>
      <c r="M72" s="93">
        <f>N72+O72</f>
        <v>68.998721900414452</v>
      </c>
      <c r="N72" s="126">
        <f>'Проект ТС-6 усл.свод'!N73</f>
        <v>27.386056270961983</v>
      </c>
      <c r="O72" s="126">
        <f>'Проект ТС-6 усл.свод'!O73</f>
        <v>41.612665629452472</v>
      </c>
      <c r="P72" s="92">
        <f t="shared" ref="P72:P131" si="50">E72-M72</f>
        <v>0</v>
      </c>
      <c r="Q72" s="96">
        <f t="shared" si="48"/>
        <v>0</v>
      </c>
      <c r="R72" s="141"/>
      <c r="V72" s="187">
        <f>W72+X72</f>
        <v>68.998721900414452</v>
      </c>
      <c r="W72" s="126">
        <v>27.386056270961983</v>
      </c>
      <c r="X72" s="126">
        <v>41.612665629452472</v>
      </c>
      <c r="Y72" s="188"/>
      <c r="Z72" s="96">
        <f t="shared" si="20"/>
        <v>0</v>
      </c>
      <c r="AA72" s="141"/>
      <c r="AC72" s="269" t="s">
        <v>207</v>
      </c>
      <c r="AD72" s="278" t="s">
        <v>232</v>
      </c>
    </row>
    <row r="73" spans="1:32" s="4" customFormat="1" ht="16.5" customHeight="1" outlineLevel="1">
      <c r="A73" s="160"/>
      <c r="B73" s="56" t="s">
        <v>91</v>
      </c>
      <c r="C73" s="162"/>
      <c r="D73" s="25">
        <f t="shared" si="31"/>
        <v>4257.4697087999994</v>
      </c>
      <c r="E73" s="76">
        <f t="shared" si="49"/>
        <v>949.21330109410292</v>
      </c>
      <c r="F73" s="58">
        <v>399.00145832136781</v>
      </c>
      <c r="G73" s="58">
        <v>550.21184277273505</v>
      </c>
      <c r="H73" s="58">
        <v>1254.0927411668331</v>
      </c>
      <c r="I73" s="66">
        <v>620.71612724242664</v>
      </c>
      <c r="J73" s="64">
        <v>1149.6664616440821</v>
      </c>
      <c r="K73" s="64">
        <v>283.7810776525551</v>
      </c>
      <c r="M73" s="93">
        <f>N73+O73</f>
        <v>816.05032224947627</v>
      </c>
      <c r="N73" s="126">
        <f>'Проект ТС-6 усл.свод'!N74</f>
        <v>311.04014906430098</v>
      </c>
      <c r="O73" s="126">
        <f>'Проект ТС-6 усл.свод'!O74</f>
        <v>505.01017318517529</v>
      </c>
      <c r="P73" s="92">
        <f t="shared" si="50"/>
        <v>133.16297884462665</v>
      </c>
      <c r="Q73" s="96">
        <f t="shared" si="48"/>
        <v>0.14028772952416224</v>
      </c>
      <c r="R73" s="141"/>
      <c r="V73" s="187">
        <f>W73+X73</f>
        <v>949.21330109410292</v>
      </c>
      <c r="W73" s="126">
        <v>399.00145832136781</v>
      </c>
      <c r="X73" s="126">
        <v>550.21184277273505</v>
      </c>
      <c r="Y73" s="188"/>
      <c r="Z73" s="96">
        <f t="shared" si="20"/>
        <v>0</v>
      </c>
      <c r="AA73" s="141"/>
      <c r="AC73" s="269" t="s">
        <v>206</v>
      </c>
      <c r="AD73" s="278" t="s">
        <v>233</v>
      </c>
    </row>
    <row r="74" spans="1:32" s="4" customFormat="1" ht="16.5" customHeight="1" outlineLevel="1">
      <c r="A74" s="160"/>
      <c r="B74" s="56" t="s">
        <v>129</v>
      </c>
      <c r="C74" s="162"/>
      <c r="D74" s="25">
        <f t="shared" si="31"/>
        <v>1120.886</v>
      </c>
      <c r="E74" s="76">
        <f t="shared" si="49"/>
        <v>249.90427953274849</v>
      </c>
      <c r="F74" s="58">
        <v>105.04717101981713</v>
      </c>
      <c r="G74" s="58">
        <v>144.85710851293135</v>
      </c>
      <c r="H74" s="58">
        <v>330.17146155379993</v>
      </c>
      <c r="I74" s="66">
        <v>163.41913497638427</v>
      </c>
      <c r="J74" s="64">
        <v>302.67861656486167</v>
      </c>
      <c r="K74" s="64">
        <v>74.71250737220555</v>
      </c>
      <c r="M74" s="93">
        <f>N74+O74</f>
        <v>214.84577555872767</v>
      </c>
      <c r="N74" s="126">
        <f>'Проект ТС-6 усл.свод'!N75</f>
        <v>81.889143639346059</v>
      </c>
      <c r="O74" s="126">
        <f>'Проект ТС-6 усл.свод'!O75</f>
        <v>132.95663191938161</v>
      </c>
      <c r="P74" s="92">
        <f t="shared" si="50"/>
        <v>35.058503974020823</v>
      </c>
      <c r="Q74" s="96">
        <f t="shared" si="48"/>
        <v>0.14028772952416213</v>
      </c>
      <c r="R74" s="141"/>
      <c r="V74" s="187">
        <f>W74+X74</f>
        <v>249.90427953274849</v>
      </c>
      <c r="W74" s="126">
        <v>105.04717101981713</v>
      </c>
      <c r="X74" s="126">
        <v>144.85710851293135</v>
      </c>
      <c r="Y74" s="188"/>
      <c r="Z74" s="96">
        <f t="shared" si="20"/>
        <v>0</v>
      </c>
      <c r="AA74" s="141"/>
      <c r="AC74" s="269" t="s">
        <v>206</v>
      </c>
      <c r="AD74" s="275"/>
    </row>
    <row r="75" spans="1:32" s="4" customFormat="1" ht="19.5" customHeight="1">
      <c r="A75" s="163" t="s">
        <v>159</v>
      </c>
      <c r="B75" s="12" t="s">
        <v>44</v>
      </c>
      <c r="C75" s="7" t="s">
        <v>9</v>
      </c>
      <c r="D75" s="25">
        <f t="shared" ref="D75:K75" si="51">SUM(D76:D89)</f>
        <v>42918.220302243899</v>
      </c>
      <c r="E75" s="74">
        <f t="shared" si="49"/>
        <v>9584.6333426833207</v>
      </c>
      <c r="F75" s="25">
        <f t="shared" si="51"/>
        <v>4028.4018268738014</v>
      </c>
      <c r="G75" s="25">
        <f t="shared" si="51"/>
        <v>5556.2315158095189</v>
      </c>
      <c r="H75" s="25">
        <f t="shared" si="51"/>
        <v>12635.227630054374</v>
      </c>
      <c r="I75" s="25">
        <f t="shared" si="51"/>
        <v>6256.0973179243392</v>
      </c>
      <c r="J75" s="25">
        <f t="shared" si="51"/>
        <v>11583.112607761841</v>
      </c>
      <c r="K75" s="25">
        <f t="shared" si="51"/>
        <v>2859.1494038200231</v>
      </c>
      <c r="L75" s="15"/>
      <c r="M75" s="92">
        <f>SUM(M76:M89)</f>
        <v>7940.8354404402098</v>
      </c>
      <c r="N75" s="118">
        <f>SUM(N76:N89)</f>
        <v>3027.0072215393811</v>
      </c>
      <c r="O75" s="118">
        <f>SUM(O76:O89)</f>
        <v>4913.8282189008278</v>
      </c>
      <c r="P75" s="92">
        <f t="shared" si="50"/>
        <v>1643.7979022431109</v>
      </c>
      <c r="Q75" s="96">
        <f t="shared" si="48"/>
        <v>0.17150347263914345</v>
      </c>
      <c r="R75" s="141">
        <f>Q75</f>
        <v>0.17150347263914345</v>
      </c>
      <c r="S75" s="15"/>
      <c r="T75" s="15"/>
      <c r="U75" s="15"/>
      <c r="V75" s="118">
        <f>SUM(V76:V89)</f>
        <v>8959.2668355415681</v>
      </c>
      <c r="W75" s="118">
        <f>SUM(W76:W89)</f>
        <v>3699.7359309665021</v>
      </c>
      <c r="X75" s="118">
        <f>SUM(X76:X89)</f>
        <v>5259.5309045750664</v>
      </c>
      <c r="Y75" s="188"/>
      <c r="Z75" s="96">
        <f t="shared" si="20"/>
        <v>6.5246784596005747E-2</v>
      </c>
      <c r="AA75" s="141">
        <f t="shared" ref="AA75" si="52">Z75</f>
        <v>6.5246784596005747E-2</v>
      </c>
      <c r="AB75" s="15"/>
      <c r="AC75" s="273"/>
      <c r="AD75" s="279"/>
      <c r="AE75" s="15"/>
      <c r="AF75" s="15"/>
    </row>
    <row r="76" spans="1:32" s="4" customFormat="1" ht="39.75" customHeight="1">
      <c r="A76" s="163"/>
      <c r="B76" s="138" t="s">
        <v>182</v>
      </c>
      <c r="C76" s="7" t="s">
        <v>9</v>
      </c>
      <c r="D76" s="28">
        <f t="shared" si="31"/>
        <v>1946.9999999999998</v>
      </c>
      <c r="E76" s="76">
        <f t="shared" si="49"/>
        <v>434.08841956297192</v>
      </c>
      <c r="F76" s="28">
        <v>182.46890582591269</v>
      </c>
      <c r="G76" s="28">
        <v>251.61951373705924</v>
      </c>
      <c r="H76" s="49">
        <v>573.51401984256063</v>
      </c>
      <c r="I76" s="50">
        <v>283.86210176505028</v>
      </c>
      <c r="J76" s="50">
        <v>525.75843257189911</v>
      </c>
      <c r="K76" s="50">
        <v>129.77702625751789</v>
      </c>
      <c r="M76" s="93">
        <f t="shared" ref="M76:M82" si="53">N76+O76</f>
        <v>373.19114076975075</v>
      </c>
      <c r="N76" s="120">
        <f>'Проект ТС-6 усл.свод'!N77</f>
        <v>142.24297802435467</v>
      </c>
      <c r="O76" s="120">
        <f>'Проект ТС-6 усл.свод'!O77</f>
        <v>230.94816274539605</v>
      </c>
      <c r="P76" s="92">
        <f t="shared" si="50"/>
        <v>60.897278793221176</v>
      </c>
      <c r="Q76" s="96">
        <f t="shared" si="48"/>
        <v>0.14028772952416202</v>
      </c>
      <c r="R76" s="141"/>
      <c r="V76" s="187">
        <f t="shared" ref="V76:V82" si="54">W76+X76</f>
        <v>434.08841956297192</v>
      </c>
      <c r="W76" s="120">
        <v>182.46890582591269</v>
      </c>
      <c r="X76" s="120">
        <v>251.61951373705924</v>
      </c>
      <c r="Y76" s="188"/>
      <c r="Z76" s="96">
        <f t="shared" si="20"/>
        <v>0</v>
      </c>
      <c r="AA76" s="141"/>
      <c r="AC76" s="269" t="s">
        <v>206</v>
      </c>
      <c r="AD76" s="281" t="s">
        <v>234</v>
      </c>
    </row>
    <row r="77" spans="1:32" s="4" customFormat="1" ht="38.25" customHeight="1">
      <c r="A77" s="163"/>
      <c r="B77" s="18" t="s">
        <v>104</v>
      </c>
      <c r="C77" s="7" t="s">
        <v>9</v>
      </c>
      <c r="D77" s="28">
        <f t="shared" si="31"/>
        <v>1455</v>
      </c>
      <c r="E77" s="76">
        <f t="shared" si="49"/>
        <v>324.39581431131182</v>
      </c>
      <c r="F77" s="49">
        <v>136.35965997776216</v>
      </c>
      <c r="G77" s="49">
        <v>188.03615433354966</v>
      </c>
      <c r="H77" s="49">
        <v>428.58905951254536</v>
      </c>
      <c r="I77" s="50">
        <v>212.13115463181722</v>
      </c>
      <c r="J77" s="50">
        <v>392.90113990349931</v>
      </c>
      <c r="K77" s="50">
        <v>96.982831640826163</v>
      </c>
      <c r="M77" s="93">
        <f t="shared" si="53"/>
        <v>278.88706205443617</v>
      </c>
      <c r="N77" s="120">
        <f>'Проект ТС-6 усл.свод'!N78</f>
        <v>106.29868157444068</v>
      </c>
      <c r="O77" s="120">
        <f>'Проект ТС-6 усл.свод'!O78</f>
        <v>172.58838047999549</v>
      </c>
      <c r="P77" s="92">
        <f t="shared" si="50"/>
        <v>45.508752256875653</v>
      </c>
      <c r="Q77" s="96">
        <f t="shared" si="48"/>
        <v>0.14028772952416213</v>
      </c>
      <c r="R77" s="141"/>
      <c r="V77" s="187">
        <f t="shared" si="54"/>
        <v>324.39581431131182</v>
      </c>
      <c r="W77" s="120">
        <v>136.35965997776216</v>
      </c>
      <c r="X77" s="120">
        <v>188.03615433354966</v>
      </c>
      <c r="Y77" s="188"/>
      <c r="Z77" s="96">
        <f t="shared" si="20"/>
        <v>0</v>
      </c>
      <c r="AA77" s="141"/>
      <c r="AC77" s="269" t="s">
        <v>206</v>
      </c>
      <c r="AD77" s="281" t="s">
        <v>235</v>
      </c>
    </row>
    <row r="78" spans="1:32" s="4" customFormat="1" ht="16.5" customHeight="1">
      <c r="A78" s="163"/>
      <c r="B78" s="18" t="s">
        <v>117</v>
      </c>
      <c r="C78" s="7" t="s">
        <v>9</v>
      </c>
      <c r="D78" s="28">
        <f t="shared" si="31"/>
        <v>1079.6035714285713</v>
      </c>
      <c r="E78" s="76">
        <f t="shared" si="49"/>
        <v>240.70026095324531</v>
      </c>
      <c r="F78" s="49">
        <v>101.17826523077503</v>
      </c>
      <c r="G78" s="49">
        <v>139.52199572247028</v>
      </c>
      <c r="H78" s="49">
        <v>318.01118853948901</v>
      </c>
      <c r="I78" s="50">
        <v>157.40037948575699</v>
      </c>
      <c r="J78" s="50">
        <v>291.53090986816125</v>
      </c>
      <c r="K78" s="50">
        <v>71.960832581918751</v>
      </c>
      <c r="M78" s="93">
        <f t="shared" si="53"/>
        <v>206.93296784824116</v>
      </c>
      <c r="N78" s="120">
        <f>'Проект ТС-6 усл.свод'!N79</f>
        <v>78.873152072793559</v>
      </c>
      <c r="O78" s="120">
        <f>'Проект ТС-6 усл.свод'!O79</f>
        <v>128.05981577544759</v>
      </c>
      <c r="P78" s="92">
        <f t="shared" si="50"/>
        <v>33.767293105004143</v>
      </c>
      <c r="Q78" s="96">
        <f t="shared" si="48"/>
        <v>0.14028772952416224</v>
      </c>
      <c r="R78" s="141"/>
      <c r="V78" s="187">
        <f t="shared" si="54"/>
        <v>240.70026095324531</v>
      </c>
      <c r="W78" s="120">
        <v>101.17826523077503</v>
      </c>
      <c r="X78" s="120">
        <v>139.52199572247028</v>
      </c>
      <c r="Y78" s="188"/>
      <c r="Z78" s="96">
        <f t="shared" ref="Z78:Z132" si="55">100%-(V78/E78)</f>
        <v>0</v>
      </c>
      <c r="AA78" s="141"/>
      <c r="AC78" s="269" t="s">
        <v>206</v>
      </c>
      <c r="AD78" s="281" t="s">
        <v>236</v>
      </c>
    </row>
    <row r="79" spans="1:32" s="4" customFormat="1" ht="16.5" customHeight="1">
      <c r="A79" s="163"/>
      <c r="B79" s="18" t="s">
        <v>155</v>
      </c>
      <c r="C79" s="7" t="s">
        <v>9</v>
      </c>
      <c r="D79" s="28">
        <f t="shared" si="31"/>
        <v>319.07734806629833</v>
      </c>
      <c r="E79" s="76">
        <f t="shared" si="49"/>
        <v>71.139076394680913</v>
      </c>
      <c r="F79" s="49">
        <v>29.903284322286265</v>
      </c>
      <c r="G79" s="49">
        <v>41.235792072394652</v>
      </c>
      <c r="H79" s="49">
        <v>93.988357745355245</v>
      </c>
      <c r="I79" s="50">
        <v>46.519756881211066</v>
      </c>
      <c r="J79" s="50">
        <v>86.162098812807031</v>
      </c>
      <c r="K79" s="50">
        <v>21.268058232244059</v>
      </c>
      <c r="M79" s="93">
        <f t="shared" si="53"/>
        <v>61.159136886825216</v>
      </c>
      <c r="N79" s="120">
        <f>'Проект ТС-6 усл.свод'!N80</f>
        <v>23.310997539324006</v>
      </c>
      <c r="O79" s="120">
        <f>'Проект ТС-6 усл.свод'!O80</f>
        <v>37.84813934750121</v>
      </c>
      <c r="P79" s="92">
        <f t="shared" si="50"/>
        <v>9.9799395078556969</v>
      </c>
      <c r="Q79" s="96">
        <f t="shared" si="48"/>
        <v>0.14028772952416202</v>
      </c>
      <c r="R79" s="141"/>
      <c r="V79" s="187">
        <f t="shared" si="54"/>
        <v>71.139076394680913</v>
      </c>
      <c r="W79" s="120">
        <v>29.903284322286265</v>
      </c>
      <c r="X79" s="120">
        <v>41.235792072394652</v>
      </c>
      <c r="Y79" s="188"/>
      <c r="Z79" s="96">
        <f t="shared" si="55"/>
        <v>0</v>
      </c>
      <c r="AA79" s="141"/>
      <c r="AC79" s="269" t="s">
        <v>206</v>
      </c>
      <c r="AD79" s="275"/>
    </row>
    <row r="80" spans="1:32" s="4" customFormat="1" ht="37.5" customHeight="1">
      <c r="A80" s="163"/>
      <c r="B80" s="18" t="s">
        <v>156</v>
      </c>
      <c r="C80" s="7" t="s">
        <v>9</v>
      </c>
      <c r="D80" s="28">
        <f t="shared" si="31"/>
        <v>53.805714285714274</v>
      </c>
      <c r="E80" s="76">
        <f t="shared" si="49"/>
        <v>27.907105406090263</v>
      </c>
      <c r="F80" s="49">
        <v>11.235504977027016</v>
      </c>
      <c r="G80" s="49">
        <v>16.671600429063247</v>
      </c>
      <c r="H80" s="49">
        <v>8.9601834503688043</v>
      </c>
      <c r="I80" s="50">
        <v>6.6967961645587692</v>
      </c>
      <c r="J80" s="50">
        <v>8.2140834285372719</v>
      </c>
      <c r="K80" s="50">
        <v>2.0275458361591667</v>
      </c>
      <c r="M80" s="93">
        <f t="shared" si="53"/>
        <v>26.955688752378286</v>
      </c>
      <c r="N80" s="120">
        <f>'Проект ТС-6 усл.свод'!N81</f>
        <v>10.6070431084537</v>
      </c>
      <c r="O80" s="120">
        <f>'Проект ТС-6 усл.свод'!O81</f>
        <v>16.348645643924584</v>
      </c>
      <c r="P80" s="92">
        <f t="shared" si="50"/>
        <v>0.95141665371197703</v>
      </c>
      <c r="Q80" s="96">
        <f t="shared" si="48"/>
        <v>3.4092272912845556E-2</v>
      </c>
      <c r="R80" s="141"/>
      <c r="V80" s="187">
        <f t="shared" si="54"/>
        <v>27.907105406090263</v>
      </c>
      <c r="W80" s="120">
        <v>11.235504977027016</v>
      </c>
      <c r="X80" s="120">
        <v>16.671600429063247</v>
      </c>
      <c r="Y80" s="188"/>
      <c r="Z80" s="96">
        <f t="shared" si="55"/>
        <v>0</v>
      </c>
      <c r="AA80" s="141"/>
      <c r="AC80" s="269" t="s">
        <v>207</v>
      </c>
      <c r="AD80" s="283" t="str">
        <f>AD48</f>
        <v xml:space="preserve">Техническое обслуживание проводится по пробегу или моточасам. </v>
      </c>
    </row>
    <row r="81" spans="1:30" s="4" customFormat="1" ht="16.5" customHeight="1">
      <c r="A81" s="163"/>
      <c r="B81" s="18" t="s">
        <v>128</v>
      </c>
      <c r="C81" s="7" t="s">
        <v>9</v>
      </c>
      <c r="D81" s="28">
        <f t="shared" si="31"/>
        <v>3363.9782603333329</v>
      </c>
      <c r="E81" s="76">
        <f t="shared" si="49"/>
        <v>750.00719387380195</v>
      </c>
      <c r="F81" s="49">
        <v>315.26524519012867</v>
      </c>
      <c r="G81" s="49">
        <v>434.74194868367323</v>
      </c>
      <c r="H81" s="49">
        <v>990.90328441024849</v>
      </c>
      <c r="I81" s="50">
        <v>490.4498917669016</v>
      </c>
      <c r="J81" s="50">
        <v>908.3923663886992</v>
      </c>
      <c r="K81" s="50">
        <v>224.22552389368172</v>
      </c>
      <c r="M81" s="93">
        <f t="shared" si="53"/>
        <v>644.79038751845803</v>
      </c>
      <c r="N81" s="120">
        <f>'Проект ТС-6 усл.свод'!N82</f>
        <v>245.76388585464869</v>
      </c>
      <c r="O81" s="120">
        <f>'Проект ТС-6 усл.свод'!O82</f>
        <v>399.02650166380931</v>
      </c>
      <c r="P81" s="92">
        <f t="shared" si="50"/>
        <v>105.21680635534392</v>
      </c>
      <c r="Q81" s="96">
        <f t="shared" si="48"/>
        <v>0.14028772952416235</v>
      </c>
      <c r="R81" s="141"/>
      <c r="V81" s="187">
        <f t="shared" si="54"/>
        <v>750.00719387380195</v>
      </c>
      <c r="W81" s="120">
        <v>315.26524519012867</v>
      </c>
      <c r="X81" s="120">
        <v>434.74194868367323</v>
      </c>
      <c r="Y81" s="188"/>
      <c r="Z81" s="96">
        <f t="shared" si="55"/>
        <v>0</v>
      </c>
      <c r="AA81" s="141"/>
      <c r="AC81" s="269" t="s">
        <v>206</v>
      </c>
      <c r="AD81" s="278" t="s">
        <v>261</v>
      </c>
    </row>
    <row r="82" spans="1:30" s="4" customFormat="1" ht="16.5" customHeight="1">
      <c r="A82" s="163"/>
      <c r="B82" s="18" t="s">
        <v>121</v>
      </c>
      <c r="C82" s="7" t="s">
        <v>9</v>
      </c>
      <c r="D82" s="28">
        <f t="shared" si="31"/>
        <v>5638.1570000000002</v>
      </c>
      <c r="E82" s="76">
        <f t="shared" si="49"/>
        <v>1257.0409149347238</v>
      </c>
      <c r="F82" s="34">
        <v>528.39668138916818</v>
      </c>
      <c r="G82" s="34">
        <v>728.64423354555561</v>
      </c>
      <c r="H82" s="34">
        <v>1660.792031624793</v>
      </c>
      <c r="I82" s="29">
        <v>822.01288962574756</v>
      </c>
      <c r="J82" s="30">
        <v>1522.5005582507863</v>
      </c>
      <c r="K82" s="30">
        <v>375.8106055639488</v>
      </c>
      <c r="M82" s="93">
        <f t="shared" si="53"/>
        <v>1080.693499059556</v>
      </c>
      <c r="N82" s="120">
        <f>'Проект ТС-6 усл.свод'!N83</f>
        <v>411.90972894137718</v>
      </c>
      <c r="O82" s="120">
        <f>'Проект ТС-6 усл.свод'!O83</f>
        <v>668.78377011817872</v>
      </c>
      <c r="P82" s="92">
        <f t="shared" si="50"/>
        <v>176.34741587516783</v>
      </c>
      <c r="Q82" s="96">
        <f t="shared" si="48"/>
        <v>0.14028772952416213</v>
      </c>
      <c r="R82" s="141"/>
      <c r="V82" s="187">
        <f t="shared" si="54"/>
        <v>1257.0409149347238</v>
      </c>
      <c r="W82" s="120">
        <v>528.39668138916818</v>
      </c>
      <c r="X82" s="120">
        <v>728.64423354555561</v>
      </c>
      <c r="Y82" s="188"/>
      <c r="Z82" s="96">
        <f t="shared" si="55"/>
        <v>0</v>
      </c>
      <c r="AA82" s="141"/>
      <c r="AC82" s="269" t="s">
        <v>206</v>
      </c>
      <c r="AD82" s="278" t="s">
        <v>244</v>
      </c>
    </row>
    <row r="83" spans="1:30" s="4" customFormat="1" ht="16.5" hidden="1" customHeight="1">
      <c r="A83" s="163"/>
      <c r="B83" s="18" t="s">
        <v>114</v>
      </c>
      <c r="C83" s="7" t="s">
        <v>9</v>
      </c>
      <c r="D83" s="28">
        <f t="shared" si="31"/>
        <v>0</v>
      </c>
      <c r="E83" s="76">
        <f t="shared" si="49"/>
        <v>0</v>
      </c>
      <c r="F83" s="34">
        <v>0</v>
      </c>
      <c r="G83" s="34">
        <v>0</v>
      </c>
      <c r="H83" s="34">
        <v>0</v>
      </c>
      <c r="I83" s="29">
        <v>0</v>
      </c>
      <c r="J83" s="30">
        <v>0</v>
      </c>
      <c r="K83" s="30">
        <v>0</v>
      </c>
      <c r="M83" s="93">
        <v>0</v>
      </c>
      <c r="N83" s="120">
        <f>'Проект ТС-6 усл.свод'!N84</f>
        <v>0</v>
      </c>
      <c r="O83" s="120">
        <f>'Проект ТС-6 усл.свод'!O84</f>
        <v>0</v>
      </c>
      <c r="P83" s="92">
        <f t="shared" si="50"/>
        <v>0</v>
      </c>
      <c r="Q83" s="96" t="e">
        <f t="shared" si="48"/>
        <v>#DIV/0!</v>
      </c>
      <c r="R83" s="141" t="e">
        <f>Q83</f>
        <v>#DIV/0!</v>
      </c>
      <c r="V83" s="187">
        <v>0</v>
      </c>
      <c r="W83" s="120">
        <v>0</v>
      </c>
      <c r="X83" s="120">
        <v>0</v>
      </c>
      <c r="Y83" s="188"/>
      <c r="Z83" s="96" t="e">
        <f t="shared" si="55"/>
        <v>#DIV/0!</v>
      </c>
      <c r="AA83" s="141" t="e">
        <f t="shared" ref="AA83" si="56">Z83</f>
        <v>#DIV/0!</v>
      </c>
      <c r="AC83" s="269"/>
      <c r="AD83" s="275"/>
    </row>
    <row r="84" spans="1:30" s="4" customFormat="1" ht="16.5" customHeight="1">
      <c r="A84" s="163"/>
      <c r="B84" s="18" t="s">
        <v>119</v>
      </c>
      <c r="C84" s="7" t="s">
        <v>9</v>
      </c>
      <c r="D84" s="28">
        <f t="shared" si="31"/>
        <v>7555.9349999999995</v>
      </c>
      <c r="E84" s="76">
        <f t="shared" si="49"/>
        <v>1684.6142180126062</v>
      </c>
      <c r="F84" s="34">
        <v>708.12696042204288</v>
      </c>
      <c r="G84" s="34">
        <v>976.48725759056322</v>
      </c>
      <c r="H84" s="34">
        <v>2225.698333599948</v>
      </c>
      <c r="I84" s="29">
        <v>1101.6145813559863</v>
      </c>
      <c r="J84" s="30">
        <v>2040.3680237365961</v>
      </c>
      <c r="K84" s="30">
        <v>503.63984329486311</v>
      </c>
      <c r="M84" s="93">
        <f t="shared" ref="M84:M89" si="57">N84+O84</f>
        <v>1448.2835142434956</v>
      </c>
      <c r="N84" s="120">
        <f>'Проект ТС-6 усл.свод'!N85</f>
        <v>552.01782031764355</v>
      </c>
      <c r="O84" s="120">
        <f>'Проект ТС-6 усл.свод'!O85</f>
        <v>896.26569392585202</v>
      </c>
      <c r="P84" s="92">
        <f t="shared" si="50"/>
        <v>236.33070376911064</v>
      </c>
      <c r="Q84" s="96">
        <f t="shared" si="48"/>
        <v>0.14028772952416224</v>
      </c>
      <c r="R84" s="141"/>
      <c r="V84" s="187">
        <f t="shared" ref="V84:V89" si="58">W84+X84</f>
        <v>1684.6142180126062</v>
      </c>
      <c r="W84" s="120">
        <v>708.12696042204288</v>
      </c>
      <c r="X84" s="120">
        <v>976.48725759056322</v>
      </c>
      <c r="Y84" s="188"/>
      <c r="Z84" s="96">
        <f t="shared" si="55"/>
        <v>0</v>
      </c>
      <c r="AA84" s="141"/>
      <c r="AC84" s="269" t="s">
        <v>206</v>
      </c>
      <c r="AD84" s="278" t="s">
        <v>238</v>
      </c>
    </row>
    <row r="85" spans="1:30" s="4" customFormat="1" ht="16.5" customHeight="1">
      <c r="A85" s="163"/>
      <c r="B85" s="18" t="s">
        <v>176</v>
      </c>
      <c r="C85" s="7"/>
      <c r="D85" s="28">
        <f t="shared" si="31"/>
        <v>10333.674999999999</v>
      </c>
      <c r="E85" s="76">
        <f t="shared" si="49"/>
        <v>2303.9181556381068</v>
      </c>
      <c r="F85" s="34">
        <v>968.45114042659895</v>
      </c>
      <c r="G85" s="34">
        <v>1335.4670152115077</v>
      </c>
      <c r="H85" s="34">
        <v>3043.9175598338843</v>
      </c>
      <c r="I85" s="29">
        <v>1506.5940957662845</v>
      </c>
      <c r="J85" s="30">
        <v>2790.4554549087929</v>
      </c>
      <c r="K85" s="30">
        <v>688.78973385293079</v>
      </c>
      <c r="M85" s="93">
        <f t="shared" si="57"/>
        <v>1678.551648496355</v>
      </c>
      <c r="N85" s="120">
        <f>'Проект ТС-6 усл.свод'!N86</f>
        <v>639.78524451929957</v>
      </c>
      <c r="O85" s="120">
        <f>'Проект ТС-6 усл.свод'!O86</f>
        <v>1038.7664039770555</v>
      </c>
      <c r="P85" s="92">
        <f t="shared" si="50"/>
        <v>625.36650714175175</v>
      </c>
      <c r="Q85" s="96">
        <f t="shared" si="48"/>
        <v>0.27143607754093446</v>
      </c>
      <c r="R85" s="141">
        <f>Q85</f>
        <v>0.27143607754093446</v>
      </c>
      <c r="V85" s="187">
        <f t="shared" si="58"/>
        <v>1678.551648496355</v>
      </c>
      <c r="W85" s="120">
        <f>N85</f>
        <v>639.78524451929957</v>
      </c>
      <c r="X85" s="120">
        <f>O85</f>
        <v>1038.7664039770555</v>
      </c>
      <c r="Y85" s="204">
        <f>V85-E85</f>
        <v>-625.36650714175175</v>
      </c>
      <c r="Z85" s="96">
        <f t="shared" si="55"/>
        <v>0.27143607754093446</v>
      </c>
      <c r="AA85" s="141">
        <f t="shared" ref="AA85" si="59">Z85</f>
        <v>0.27143607754093446</v>
      </c>
      <c r="AC85" s="269" t="s">
        <v>206</v>
      </c>
      <c r="AD85" s="278" t="s">
        <v>264</v>
      </c>
    </row>
    <row r="86" spans="1:30" s="4" customFormat="1" ht="16.5" customHeight="1">
      <c r="A86" s="160"/>
      <c r="B86" s="18" t="s">
        <v>167</v>
      </c>
      <c r="C86" s="7"/>
      <c r="D86" s="28">
        <f t="shared" ref="D86" si="60">SUM(F86:K86)</f>
        <v>871.19999999999993</v>
      </c>
      <c r="E86" s="76">
        <f t="shared" si="49"/>
        <v>194.23617417732981</v>
      </c>
      <c r="F86" s="69">
        <v>81.647103623798216</v>
      </c>
      <c r="G86" s="69">
        <v>112.5890705535316</v>
      </c>
      <c r="H86" s="69">
        <v>256.62322243802714</v>
      </c>
      <c r="I86" s="58">
        <v>127.01626248470046</v>
      </c>
      <c r="J86" s="64">
        <v>235.2546206762396</v>
      </c>
      <c r="K86" s="64">
        <v>58.069720223702923</v>
      </c>
      <c r="M86" s="93">
        <f t="shared" si="57"/>
        <v>166.9872223105325</v>
      </c>
      <c r="N86" s="120">
        <f>'Проект ТС-6 усл.свод'!N87</f>
        <v>63.647705421067165</v>
      </c>
      <c r="O86" s="120">
        <f>'Проект ТС-6 усл.свод'!O87</f>
        <v>103.33951688946534</v>
      </c>
      <c r="P86" s="92">
        <f t="shared" si="50"/>
        <v>27.248951866797313</v>
      </c>
      <c r="Q86" s="96">
        <f t="shared" si="48"/>
        <v>0.14028772952416224</v>
      </c>
      <c r="R86" s="141"/>
      <c r="V86" s="187">
        <f t="shared" si="58"/>
        <v>194.23617417732981</v>
      </c>
      <c r="W86" s="120">
        <v>81.647103623798216</v>
      </c>
      <c r="X86" s="120">
        <v>112.5890705535316</v>
      </c>
      <c r="Y86" s="188"/>
      <c r="Z86" s="96">
        <f t="shared" si="55"/>
        <v>0</v>
      </c>
      <c r="AA86" s="141"/>
      <c r="AC86" s="269" t="s">
        <v>206</v>
      </c>
      <c r="AD86" s="275"/>
    </row>
    <row r="87" spans="1:30" s="4" customFormat="1" ht="16.5" customHeight="1">
      <c r="A87" s="163"/>
      <c r="B87" s="18" t="s">
        <v>94</v>
      </c>
      <c r="C87" s="7" t="s">
        <v>9</v>
      </c>
      <c r="D87" s="28">
        <f t="shared" si="31"/>
        <v>3605.5003167014129</v>
      </c>
      <c r="E87" s="76">
        <f t="shared" si="49"/>
        <v>803.85512799728349</v>
      </c>
      <c r="F87" s="49">
        <v>337.90020428530477</v>
      </c>
      <c r="G87" s="49">
        <v>465.95492371197872</v>
      </c>
      <c r="H87" s="53">
        <v>1062.0467283898577</v>
      </c>
      <c r="I87" s="53">
        <v>525.66250529708134</v>
      </c>
      <c r="J87" s="53">
        <v>973.61181055286113</v>
      </c>
      <c r="K87" s="53">
        <v>240.3241444643289</v>
      </c>
      <c r="M87" s="93">
        <f t="shared" si="57"/>
        <v>691.08411722418987</v>
      </c>
      <c r="N87" s="120">
        <f>'Проект ТС-6 усл.свод'!N88</f>
        <v>263.40888665401275</v>
      </c>
      <c r="O87" s="120">
        <f>'Проект ТС-6 усл.свод'!O88</f>
        <v>427.67523057017712</v>
      </c>
      <c r="P87" s="92">
        <f t="shared" si="50"/>
        <v>112.77101077309362</v>
      </c>
      <c r="Q87" s="96">
        <f t="shared" si="48"/>
        <v>0.14028772952416213</v>
      </c>
      <c r="R87" s="141"/>
      <c r="V87" s="187">
        <f t="shared" si="58"/>
        <v>803.85512799728349</v>
      </c>
      <c r="W87" s="120">
        <v>337.90020428530477</v>
      </c>
      <c r="X87" s="120">
        <v>465.95492371197872</v>
      </c>
      <c r="Y87" s="188"/>
      <c r="Z87" s="96">
        <f t="shared" si="55"/>
        <v>0</v>
      </c>
      <c r="AA87" s="141"/>
      <c r="AC87" s="269" t="s">
        <v>206</v>
      </c>
      <c r="AD87" s="278" t="s">
        <v>262</v>
      </c>
    </row>
    <row r="88" spans="1:30" s="4" customFormat="1" ht="39" customHeight="1">
      <c r="A88" s="163"/>
      <c r="B88" s="18" t="s">
        <v>157</v>
      </c>
      <c r="C88" s="7" t="s">
        <v>9</v>
      </c>
      <c r="D88" s="28">
        <f t="shared" si="31"/>
        <v>6382.8595199999991</v>
      </c>
      <c r="E88" s="76">
        <f t="shared" si="49"/>
        <v>1423.0741660653671</v>
      </c>
      <c r="F88" s="49">
        <v>598.18869679245518</v>
      </c>
      <c r="G88" s="49">
        <v>824.88546927291179</v>
      </c>
      <c r="H88" s="49">
        <v>1880.1537860326437</v>
      </c>
      <c r="I88" s="50">
        <v>930.58650160157151</v>
      </c>
      <c r="J88" s="50">
        <v>1723.596413231548</v>
      </c>
      <c r="K88" s="50">
        <v>425.44865306886902</v>
      </c>
      <c r="M88" s="93">
        <f t="shared" si="57"/>
        <v>1223.4343223635658</v>
      </c>
      <c r="N88" s="120">
        <f>'Проект ТС-6 усл.свод'!N89</f>
        <v>466.31584305901521</v>
      </c>
      <c r="O88" s="120">
        <f>'Проект ТС-6 усл.свод'!O89</f>
        <v>757.11847930455053</v>
      </c>
      <c r="P88" s="92">
        <f t="shared" si="50"/>
        <v>199.63984370180128</v>
      </c>
      <c r="Q88" s="96">
        <f t="shared" si="48"/>
        <v>0.14028772952416246</v>
      </c>
      <c r="R88" s="141"/>
      <c r="V88" s="187">
        <f t="shared" si="58"/>
        <v>1423.0741660653671</v>
      </c>
      <c r="W88" s="120">
        <v>598.18869679245518</v>
      </c>
      <c r="X88" s="120">
        <v>824.88546927291179</v>
      </c>
      <c r="Y88" s="188"/>
      <c r="Z88" s="96">
        <f t="shared" si="55"/>
        <v>0</v>
      </c>
      <c r="AA88" s="141"/>
      <c r="AC88" s="269" t="s">
        <v>206</v>
      </c>
      <c r="AD88" s="281" t="s">
        <v>239</v>
      </c>
    </row>
    <row r="89" spans="1:30" s="4" customFormat="1" ht="16.5" customHeight="1">
      <c r="A89" s="163"/>
      <c r="B89" s="18" t="s">
        <v>158</v>
      </c>
      <c r="C89" s="7" t="s">
        <v>9</v>
      </c>
      <c r="D89" s="28">
        <f t="shared" si="31"/>
        <v>312.42857142857139</v>
      </c>
      <c r="E89" s="76">
        <f t="shared" si="49"/>
        <v>69.656715355801566</v>
      </c>
      <c r="F89" s="49">
        <v>29.280174410541569</v>
      </c>
      <c r="G89" s="49">
        <v>40.376540945260004</v>
      </c>
      <c r="H89" s="49">
        <v>92.0298746346526</v>
      </c>
      <c r="I89" s="50">
        <v>45.550401097671518</v>
      </c>
      <c r="J89" s="50">
        <v>84.366695431414144</v>
      </c>
      <c r="K89" s="50">
        <v>20.824884909031599</v>
      </c>
      <c r="M89" s="93">
        <f t="shared" si="57"/>
        <v>59.884732912425321</v>
      </c>
      <c r="N89" s="120">
        <f>'Проект ТС-6 усл.свод'!N90</f>
        <v>22.825254452950592</v>
      </c>
      <c r="O89" s="120">
        <f>'Проект ТС-6 усл.свод'!O90</f>
        <v>37.059478459474732</v>
      </c>
      <c r="P89" s="92">
        <f t="shared" si="50"/>
        <v>9.7719824433762454</v>
      </c>
      <c r="Q89" s="96">
        <f t="shared" si="48"/>
        <v>0.14028772952416224</v>
      </c>
      <c r="R89" s="141"/>
      <c r="V89" s="187">
        <f t="shared" si="58"/>
        <v>69.656715355801566</v>
      </c>
      <c r="W89" s="120">
        <v>29.280174410541569</v>
      </c>
      <c r="X89" s="120">
        <v>40.376540945260004</v>
      </c>
      <c r="Y89" s="188"/>
      <c r="Z89" s="96">
        <f t="shared" si="55"/>
        <v>0</v>
      </c>
      <c r="AA89" s="141"/>
      <c r="AC89" s="269" t="s">
        <v>206</v>
      </c>
      <c r="AD89" s="275"/>
    </row>
    <row r="90" spans="1:30" s="4" customFormat="1" ht="27.75" customHeight="1">
      <c r="A90" s="7" t="s">
        <v>45</v>
      </c>
      <c r="B90" s="17" t="s">
        <v>274</v>
      </c>
      <c r="C90" s="163" t="s">
        <v>9</v>
      </c>
      <c r="D90" s="27">
        <f>D91+D131</f>
        <v>3278689.6052555027</v>
      </c>
      <c r="E90" s="70">
        <f t="shared" si="49"/>
        <v>2433207.8870612094</v>
      </c>
      <c r="F90" s="27">
        <f t="shared" ref="F90:K90" si="61">F91+F131</f>
        <v>1374586.8400986097</v>
      </c>
      <c r="G90" s="27">
        <f t="shared" si="61"/>
        <v>1058621.0469626</v>
      </c>
      <c r="H90" s="27">
        <f t="shared" si="61"/>
        <v>339871.08715074527</v>
      </c>
      <c r="I90" s="27">
        <f t="shared" si="61"/>
        <v>154033.10949344462</v>
      </c>
      <c r="J90" s="27">
        <f t="shared" si="61"/>
        <v>274197.97328432929</v>
      </c>
      <c r="K90" s="27">
        <f t="shared" si="61"/>
        <v>77379.548265773759</v>
      </c>
      <c r="M90" s="99">
        <f>M91+M131</f>
        <v>2357127.8528250577</v>
      </c>
      <c r="N90" s="117">
        <f>N91+N131</f>
        <v>1373029.7971164044</v>
      </c>
      <c r="O90" s="117">
        <f>O91+O131</f>
        <v>984098.05570865329</v>
      </c>
      <c r="P90" s="92">
        <f t="shared" si="50"/>
        <v>76080.034236151725</v>
      </c>
      <c r="Q90" s="96">
        <f t="shared" si="48"/>
        <v>3.1267379429728903E-2</v>
      </c>
      <c r="R90" s="141"/>
      <c r="V90" s="117">
        <f>V91+V131</f>
        <v>2429583.4960259199</v>
      </c>
      <c r="W90" s="117">
        <f>W91+W131</f>
        <v>1372975.2822515918</v>
      </c>
      <c r="X90" s="117">
        <f>X91+X131</f>
        <v>1056608.2137743281</v>
      </c>
      <c r="Y90" s="205"/>
      <c r="Z90" s="96">
        <f t="shared" si="55"/>
        <v>1.489552559221341E-3</v>
      </c>
      <c r="AA90" s="141"/>
      <c r="AC90" s="269"/>
      <c r="AD90" s="275"/>
    </row>
    <row r="91" spans="1:30" s="4" customFormat="1" ht="42.75" customHeight="1">
      <c r="A91" s="7" t="s">
        <v>46</v>
      </c>
      <c r="B91" s="17" t="s">
        <v>47</v>
      </c>
      <c r="C91" s="163" t="s">
        <v>9</v>
      </c>
      <c r="D91" s="27">
        <f>D93+D94+D95+D96+D97+D103+D104+D105+D108+D109+D110+D113</f>
        <v>218490.58824175212</v>
      </c>
      <c r="E91" s="70">
        <f t="shared" si="49"/>
        <v>51801.608813794148</v>
      </c>
      <c r="F91" s="27">
        <f t="shared" ref="F91:K91" si="62">F93+F94+F95+F96+F97+F103+F104+F105+F108+F109+F110+F113</f>
        <v>22429.350152546129</v>
      </c>
      <c r="G91" s="27">
        <f t="shared" si="62"/>
        <v>29372.258661248019</v>
      </c>
      <c r="H91" s="27">
        <f t="shared" si="62"/>
        <v>63221.478707647468</v>
      </c>
      <c r="I91" s="27">
        <f t="shared" si="62"/>
        <v>31316.807869325017</v>
      </c>
      <c r="J91" s="27">
        <f t="shared" si="62"/>
        <v>57910.666914054804</v>
      </c>
      <c r="K91" s="27">
        <f t="shared" si="62"/>
        <v>14240.025936930659</v>
      </c>
      <c r="M91" s="99">
        <f>M93+M94+M95+M96+M97+M103+M104+M105+M108+M109+M110+M113</f>
        <v>42490.498728364837</v>
      </c>
      <c r="N91" s="117">
        <f>N93+N94+N95+N96+N97+N103+N104+N105+N108+N109+N110+N113</f>
        <v>17081.2418618218</v>
      </c>
      <c r="O91" s="117">
        <f>O93+O94+O95+O96+O97+O103+O104+O105+O108+O109+O110+O113</f>
        <v>25409.256866543037</v>
      </c>
      <c r="P91" s="92">
        <f t="shared" si="50"/>
        <v>9311.1100854293109</v>
      </c>
      <c r="Q91" s="96">
        <f t="shared" si="48"/>
        <v>0.17974557737963293</v>
      </c>
      <c r="R91" s="141">
        <f>Q91</f>
        <v>0.17974557737963293</v>
      </c>
      <c r="V91" s="117">
        <f>V93+V94+V95+V96+V97+V103+V104+V105+V108+V109+V110+V113</f>
        <v>48177.217778504324</v>
      </c>
      <c r="W91" s="117">
        <f>W93+W94+W95+W96+W97+W103+W104+W105+W108+W109+W110+W113</f>
        <v>20817.792305528139</v>
      </c>
      <c r="X91" s="117">
        <f>X93+X94+X95+X96+X97+X103+X104+X105+X108+X109+X110+X113</f>
        <v>27359.425472976196</v>
      </c>
      <c r="Y91" s="205"/>
      <c r="Z91" s="96">
        <f t="shared" si="55"/>
        <v>6.996676586470596E-2</v>
      </c>
      <c r="AA91" s="141">
        <f t="shared" ref="AA91" si="63">Z91</f>
        <v>6.996676586470596E-2</v>
      </c>
      <c r="AC91" s="269"/>
      <c r="AD91" s="275"/>
    </row>
    <row r="92" spans="1:30" s="4" customFormat="1" ht="16.5" customHeight="1">
      <c r="A92" s="163"/>
      <c r="B92" s="12" t="s">
        <v>7</v>
      </c>
      <c r="C92" s="163"/>
      <c r="D92" s="25"/>
      <c r="E92" s="70"/>
      <c r="F92" s="25"/>
      <c r="G92" s="25"/>
      <c r="H92" s="25"/>
      <c r="I92" s="32"/>
      <c r="J92" s="33"/>
      <c r="K92" s="33"/>
      <c r="M92" s="92"/>
      <c r="N92" s="122"/>
      <c r="O92" s="122"/>
      <c r="P92" s="92"/>
      <c r="Q92" s="96"/>
      <c r="R92" s="141"/>
      <c r="V92" s="118"/>
      <c r="W92" s="122"/>
      <c r="X92" s="122"/>
      <c r="Y92" s="205"/>
      <c r="Z92" s="96"/>
      <c r="AA92" s="141"/>
      <c r="AC92" s="269"/>
      <c r="AD92" s="275"/>
    </row>
    <row r="93" spans="1:30" s="4" customFormat="1" ht="41.25" customHeight="1">
      <c r="A93" s="163" t="s">
        <v>49</v>
      </c>
      <c r="B93" s="12" t="s">
        <v>48</v>
      </c>
      <c r="C93" s="163" t="s">
        <v>9</v>
      </c>
      <c r="D93" s="25">
        <f t="shared" ref="D93:D95" si="64">SUM(F93:K93)</f>
        <v>131547.80799999999</v>
      </c>
      <c r="E93" s="74">
        <f t="shared" si="49"/>
        <v>29328.906046067423</v>
      </c>
      <c r="F93" s="25">
        <v>12328.394755807522</v>
      </c>
      <c r="G93" s="25">
        <v>17000.511290259903</v>
      </c>
      <c r="H93" s="33">
        <v>38749.10743069202</v>
      </c>
      <c r="I93" s="33">
        <v>19178.961099879452</v>
      </c>
      <c r="J93" s="33">
        <v>35522.53176289118</v>
      </c>
      <c r="K93" s="33">
        <v>8768.3016604699133</v>
      </c>
      <c r="M93" s="92">
        <f>N93+O93</f>
        <v>25213.18142051679</v>
      </c>
      <c r="N93" s="122">
        <f>'Проект ТС-6 усл.свод'!N98</f>
        <v>9610.0834637319313</v>
      </c>
      <c r="O93" s="122">
        <f>'Проект ТС-6 усл.свод'!O98</f>
        <v>15603.097956784859</v>
      </c>
      <c r="P93" s="92">
        <f t="shared" si="50"/>
        <v>4115.7246255506325</v>
      </c>
      <c r="Q93" s="96">
        <f t="shared" si="48"/>
        <v>0.14032997409061188</v>
      </c>
      <c r="R93" s="141">
        <f>Q93</f>
        <v>0.14032997409061188</v>
      </c>
      <c r="V93" s="118">
        <f>W93+X93</f>
        <v>29328.906046067423</v>
      </c>
      <c r="W93" s="122">
        <v>12328.394755807522</v>
      </c>
      <c r="X93" s="122">
        <v>17000.511290259903</v>
      </c>
      <c r="Y93" s="204"/>
      <c r="Z93" s="96">
        <f t="shared" si="55"/>
        <v>0</v>
      </c>
      <c r="AA93" s="141">
        <f t="shared" ref="AA93:AA95" si="65">Z93</f>
        <v>0</v>
      </c>
      <c r="AC93" s="269" t="s">
        <v>206</v>
      </c>
      <c r="AD93" s="283" t="str">
        <f>AD28</f>
        <v>Положение об оплаты труда работников ТОО "РТИ-АНПЗ"</v>
      </c>
    </row>
    <row r="94" spans="1:30" s="4" customFormat="1" ht="16.5" customHeight="1">
      <c r="A94" s="163" t="s">
        <v>50</v>
      </c>
      <c r="B94" s="12" t="s">
        <v>20</v>
      </c>
      <c r="C94" s="163" t="s">
        <v>9</v>
      </c>
      <c r="D94" s="25">
        <f t="shared" si="64"/>
        <v>13023.232991999999</v>
      </c>
      <c r="E94" s="74">
        <f t="shared" si="49"/>
        <v>2903.5616985606748</v>
      </c>
      <c r="F94" s="25">
        <v>1220.5110808249447</v>
      </c>
      <c r="G94" s="25">
        <v>1683.0506177357304</v>
      </c>
      <c r="H94" s="25">
        <v>3836.1616356385102</v>
      </c>
      <c r="I94" s="32">
        <v>1898.7171488880656</v>
      </c>
      <c r="J94" s="33">
        <v>3516.7306445262266</v>
      </c>
      <c r="K94" s="33">
        <v>868.06186438652139</v>
      </c>
      <c r="M94" s="92">
        <f>N94+O94</f>
        <v>2496.1049606311626</v>
      </c>
      <c r="N94" s="122">
        <f>'Проект ТС-6 усл.свод'!N99</f>
        <v>951.39826290946144</v>
      </c>
      <c r="O94" s="122">
        <f>'Проект ТС-6 усл.свод'!O99</f>
        <v>1544.7066977217012</v>
      </c>
      <c r="P94" s="92">
        <f t="shared" si="50"/>
        <v>407.4567379295122</v>
      </c>
      <c r="Q94" s="96">
        <f t="shared" si="48"/>
        <v>0.14032997409061176</v>
      </c>
      <c r="R94" s="141">
        <f>Q94</f>
        <v>0.14032997409061176</v>
      </c>
      <c r="V94" s="118">
        <f>W94+X94</f>
        <v>2903.5616985606748</v>
      </c>
      <c r="W94" s="122">
        <v>1220.5110808249447</v>
      </c>
      <c r="X94" s="122">
        <v>1683.0506177357304</v>
      </c>
      <c r="Y94" s="204"/>
      <c r="Z94" s="96">
        <f t="shared" si="55"/>
        <v>0</v>
      </c>
      <c r="AA94" s="141">
        <f t="shared" si="65"/>
        <v>0</v>
      </c>
      <c r="AC94" s="269" t="s">
        <v>206</v>
      </c>
      <c r="AD94" s="275"/>
    </row>
    <row r="95" spans="1:30" s="4" customFormat="1" ht="16.5" customHeight="1">
      <c r="A95" s="160" t="s">
        <v>51</v>
      </c>
      <c r="B95" s="59" t="s">
        <v>161</v>
      </c>
      <c r="C95" s="160"/>
      <c r="D95" s="25">
        <f t="shared" si="64"/>
        <v>1246.3063199999999</v>
      </c>
      <c r="E95" s="74">
        <f t="shared" si="49"/>
        <v>277.86704711871778</v>
      </c>
      <c r="F95" s="60">
        <v>116.80130998167428</v>
      </c>
      <c r="G95" s="60">
        <v>161.06573713704353</v>
      </c>
      <c r="H95" s="60">
        <v>367.11563818099069</v>
      </c>
      <c r="I95" s="67">
        <v>181.70474136531345</v>
      </c>
      <c r="J95" s="61">
        <v>336.54651120064284</v>
      </c>
      <c r="K95" s="61">
        <v>83.072382134335129</v>
      </c>
      <c r="M95" s="92">
        <f>N95+O95</f>
        <v>119.44285498442474</v>
      </c>
      <c r="N95" s="122">
        <f>'Проект ТС-6 усл.свод'!N100</f>
        <v>45.526020155976973</v>
      </c>
      <c r="O95" s="122">
        <f>'Проект ТС-6 усл.свод'!O100</f>
        <v>73.916834828447776</v>
      </c>
      <c r="P95" s="92">
        <f t="shared" si="50"/>
        <v>158.42419213429304</v>
      </c>
      <c r="Q95" s="96">
        <f t="shared" si="48"/>
        <v>0.57014386476208112</v>
      </c>
      <c r="R95" s="141">
        <f>Q95</f>
        <v>0.57014386476208112</v>
      </c>
      <c r="V95" s="118">
        <f>W95+X95</f>
        <v>119.44285498442474</v>
      </c>
      <c r="W95" s="122">
        <f>N95</f>
        <v>45.526020155976973</v>
      </c>
      <c r="X95" s="122">
        <f>O95</f>
        <v>73.916834828447776</v>
      </c>
      <c r="Y95" s="204">
        <f>V95-E95</f>
        <v>-158.42419213429304</v>
      </c>
      <c r="Z95" s="96">
        <f t="shared" si="55"/>
        <v>0.57014386476208112</v>
      </c>
      <c r="AA95" s="141">
        <f t="shared" si="65"/>
        <v>0.57014386476208112</v>
      </c>
      <c r="AC95" s="269" t="s">
        <v>206</v>
      </c>
      <c r="AD95" s="275"/>
    </row>
    <row r="96" spans="1:30" s="4" customFormat="1" ht="45.75" customHeight="1">
      <c r="A96" s="163" t="s">
        <v>51</v>
      </c>
      <c r="B96" s="12" t="s">
        <v>22</v>
      </c>
      <c r="C96" s="43" t="s">
        <v>9</v>
      </c>
      <c r="D96" s="25">
        <f>SUM(F96:K96)</f>
        <v>5232.032573499996</v>
      </c>
      <c r="E96" s="74">
        <f t="shared" si="49"/>
        <v>4071.4983402244161</v>
      </c>
      <c r="F96" s="35">
        <v>2311.7882178798213</v>
      </c>
      <c r="G96" s="35">
        <v>1759.710122344595</v>
      </c>
      <c r="H96" s="35">
        <v>472.98876797652525</v>
      </c>
      <c r="I96" s="35">
        <v>209.80847449045478</v>
      </c>
      <c r="J96" s="35">
        <v>369.78713667718449</v>
      </c>
      <c r="K96" s="35">
        <v>107.94985413141616</v>
      </c>
      <c r="M96" s="92">
        <f>N96+O96</f>
        <v>3957.1029346454479</v>
      </c>
      <c r="N96" s="122">
        <f>'Проект ТС-6 усл.свод'!N101</f>
        <v>2318.1290139163707</v>
      </c>
      <c r="O96" s="122">
        <f>'Проект ТС-6 усл.свод'!O101</f>
        <v>1638.9739207290772</v>
      </c>
      <c r="P96" s="92">
        <f t="shared" si="50"/>
        <v>114.39540557896817</v>
      </c>
      <c r="Q96" s="96">
        <f t="shared" si="48"/>
        <v>2.8096635690305294E-2</v>
      </c>
      <c r="R96" s="141"/>
      <c r="V96" s="118">
        <f>W96+X96</f>
        <v>3957.1029346454479</v>
      </c>
      <c r="W96" s="122">
        <f>N96</f>
        <v>2318.1290139163707</v>
      </c>
      <c r="X96" s="122">
        <f>O96</f>
        <v>1638.9739207290772</v>
      </c>
      <c r="Y96" s="188"/>
      <c r="Z96" s="96">
        <f t="shared" si="55"/>
        <v>2.8096635690305294E-2</v>
      </c>
      <c r="AA96" s="141"/>
      <c r="AC96" s="272" t="s">
        <v>210</v>
      </c>
      <c r="AD96" s="283" t="str">
        <f>AD32</f>
        <v xml:space="preserve">Налоговый кодекс РК, статья 120, МСФО (IAS) 16 «Основные средства». </v>
      </c>
    </row>
    <row r="97" spans="1:30" s="4" customFormat="1" ht="16.5" customHeight="1">
      <c r="A97" s="163" t="s">
        <v>54</v>
      </c>
      <c r="B97" s="12" t="s">
        <v>39</v>
      </c>
      <c r="C97" s="163" t="s">
        <v>9</v>
      </c>
      <c r="D97" s="25">
        <f>SUM(D99:D102)</f>
        <v>25588.812061714285</v>
      </c>
      <c r="E97" s="74">
        <f t="shared" si="49"/>
        <v>5705.0883340336259</v>
      </c>
      <c r="F97" s="25">
        <f t="shared" ref="F97:K97" si="66">SUM(F99:F102)</f>
        <v>2398.131760804275</v>
      </c>
      <c r="G97" s="25">
        <f t="shared" si="66"/>
        <v>3306.9565732293504</v>
      </c>
      <c r="H97" s="25">
        <f t="shared" si="66"/>
        <v>7537.5153921466699</v>
      </c>
      <c r="I97" s="25">
        <f t="shared" si="66"/>
        <v>3730.7108235793976</v>
      </c>
      <c r="J97" s="25">
        <f t="shared" si="66"/>
        <v>6909.8786445525466</v>
      </c>
      <c r="K97" s="25">
        <f t="shared" si="66"/>
        <v>1705.618867402047</v>
      </c>
      <c r="M97" s="101">
        <f t="shared" ref="M97" si="67">SUM(M99:M102)</f>
        <v>4904.7344449172633</v>
      </c>
      <c r="N97" s="122">
        <f>SUM(N99:N102)</f>
        <v>1869.4549726573016</v>
      </c>
      <c r="O97" s="122">
        <f>SUM(O99:O102)</f>
        <v>3035.2794722599615</v>
      </c>
      <c r="P97" s="92">
        <f t="shared" si="50"/>
        <v>800.35388911636255</v>
      </c>
      <c r="Q97" s="96">
        <f t="shared" si="48"/>
        <v>0.14028772952416224</v>
      </c>
      <c r="R97" s="141"/>
      <c r="V97" s="122">
        <f t="shared" ref="V97" si="68">SUM(V99:V102)</f>
        <v>5705.088334033625</v>
      </c>
      <c r="W97" s="122">
        <f>SUM(W99:W102)</f>
        <v>2398.131760804275</v>
      </c>
      <c r="X97" s="122">
        <f>SUM(X99:X102)</f>
        <v>3306.9565732293504</v>
      </c>
      <c r="Y97" s="188"/>
      <c r="Z97" s="96">
        <f t="shared" si="55"/>
        <v>0</v>
      </c>
      <c r="AA97" s="141"/>
      <c r="AC97" s="269"/>
      <c r="AD97" s="275"/>
    </row>
    <row r="98" spans="1:30" s="4" customFormat="1" ht="16.5" customHeight="1">
      <c r="A98" s="163"/>
      <c r="B98" s="12" t="s">
        <v>7</v>
      </c>
      <c r="C98" s="163"/>
      <c r="D98" s="25"/>
      <c r="E98" s="70"/>
      <c r="F98" s="25"/>
      <c r="G98" s="25"/>
      <c r="H98" s="25"/>
      <c r="I98" s="32"/>
      <c r="J98" s="33"/>
      <c r="K98" s="33"/>
      <c r="M98" s="92"/>
      <c r="N98" s="122"/>
      <c r="O98" s="122"/>
      <c r="P98" s="92">
        <f t="shared" si="50"/>
        <v>0</v>
      </c>
      <c r="Q98" s="96"/>
      <c r="R98" s="141"/>
      <c r="V98" s="118"/>
      <c r="W98" s="122"/>
      <c r="X98" s="122"/>
      <c r="Y98" s="188"/>
      <c r="Z98" s="96" t="e">
        <f t="shared" si="55"/>
        <v>#DIV/0!</v>
      </c>
      <c r="AA98" s="141"/>
      <c r="AC98" s="269"/>
      <c r="AD98" s="275"/>
    </row>
    <row r="99" spans="1:30" s="4" customFormat="1" ht="38.25" customHeight="1">
      <c r="A99" s="8"/>
      <c r="B99" s="18" t="s">
        <v>52</v>
      </c>
      <c r="C99" s="9" t="s">
        <v>9</v>
      </c>
      <c r="D99" s="28">
        <f t="shared" ref="D99:D109" si="69">SUM(F99:K99)</f>
        <v>18023.565714285716</v>
      </c>
      <c r="E99" s="76">
        <f t="shared" si="49"/>
        <v>4018.3981283018252</v>
      </c>
      <c r="F99" s="28">
        <v>1689.13215971605</v>
      </c>
      <c r="G99" s="28">
        <v>2329.2659685857752</v>
      </c>
      <c r="H99" s="28">
        <v>5309.074280789192</v>
      </c>
      <c r="I99" s="29">
        <v>2627.7386979751632</v>
      </c>
      <c r="J99" s="29">
        <v>4866.9962297377906</v>
      </c>
      <c r="K99" s="29">
        <v>1201.3583774817446</v>
      </c>
      <c r="M99" s="93">
        <f>N99+O99</f>
        <v>3454.6661785582191</v>
      </c>
      <c r="N99" s="120">
        <f>'Проект ТС-6 усл.свод'!N104</f>
        <v>1316.7568884528273</v>
      </c>
      <c r="O99" s="120">
        <f>'Проект ТС-6 усл.свод'!O104</f>
        <v>2137.9092901053918</v>
      </c>
      <c r="P99" s="92">
        <f t="shared" si="50"/>
        <v>563.73194974360604</v>
      </c>
      <c r="Q99" s="96">
        <f t="shared" si="48"/>
        <v>0.14028772952416224</v>
      </c>
      <c r="R99" s="141"/>
      <c r="V99" s="187">
        <f>W99+X99</f>
        <v>4018.3981283018252</v>
      </c>
      <c r="W99" s="120">
        <v>1689.13215971605</v>
      </c>
      <c r="X99" s="120">
        <v>2329.2659685857752</v>
      </c>
      <c r="Y99" s="188"/>
      <c r="Z99" s="96">
        <f t="shared" si="55"/>
        <v>0</v>
      </c>
      <c r="AA99" s="141"/>
      <c r="AC99" s="269" t="s">
        <v>206</v>
      </c>
      <c r="AD99" s="275"/>
    </row>
    <row r="100" spans="1:30" s="4" customFormat="1" ht="16.5" customHeight="1">
      <c r="A100" s="8"/>
      <c r="B100" s="18" t="s">
        <v>53</v>
      </c>
      <c r="C100" s="9" t="s">
        <v>9</v>
      </c>
      <c r="D100" s="28">
        <f t="shared" si="69"/>
        <v>4719.9199999999992</v>
      </c>
      <c r="E100" s="76">
        <f t="shared" si="49"/>
        <v>1052.3177263809257</v>
      </c>
      <c r="F100" s="28">
        <v>442.34136516992385</v>
      </c>
      <c r="G100" s="28">
        <v>609.97636121100174</v>
      </c>
      <c r="H100" s="28">
        <v>1390.313452765947</v>
      </c>
      <c r="I100" s="29">
        <v>688.13888616481552</v>
      </c>
      <c r="J100" s="29">
        <v>1274.5442943321816</v>
      </c>
      <c r="K100" s="29">
        <v>314.6056403561293</v>
      </c>
      <c r="M100" s="93">
        <f>N100+O100</f>
        <v>904.69046180891712</v>
      </c>
      <c r="N100" s="120">
        <f>'Проект ТС-6 усл.свод'!N105</f>
        <v>344.82561727617463</v>
      </c>
      <c r="O100" s="120">
        <f>'Проект ТС-6 усл.свод'!O105</f>
        <v>559.8648445327425</v>
      </c>
      <c r="P100" s="92">
        <f t="shared" si="50"/>
        <v>147.62726457200858</v>
      </c>
      <c r="Q100" s="96">
        <f t="shared" si="48"/>
        <v>0.14028772952416213</v>
      </c>
      <c r="R100" s="141"/>
      <c r="V100" s="187">
        <f>W100+X100</f>
        <v>1052.3177263809257</v>
      </c>
      <c r="W100" s="120">
        <v>442.34136516992385</v>
      </c>
      <c r="X100" s="120">
        <v>609.97636121100174</v>
      </c>
      <c r="Y100" s="188"/>
      <c r="Z100" s="96">
        <f t="shared" si="55"/>
        <v>0</v>
      </c>
      <c r="AA100" s="141"/>
      <c r="AC100" s="269" t="s">
        <v>206</v>
      </c>
      <c r="AD100" s="275"/>
    </row>
    <row r="101" spans="1:30" s="4" customFormat="1" ht="16.5" hidden="1" customHeight="1">
      <c r="A101" s="8"/>
      <c r="B101" s="18" t="s">
        <v>42</v>
      </c>
      <c r="C101" s="9" t="s">
        <v>9</v>
      </c>
      <c r="D101" s="28">
        <f t="shared" si="69"/>
        <v>0</v>
      </c>
      <c r="E101" s="76">
        <f t="shared" si="49"/>
        <v>0</v>
      </c>
      <c r="F101" s="28">
        <v>0</v>
      </c>
      <c r="G101" s="28">
        <v>0</v>
      </c>
      <c r="H101" s="28">
        <v>0</v>
      </c>
      <c r="I101" s="29">
        <v>0</v>
      </c>
      <c r="J101" s="29">
        <v>0</v>
      </c>
      <c r="K101" s="29">
        <v>0</v>
      </c>
      <c r="M101" s="93">
        <f>N101+O101</f>
        <v>0</v>
      </c>
      <c r="N101" s="120">
        <f>'Проект ТС-6 усл.свод'!N106</f>
        <v>0</v>
      </c>
      <c r="O101" s="120">
        <f>'Проект ТС-6 усл.свод'!O106</f>
        <v>0</v>
      </c>
      <c r="P101" s="92">
        <f t="shared" si="50"/>
        <v>0</v>
      </c>
      <c r="Q101" s="96" t="e">
        <f t="shared" si="48"/>
        <v>#DIV/0!</v>
      </c>
      <c r="R101" s="141" t="e">
        <f>Q101</f>
        <v>#DIV/0!</v>
      </c>
      <c r="V101" s="187">
        <f>W101+X101</f>
        <v>0</v>
      </c>
      <c r="W101" s="120">
        <v>0</v>
      </c>
      <c r="X101" s="120">
        <v>0</v>
      </c>
      <c r="Y101" s="188"/>
      <c r="Z101" s="96" t="e">
        <f t="shared" si="55"/>
        <v>#DIV/0!</v>
      </c>
      <c r="AA101" s="141" t="e">
        <f t="shared" ref="AA101" si="70">Z101</f>
        <v>#DIV/0!</v>
      </c>
      <c r="AC101" s="269"/>
      <c r="AD101" s="275"/>
    </row>
    <row r="102" spans="1:30" s="4" customFormat="1" ht="16.5" customHeight="1">
      <c r="A102" s="8"/>
      <c r="B102" s="18" t="s">
        <v>28</v>
      </c>
      <c r="C102" s="9" t="s">
        <v>9</v>
      </c>
      <c r="D102" s="28">
        <f t="shared" si="69"/>
        <v>2845.3263474285714</v>
      </c>
      <c r="E102" s="76">
        <f t="shared" si="49"/>
        <v>634.3724793508743</v>
      </c>
      <c r="F102" s="28">
        <v>266.65823591830105</v>
      </c>
      <c r="G102" s="28">
        <v>367.7142434325732</v>
      </c>
      <c r="H102" s="28">
        <v>838.12765859153092</v>
      </c>
      <c r="I102" s="29">
        <v>414.83323943941855</v>
      </c>
      <c r="J102" s="29">
        <v>768.33812048257448</v>
      </c>
      <c r="K102" s="29">
        <v>189.65484956417319</v>
      </c>
      <c r="M102" s="93">
        <f>N102+O102</f>
        <v>545.37780455012671</v>
      </c>
      <c r="N102" s="120">
        <f>'Проект ТС-6 усл.свод'!N107</f>
        <v>207.87246692829976</v>
      </c>
      <c r="O102" s="120">
        <f>'Проект ТС-6 усл.свод'!O107</f>
        <v>337.50533762182692</v>
      </c>
      <c r="P102" s="92">
        <f t="shared" si="50"/>
        <v>88.994674800747589</v>
      </c>
      <c r="Q102" s="96">
        <f t="shared" si="48"/>
        <v>0.14028772952416213</v>
      </c>
      <c r="R102" s="141"/>
      <c r="V102" s="187">
        <f>W102+X102</f>
        <v>634.3724793508743</v>
      </c>
      <c r="W102" s="120">
        <v>266.65823591830105</v>
      </c>
      <c r="X102" s="120">
        <v>367.7142434325732</v>
      </c>
      <c r="Y102" s="188"/>
      <c r="Z102" s="96">
        <f t="shared" si="55"/>
        <v>0</v>
      </c>
      <c r="AA102" s="141"/>
      <c r="AC102" s="269" t="s">
        <v>206</v>
      </c>
      <c r="AD102" s="275"/>
    </row>
    <row r="103" spans="1:30" s="4" customFormat="1" ht="16.5" customHeight="1">
      <c r="A103" s="163" t="s">
        <v>55</v>
      </c>
      <c r="B103" s="12" t="s">
        <v>32</v>
      </c>
      <c r="C103" s="163" t="s">
        <v>9</v>
      </c>
      <c r="D103" s="25">
        <f t="shared" si="69"/>
        <v>22641.260000000002</v>
      </c>
      <c r="E103" s="74">
        <f t="shared" si="49"/>
        <v>5047.9243812605728</v>
      </c>
      <c r="F103" s="25">
        <v>2121.8931375038546</v>
      </c>
      <c r="G103" s="25">
        <v>2926.0312437567181</v>
      </c>
      <c r="H103" s="25">
        <v>6669.2758278893571</v>
      </c>
      <c r="I103" s="33">
        <v>3300.9736261987482</v>
      </c>
      <c r="J103" s="33">
        <v>6113.9359882140916</v>
      </c>
      <c r="K103" s="33">
        <v>1509.1501764372315</v>
      </c>
      <c r="M103" s="92">
        <f>N103+O103</f>
        <v>2187.1157192370706</v>
      </c>
      <c r="N103" s="120">
        <f>'Проект ТС-6 усл.свод'!N108</f>
        <v>833.62604092496679</v>
      </c>
      <c r="O103" s="120">
        <f>'Проект ТС-6 усл.свод'!O108</f>
        <v>1353.4896783121037</v>
      </c>
      <c r="P103" s="92">
        <f t="shared" si="50"/>
        <v>2860.8086620235022</v>
      </c>
      <c r="Q103" s="96">
        <f t="shared" si="48"/>
        <v>0.56672969837735532</v>
      </c>
      <c r="R103" s="141">
        <f>Q103</f>
        <v>0.56672969837735532</v>
      </c>
      <c r="V103" s="118">
        <f>W103+X103</f>
        <v>2187.1157192370706</v>
      </c>
      <c r="W103" s="120">
        <f>N103</f>
        <v>833.62604092496679</v>
      </c>
      <c r="X103" s="120">
        <f>O103</f>
        <v>1353.4896783121037</v>
      </c>
      <c r="Y103" s="204">
        <f>V103-E103</f>
        <v>-2860.8086620235022</v>
      </c>
      <c r="Z103" s="96">
        <f t="shared" si="55"/>
        <v>0.56672969837735532</v>
      </c>
      <c r="AA103" s="141">
        <f t="shared" ref="AA103:AA104" si="71">Z103</f>
        <v>0.56672969837735532</v>
      </c>
      <c r="AC103" s="269" t="s">
        <v>206</v>
      </c>
      <c r="AD103" s="278" t="s">
        <v>240</v>
      </c>
    </row>
    <row r="104" spans="1:30" s="4" customFormat="1" ht="16.5" hidden="1" customHeight="1">
      <c r="A104" s="163" t="s">
        <v>57</v>
      </c>
      <c r="B104" s="12" t="s">
        <v>56</v>
      </c>
      <c r="C104" s="163" t="s">
        <v>9</v>
      </c>
      <c r="D104" s="25">
        <f t="shared" si="69"/>
        <v>0</v>
      </c>
      <c r="E104" s="74"/>
      <c r="F104" s="25">
        <v>0</v>
      </c>
      <c r="G104" s="25">
        <v>0</v>
      </c>
      <c r="H104" s="25">
        <v>0</v>
      </c>
      <c r="I104" s="33">
        <v>0</v>
      </c>
      <c r="J104" s="33">
        <v>0</v>
      </c>
      <c r="K104" s="33">
        <v>0</v>
      </c>
      <c r="M104" s="92">
        <v>0</v>
      </c>
      <c r="N104" s="120">
        <f>'Проект ТС-6 усл.свод'!N109</f>
        <v>0</v>
      </c>
      <c r="O104" s="120">
        <f>'Проект ТС-6 усл.свод'!O109</f>
        <v>0</v>
      </c>
      <c r="P104" s="92">
        <f t="shared" si="50"/>
        <v>0</v>
      </c>
      <c r="Q104" s="96" t="e">
        <f t="shared" si="48"/>
        <v>#DIV/0!</v>
      </c>
      <c r="R104" s="141" t="e">
        <f>Q104</f>
        <v>#DIV/0!</v>
      </c>
      <c r="V104" s="118">
        <v>0</v>
      </c>
      <c r="W104" s="120">
        <f>'Проект ТС-6 усл.свод'!AA109</f>
        <v>0</v>
      </c>
      <c r="X104" s="120">
        <f>'Проект ТС-6 усл.свод'!AB109</f>
        <v>0</v>
      </c>
      <c r="Y104" s="188" t="e">
        <f>Q104-V104</f>
        <v>#DIV/0!</v>
      </c>
      <c r="Z104" s="96" t="e">
        <f t="shared" si="55"/>
        <v>#DIV/0!</v>
      </c>
      <c r="AA104" s="141" t="e">
        <f t="shared" si="71"/>
        <v>#DIV/0!</v>
      </c>
      <c r="AC104" s="269"/>
      <c r="AD104" s="275"/>
    </row>
    <row r="105" spans="1:30" s="4" customFormat="1" ht="16.5" customHeight="1">
      <c r="A105" s="163" t="s">
        <v>109</v>
      </c>
      <c r="B105" s="12" t="s">
        <v>34</v>
      </c>
      <c r="C105" s="163" t="s">
        <v>9</v>
      </c>
      <c r="D105" s="25">
        <f t="shared" si="69"/>
        <v>14.456618799999996</v>
      </c>
      <c r="E105" s="74">
        <f t="shared" si="49"/>
        <v>11.249948967745491</v>
      </c>
      <c r="F105" s="25">
        <f t="shared" ref="F105:K105" si="72">SUM(F106:F107)</f>
        <v>6.3876974278588996</v>
      </c>
      <c r="G105" s="25">
        <f t="shared" si="72"/>
        <v>4.8622515398865911</v>
      </c>
      <c r="H105" s="25">
        <f t="shared" si="72"/>
        <v>1.3069143242630989</v>
      </c>
      <c r="I105" s="25">
        <f t="shared" si="72"/>
        <v>0.57972137866278706</v>
      </c>
      <c r="J105" s="25">
        <f t="shared" si="72"/>
        <v>1.0217581020351718</v>
      </c>
      <c r="K105" s="25">
        <f t="shared" si="72"/>
        <v>0.29827602729344682</v>
      </c>
      <c r="M105" s="92">
        <f>N105+O105</f>
        <v>10.933863312757996</v>
      </c>
      <c r="N105" s="122">
        <f>SUM(N106:N107)</f>
        <v>6.4052177055058239</v>
      </c>
      <c r="O105" s="122">
        <f>SUM(O106:O107)</f>
        <v>4.528645607252173</v>
      </c>
      <c r="P105" s="92">
        <f t="shared" si="50"/>
        <v>0.31608565498749464</v>
      </c>
      <c r="Q105" s="96">
        <f t="shared" si="48"/>
        <v>2.8096630117499855E-2</v>
      </c>
      <c r="R105" s="141"/>
      <c r="V105" s="118">
        <f>W105+X105</f>
        <v>11.249948967745491</v>
      </c>
      <c r="W105" s="122">
        <f>SUM(W106:W107)</f>
        <v>6.3876974278588996</v>
      </c>
      <c r="X105" s="122">
        <f>SUM(X106:X107)</f>
        <v>4.8622515398865911</v>
      </c>
      <c r="Y105" s="188"/>
      <c r="Z105" s="96">
        <f t="shared" si="55"/>
        <v>0</v>
      </c>
      <c r="AA105" s="141"/>
      <c r="AC105" s="269"/>
      <c r="AD105" s="275"/>
    </row>
    <row r="106" spans="1:30" s="4" customFormat="1" ht="16.5" customHeight="1" outlineLevel="1">
      <c r="A106" s="14"/>
      <c r="B106" s="18" t="s">
        <v>112</v>
      </c>
      <c r="C106" s="7" t="s">
        <v>9</v>
      </c>
      <c r="D106" s="28">
        <f t="shared" si="69"/>
        <v>6.3196187999999971</v>
      </c>
      <c r="E106" s="75">
        <f t="shared" si="49"/>
        <v>4.9178435136994132</v>
      </c>
      <c r="F106" s="44">
        <v>2.7923412322256671</v>
      </c>
      <c r="G106" s="44">
        <v>2.1255022814737456</v>
      </c>
      <c r="H106" s="44">
        <v>0.5713092700211736</v>
      </c>
      <c r="I106" s="45">
        <v>0.25342150706493466</v>
      </c>
      <c r="J106" s="45">
        <v>0.44665504430910147</v>
      </c>
      <c r="K106" s="45">
        <v>0.13038946490537465</v>
      </c>
      <c r="M106" s="93">
        <f>N106+O106</f>
        <v>4.7796686835192546</v>
      </c>
      <c r="N106" s="129">
        <f>'Проект ТС-6 усл.свод'!N111</f>
        <v>2.8000001099709055</v>
      </c>
      <c r="O106" s="129">
        <f>'Проект ТС-6 усл.свод'!O111</f>
        <v>1.979668573548349</v>
      </c>
      <c r="P106" s="92">
        <f t="shared" si="50"/>
        <v>0.13817483018015864</v>
      </c>
      <c r="Q106" s="96">
        <f t="shared" si="48"/>
        <v>2.8096630117499966E-2</v>
      </c>
      <c r="R106" s="141"/>
      <c r="V106" s="187">
        <f>W106+X106</f>
        <v>4.9178435136994132</v>
      </c>
      <c r="W106" s="129">
        <v>2.7923412322256671</v>
      </c>
      <c r="X106" s="129">
        <v>2.1255022814737456</v>
      </c>
      <c r="Y106" s="188"/>
      <c r="Z106" s="96">
        <f t="shared" si="55"/>
        <v>0</v>
      </c>
      <c r="AA106" s="141"/>
      <c r="AC106" s="272" t="s">
        <v>210</v>
      </c>
      <c r="AD106" s="278" t="s">
        <v>222</v>
      </c>
    </row>
    <row r="107" spans="1:30" s="4" customFormat="1" ht="16.5" customHeight="1" outlineLevel="1">
      <c r="A107" s="14"/>
      <c r="B107" s="18" t="s">
        <v>201</v>
      </c>
      <c r="C107" s="7" t="s">
        <v>9</v>
      </c>
      <c r="D107" s="28">
        <f t="shared" si="69"/>
        <v>8.1369999999999969</v>
      </c>
      <c r="E107" s="75">
        <f t="shared" si="49"/>
        <v>6.3321054540460775</v>
      </c>
      <c r="F107" s="44">
        <v>3.5953561956332325</v>
      </c>
      <c r="G107" s="44">
        <v>2.736749258412845</v>
      </c>
      <c r="H107" s="44">
        <v>0.73560505424192524</v>
      </c>
      <c r="I107" s="45">
        <v>0.32629987159785234</v>
      </c>
      <c r="J107" s="45">
        <v>0.57510305772607029</v>
      </c>
      <c r="K107" s="45">
        <v>0.16788656238807217</v>
      </c>
      <c r="M107" s="93">
        <f>N107+O107</f>
        <v>6.1541946292387424</v>
      </c>
      <c r="N107" s="129">
        <f>'Проект ТС-6 усл.свод'!N112</f>
        <v>3.6052175955349184</v>
      </c>
      <c r="O107" s="129">
        <f>'Проект ТС-6 усл.свод'!O112</f>
        <v>2.548977033703824</v>
      </c>
      <c r="P107" s="92">
        <f t="shared" si="50"/>
        <v>0.17791082480733511</v>
      </c>
      <c r="Q107" s="96">
        <f t="shared" si="48"/>
        <v>2.8096630117499743E-2</v>
      </c>
      <c r="R107" s="141"/>
      <c r="V107" s="187">
        <f>W107+X107</f>
        <v>6.3321054540460775</v>
      </c>
      <c r="W107" s="129">
        <v>3.5953561956332325</v>
      </c>
      <c r="X107" s="129">
        <v>2.736749258412845</v>
      </c>
      <c r="Y107" s="188"/>
      <c r="Z107" s="96">
        <f t="shared" si="55"/>
        <v>0</v>
      </c>
      <c r="AA107" s="141"/>
      <c r="AC107" s="272" t="s">
        <v>210</v>
      </c>
      <c r="AD107" s="283" t="str">
        <f>AD42</f>
        <v xml:space="preserve">Налоговый кодекс, глава 51, статья 367. </v>
      </c>
    </row>
    <row r="108" spans="1:30" s="4" customFormat="1" ht="16.5" customHeight="1">
      <c r="A108" s="163" t="s">
        <v>58</v>
      </c>
      <c r="B108" s="12" t="s">
        <v>59</v>
      </c>
      <c r="C108" s="163" t="s">
        <v>9</v>
      </c>
      <c r="D108" s="25">
        <f t="shared" si="69"/>
        <v>0</v>
      </c>
      <c r="E108" s="74">
        <f t="shared" si="49"/>
        <v>0</v>
      </c>
      <c r="F108" s="25"/>
      <c r="G108" s="25"/>
      <c r="H108" s="25"/>
      <c r="I108" s="33"/>
      <c r="J108" s="33"/>
      <c r="K108" s="33"/>
      <c r="M108" s="92"/>
      <c r="N108" s="129">
        <f>'Проект ТС-6 усл.свод'!N113</f>
        <v>0</v>
      </c>
      <c r="O108" s="129">
        <f>'Проект ТС-6 усл.свод'!O113</f>
        <v>0</v>
      </c>
      <c r="P108" s="92">
        <f t="shared" si="50"/>
        <v>0</v>
      </c>
      <c r="Q108" s="96"/>
      <c r="R108" s="141"/>
      <c r="V108" s="118"/>
      <c r="W108" s="129">
        <f>'Проект ТС-6 усл.свод'!AA113</f>
        <v>0</v>
      </c>
      <c r="X108" s="129">
        <f>'Проект ТС-6 усл.свод'!AB113</f>
        <v>0</v>
      </c>
      <c r="Y108" s="188"/>
      <c r="Z108" s="96"/>
      <c r="AA108" s="141"/>
      <c r="AC108" s="269"/>
      <c r="AD108" s="275"/>
    </row>
    <row r="109" spans="1:30" s="4" customFormat="1" ht="16.5" customHeight="1">
      <c r="A109" s="163" t="s">
        <v>60</v>
      </c>
      <c r="B109" s="12" t="s">
        <v>30</v>
      </c>
      <c r="C109" s="163" t="s">
        <v>9</v>
      </c>
      <c r="D109" s="25">
        <f t="shared" si="69"/>
        <v>1730.3571428571427</v>
      </c>
      <c r="E109" s="74">
        <f t="shared" si="49"/>
        <v>385.78736385329057</v>
      </c>
      <c r="F109" s="25">
        <v>162.16557501037255</v>
      </c>
      <c r="G109" s="25">
        <v>223.62178884291802</v>
      </c>
      <c r="H109" s="28">
        <v>509.69906562058969</v>
      </c>
      <c r="I109" s="29">
        <v>252.27674133312576</v>
      </c>
      <c r="J109" s="29">
        <v>467.2572466451777</v>
      </c>
      <c r="K109" s="29">
        <v>115.33672540495894</v>
      </c>
      <c r="M109" s="92">
        <f>N109+O109</f>
        <v>173.10644530440737</v>
      </c>
      <c r="N109" s="129">
        <f>'Проект ТС-6 усл.свод'!N114</f>
        <v>65.980066527090557</v>
      </c>
      <c r="O109" s="129">
        <f>'Проект ТС-6 усл.свод'!O114</f>
        <v>107.12637877731682</v>
      </c>
      <c r="P109" s="92">
        <f t="shared" si="50"/>
        <v>212.6809185488832</v>
      </c>
      <c r="Q109" s="96">
        <f t="shared" si="48"/>
        <v>0.55129052549725999</v>
      </c>
      <c r="R109" s="141">
        <f>Q109</f>
        <v>0.55129052549725999</v>
      </c>
      <c r="V109" s="118">
        <f>W109+X109</f>
        <v>173.10644530440737</v>
      </c>
      <c r="W109" s="129">
        <f>N109</f>
        <v>65.980066527090557</v>
      </c>
      <c r="X109" s="129">
        <f>O109</f>
        <v>107.12637877731682</v>
      </c>
      <c r="Y109" s="204">
        <f>V109-E109</f>
        <v>-212.6809185488832</v>
      </c>
      <c r="Z109" s="96">
        <f t="shared" si="55"/>
        <v>0.55129052549725999</v>
      </c>
      <c r="AA109" s="141">
        <f t="shared" ref="AA109" si="73">Z109</f>
        <v>0.55129052549725999</v>
      </c>
      <c r="AC109" s="269" t="s">
        <v>206</v>
      </c>
      <c r="AD109" s="275"/>
    </row>
    <row r="110" spans="1:30" s="4" customFormat="1" ht="16.5" customHeight="1">
      <c r="A110" s="163" t="s">
        <v>61</v>
      </c>
      <c r="B110" s="12" t="s">
        <v>62</v>
      </c>
      <c r="C110" s="163" t="s">
        <v>9</v>
      </c>
      <c r="D110" s="25">
        <f>SUM(D111:D112)</f>
        <v>296.57707597199999</v>
      </c>
      <c r="E110" s="74">
        <f t="shared" si="49"/>
        <v>66.122585612374394</v>
      </c>
      <c r="F110" s="25">
        <f t="shared" ref="F110:K110" si="74">SUM(F111:F112)</f>
        <v>27.794604286419837</v>
      </c>
      <c r="G110" s="25">
        <f t="shared" si="74"/>
        <v>38.327981325954553</v>
      </c>
      <c r="H110" s="25">
        <f t="shared" si="74"/>
        <v>87.360611727711472</v>
      </c>
      <c r="I110" s="25">
        <f t="shared" si="74"/>
        <v>43.239338531456042</v>
      </c>
      <c r="J110" s="25">
        <f t="shared" si="74"/>
        <v>80.086234514533004</v>
      </c>
      <c r="K110" s="25">
        <f t="shared" si="74"/>
        <v>19.768305585925077</v>
      </c>
      <c r="M110" s="101">
        <f>SUM(M111:M112)</f>
        <v>56.846398206547363</v>
      </c>
      <c r="N110" s="25">
        <f>SUM(N111:N112)</f>
        <v>21.66718361582566</v>
      </c>
      <c r="O110" s="25">
        <f>SUM(O111:O112)</f>
        <v>35.179214590721699</v>
      </c>
      <c r="P110" s="92">
        <f t="shared" si="50"/>
        <v>9.2761874058270308</v>
      </c>
      <c r="Q110" s="96">
        <f t="shared" si="48"/>
        <v>0.14028772952416213</v>
      </c>
      <c r="R110" s="141"/>
      <c r="V110" s="122">
        <f>SUM(V111:V112)</f>
        <v>66.122585612374394</v>
      </c>
      <c r="W110" s="122">
        <f>SUM(W111:W112)</f>
        <v>27.794604286419837</v>
      </c>
      <c r="X110" s="122">
        <f>SUM(X111:X112)</f>
        <v>38.327981325954553</v>
      </c>
      <c r="Y110" s="188"/>
      <c r="Z110" s="96">
        <f t="shared" si="55"/>
        <v>0</v>
      </c>
      <c r="AA110" s="141"/>
      <c r="AC110" s="269"/>
      <c r="AD110" s="275"/>
    </row>
    <row r="111" spans="1:30" s="4" customFormat="1" ht="16.5" customHeight="1" outlineLevel="1">
      <c r="A111" s="14"/>
      <c r="B111" s="18" t="s">
        <v>63</v>
      </c>
      <c r="C111" s="7" t="s">
        <v>9</v>
      </c>
      <c r="D111" s="28">
        <f t="shared" ref="D111:D130" si="75">SUM(F111:K111)</f>
        <v>29.084922371999994</v>
      </c>
      <c r="E111" s="76">
        <f t="shared" si="49"/>
        <v>6.4845546921279933</v>
      </c>
      <c r="F111" s="28">
        <v>2.7257801547254488</v>
      </c>
      <c r="G111" s="28">
        <v>3.7587745374025445</v>
      </c>
      <c r="H111" s="28">
        <v>8.56733988000747</v>
      </c>
      <c r="I111" s="29">
        <v>4.2404248557725985</v>
      </c>
      <c r="J111" s="29">
        <v>7.8539513085660388</v>
      </c>
      <c r="K111" s="29">
        <v>1.9386516355258927</v>
      </c>
      <c r="M111" s="93">
        <f>N111+O111</f>
        <v>5.574851237394105</v>
      </c>
      <c r="N111" s="120">
        <f>'Проект ТС-6 усл.свод'!N116</f>
        <v>2.1248720974835424</v>
      </c>
      <c r="O111" s="120">
        <f>'Проект ТС-6 усл.свод'!O116</f>
        <v>3.449979139910563</v>
      </c>
      <c r="P111" s="92">
        <f t="shared" si="50"/>
        <v>0.90970345473388825</v>
      </c>
      <c r="Q111" s="96">
        <f t="shared" si="48"/>
        <v>0.14028772952416213</v>
      </c>
      <c r="R111" s="141"/>
      <c r="V111" s="187">
        <f>W111+X111</f>
        <v>6.4845546921279933</v>
      </c>
      <c r="W111" s="120">
        <v>2.7257801547254488</v>
      </c>
      <c r="X111" s="120">
        <v>3.7587745374025445</v>
      </c>
      <c r="Y111" s="188"/>
      <c r="Z111" s="96">
        <f t="shared" si="55"/>
        <v>0</v>
      </c>
      <c r="AA111" s="141"/>
      <c r="AC111" s="269" t="s">
        <v>206</v>
      </c>
      <c r="AD111" s="278" t="s">
        <v>242</v>
      </c>
    </row>
    <row r="112" spans="1:30" s="4" customFormat="1" ht="16.5" customHeight="1" outlineLevel="1">
      <c r="A112" s="14"/>
      <c r="B112" s="18" t="s">
        <v>64</v>
      </c>
      <c r="C112" s="7" t="s">
        <v>9</v>
      </c>
      <c r="D112" s="28">
        <f t="shared" si="75"/>
        <v>267.49215359999999</v>
      </c>
      <c r="E112" s="76">
        <f t="shared" si="49"/>
        <v>59.638030920246393</v>
      </c>
      <c r="F112" s="28">
        <v>25.068824131694388</v>
      </c>
      <c r="G112" s="28">
        <v>34.569206788552009</v>
      </c>
      <c r="H112" s="28">
        <v>78.793271847704005</v>
      </c>
      <c r="I112" s="29">
        <v>38.99891367568344</v>
      </c>
      <c r="J112" s="29">
        <v>72.232283205966965</v>
      </c>
      <c r="K112" s="29">
        <v>17.829653950399184</v>
      </c>
      <c r="M112" s="93">
        <f>N112+O112</f>
        <v>51.271546969153256</v>
      </c>
      <c r="N112" s="120">
        <f>'Проект ТС-6 усл.свод'!N117</f>
        <v>19.542311518342117</v>
      </c>
      <c r="O112" s="120">
        <f>'Проект ТС-6 усл.свод'!O117</f>
        <v>31.729235450811139</v>
      </c>
      <c r="P112" s="92">
        <f t="shared" si="50"/>
        <v>8.3664839510931373</v>
      </c>
      <c r="Q112" s="96">
        <f t="shared" si="48"/>
        <v>0.14028772952416202</v>
      </c>
      <c r="R112" s="141"/>
      <c r="V112" s="187">
        <f>W112+X112</f>
        <v>59.638030920246393</v>
      </c>
      <c r="W112" s="120">
        <v>25.068824131694388</v>
      </c>
      <c r="X112" s="120">
        <v>34.569206788552009</v>
      </c>
      <c r="Y112" s="188"/>
      <c r="Z112" s="96">
        <f t="shared" si="55"/>
        <v>0</v>
      </c>
      <c r="AA112" s="141"/>
      <c r="AC112" s="269" t="s">
        <v>206</v>
      </c>
      <c r="AD112" s="283" t="str">
        <f>AD73</f>
        <v xml:space="preserve">Закон РК «Об обязательном страховании работников от несчастных случаев», статья 17; </v>
      </c>
    </row>
    <row r="113" spans="1:35" s="4" customFormat="1" ht="16.5" customHeight="1">
      <c r="A113" s="163" t="s">
        <v>120</v>
      </c>
      <c r="B113" s="12" t="s">
        <v>65</v>
      </c>
      <c r="C113" s="7" t="s">
        <v>9</v>
      </c>
      <c r="D113" s="25">
        <f>SUM(D114:D130)</f>
        <v>17169.74545690868</v>
      </c>
      <c r="E113" s="74">
        <f t="shared" si="49"/>
        <v>4003.6030680953136</v>
      </c>
      <c r="F113" s="25">
        <f t="shared" ref="F113:K113" si="76">SUM(F114:F130)</f>
        <v>1735.4820130193887</v>
      </c>
      <c r="G113" s="25">
        <f t="shared" si="76"/>
        <v>2268.1210550759251</v>
      </c>
      <c r="H113" s="25">
        <f t="shared" si="76"/>
        <v>4990.9474234508316</v>
      </c>
      <c r="I113" s="25">
        <f t="shared" si="76"/>
        <v>2519.83615368034</v>
      </c>
      <c r="J113" s="25">
        <f t="shared" si="76"/>
        <v>4592.8909867311804</v>
      </c>
      <c r="K113" s="25">
        <f t="shared" si="76"/>
        <v>1062.4678249510157</v>
      </c>
      <c r="M113" s="101">
        <f>SUM(M114:M130)</f>
        <v>3371.929686608968</v>
      </c>
      <c r="N113" s="122">
        <f>SUM(N114:N130)</f>
        <v>1358.9716196773682</v>
      </c>
      <c r="O113" s="122">
        <f>SUM(O114:O130)</f>
        <v>2012.9580669315997</v>
      </c>
      <c r="P113" s="92">
        <f t="shared" si="50"/>
        <v>631.67338148634553</v>
      </c>
      <c r="Q113" s="96">
        <f t="shared" si="48"/>
        <v>0.15777622575028638</v>
      </c>
      <c r="R113" s="141">
        <f>Q113</f>
        <v>0.15777622575028638</v>
      </c>
      <c r="V113" s="122">
        <f>SUM(V114:V130)</f>
        <v>3725.5212110911407</v>
      </c>
      <c r="W113" s="122">
        <f>SUM(W114:W130)</f>
        <v>1573.3112648527142</v>
      </c>
      <c r="X113" s="122">
        <f>SUM(X114:X130)</f>
        <v>2152.2099462384267</v>
      </c>
      <c r="Y113" s="188"/>
      <c r="Z113" s="96">
        <f t="shared" si="55"/>
        <v>6.945789886620013E-2</v>
      </c>
      <c r="AA113" s="141">
        <f t="shared" ref="AA113" si="77">Z113</f>
        <v>6.945789886620013E-2</v>
      </c>
      <c r="AC113" s="269"/>
      <c r="AD113" s="275"/>
    </row>
    <row r="114" spans="1:35" s="4" customFormat="1" ht="16.5" customHeight="1" outlineLevel="1">
      <c r="A114" s="163"/>
      <c r="B114" s="18" t="s">
        <v>98</v>
      </c>
      <c r="C114" s="7" t="s">
        <v>9</v>
      </c>
      <c r="D114" s="28">
        <f t="shared" si="75"/>
        <v>1089.1199999999999</v>
      </c>
      <c r="E114" s="76">
        <f t="shared" si="49"/>
        <v>242.82197201562607</v>
      </c>
      <c r="F114" s="89">
        <v>102.07012568727171</v>
      </c>
      <c r="G114" s="89">
        <v>140.75184632835436</v>
      </c>
      <c r="H114" s="28">
        <v>320.81437559883398</v>
      </c>
      <c r="I114" s="29">
        <v>158.78782345883488</v>
      </c>
      <c r="J114" s="29">
        <v>294.10068006302345</v>
      </c>
      <c r="K114" s="29">
        <v>72.595148863681501</v>
      </c>
      <c r="M114" s="93">
        <f t="shared" ref="M114:M128" si="78">N114+O114</f>
        <v>208.75702888297425</v>
      </c>
      <c r="N114" s="120">
        <f>'Проект ТС-6 усл.свод'!N119</f>
        <v>79.568398677907112</v>
      </c>
      <c r="O114" s="120">
        <f>'Проект ТС-6 усл.свод'!O119</f>
        <v>129.18863020506714</v>
      </c>
      <c r="P114" s="92">
        <f t="shared" si="50"/>
        <v>34.06494313265182</v>
      </c>
      <c r="Q114" s="96">
        <f t="shared" si="48"/>
        <v>0.14028772952416213</v>
      </c>
      <c r="R114" s="141"/>
      <c r="V114" s="187">
        <f t="shared" ref="V114:V128" si="79">W114+X114</f>
        <v>242.82197201562607</v>
      </c>
      <c r="W114" s="120">
        <v>102.07012568727171</v>
      </c>
      <c r="X114" s="120">
        <v>140.75184632835436</v>
      </c>
      <c r="Y114" s="188"/>
      <c r="Z114" s="96">
        <f t="shared" si="55"/>
        <v>0</v>
      </c>
      <c r="AA114" s="141"/>
      <c r="AC114" s="269" t="s">
        <v>206</v>
      </c>
      <c r="AD114" s="275"/>
    </row>
    <row r="115" spans="1:35" s="4" customFormat="1" ht="38.25" customHeight="1" outlineLevel="1">
      <c r="A115" s="163"/>
      <c r="B115" s="18" t="s">
        <v>99</v>
      </c>
      <c r="C115" s="7" t="s">
        <v>9</v>
      </c>
      <c r="D115" s="28">
        <f t="shared" si="75"/>
        <v>158</v>
      </c>
      <c r="E115" s="76">
        <f t="shared" si="49"/>
        <v>35.226487052362387</v>
      </c>
      <c r="F115" s="89">
        <v>14.807440739853213</v>
      </c>
      <c r="G115" s="89">
        <v>20.419046312509174</v>
      </c>
      <c r="H115" s="28">
        <v>46.540942545004931</v>
      </c>
      <c r="I115" s="29">
        <v>23.035548063111424</v>
      </c>
      <c r="J115" s="29">
        <v>42.665553336599928</v>
      </c>
      <c r="K115" s="29">
        <v>10.531469002921328</v>
      </c>
      <c r="M115" s="93">
        <f t="shared" si="78"/>
        <v>30.284643164674172</v>
      </c>
      <c r="N115" s="120">
        <f>'Проект ТС-6 усл.свод'!N120</f>
        <v>11.543087071313835</v>
      </c>
      <c r="O115" s="120">
        <f>'Проект ТС-6 усл.свод'!O120</f>
        <v>18.741556093360337</v>
      </c>
      <c r="P115" s="92">
        <f t="shared" si="50"/>
        <v>4.9418438876882149</v>
      </c>
      <c r="Q115" s="96">
        <f t="shared" si="48"/>
        <v>0.14028772952416213</v>
      </c>
      <c r="R115" s="141"/>
      <c r="V115" s="187">
        <f t="shared" si="79"/>
        <v>35.226487052362387</v>
      </c>
      <c r="W115" s="120">
        <v>14.807440739853213</v>
      </c>
      <c r="X115" s="120">
        <v>20.419046312509174</v>
      </c>
      <c r="Y115" s="188"/>
      <c r="Z115" s="96">
        <f t="shared" si="55"/>
        <v>0</v>
      </c>
      <c r="AA115" s="141"/>
      <c r="AC115" s="269" t="s">
        <v>206</v>
      </c>
      <c r="AD115" s="281" t="s">
        <v>243</v>
      </c>
    </row>
    <row r="116" spans="1:35" s="4" customFormat="1" ht="16.5" customHeight="1" outlineLevel="1">
      <c r="A116" s="163"/>
      <c r="B116" s="18" t="s">
        <v>162</v>
      </c>
      <c r="C116" s="7" t="s">
        <v>9</v>
      </c>
      <c r="D116" s="28">
        <f t="shared" si="75"/>
        <v>463.51600000000002</v>
      </c>
      <c r="E116" s="76">
        <f t="shared" si="49"/>
        <v>103.34202767444813</v>
      </c>
      <c r="F116" s="89">
        <v>43.439782923884827</v>
      </c>
      <c r="G116" s="89">
        <v>59.902244750563305</v>
      </c>
      <c r="H116" s="28">
        <v>136.53462990310447</v>
      </c>
      <c r="I116" s="29">
        <v>67.578133519121238</v>
      </c>
      <c r="J116" s="29">
        <v>125.16561152131298</v>
      </c>
      <c r="K116" s="29">
        <v>30.895597382013182</v>
      </c>
      <c r="M116" s="93">
        <f t="shared" si="78"/>
        <v>88.844409247576664</v>
      </c>
      <c r="N116" s="120">
        <f>'Проект ТС-6 усл.свод'!N121</f>
        <v>33.863326246500655</v>
      </c>
      <c r="O116" s="120">
        <f>'Проект ТС-6 усл.свод'!O121</f>
        <v>54.981083001076016</v>
      </c>
      <c r="P116" s="92">
        <f t="shared" si="50"/>
        <v>14.497618426871469</v>
      </c>
      <c r="Q116" s="96">
        <f t="shared" si="48"/>
        <v>0.14028772952416224</v>
      </c>
      <c r="R116" s="141"/>
      <c r="V116" s="187">
        <f t="shared" si="79"/>
        <v>103.34202767444813</v>
      </c>
      <c r="W116" s="120">
        <v>43.439782923884827</v>
      </c>
      <c r="X116" s="120">
        <v>59.902244750563305</v>
      </c>
      <c r="Y116" s="188"/>
      <c r="Z116" s="96">
        <f t="shared" si="55"/>
        <v>0</v>
      </c>
      <c r="AA116" s="141"/>
      <c r="AC116" s="269" t="s">
        <v>206</v>
      </c>
      <c r="AD116" s="285" t="str">
        <f>AD19</f>
        <v xml:space="preserve">«Типовые нормы бесплатной выдачи сертифицированной специальной одежды, специальной обуви и средств индивидуальной защиты работникам железнодорожного транспорта Республики Казахстан, занятым на работах с вредными и (или) опасными условиями труда, а также на работах, выполняемых в особых температурных условиях или связанных с загрязнением»,  </v>
      </c>
    </row>
    <row r="117" spans="1:35" s="4" customFormat="1" ht="36.75" customHeight="1" outlineLevel="1">
      <c r="A117" s="163"/>
      <c r="B117" s="18" t="s">
        <v>100</v>
      </c>
      <c r="C117" s="7" t="s">
        <v>9</v>
      </c>
      <c r="D117" s="28">
        <f t="shared" si="75"/>
        <v>2749.6089285714284</v>
      </c>
      <c r="E117" s="76">
        <f t="shared" si="49"/>
        <v>613.0320463378572</v>
      </c>
      <c r="F117" s="89">
        <v>257.68779283286528</v>
      </c>
      <c r="G117" s="89">
        <v>355.34425350499191</v>
      </c>
      <c r="H117" s="28">
        <v>809.93285548022413</v>
      </c>
      <c r="I117" s="29">
        <v>400.87815587890788</v>
      </c>
      <c r="J117" s="29">
        <v>742.49105314402311</v>
      </c>
      <c r="K117" s="29">
        <v>183.27481773041598</v>
      </c>
      <c r="M117" s="93">
        <f t="shared" si="78"/>
        <v>527.03117243156828</v>
      </c>
      <c r="N117" s="120">
        <f>'Проект ТС-6 усл.свод'!N122</f>
        <v>200.87959034532875</v>
      </c>
      <c r="O117" s="120">
        <f>'Проект ТС-6 усл.свод'!O122</f>
        <v>326.1515820862395</v>
      </c>
      <c r="P117" s="92">
        <f t="shared" si="50"/>
        <v>86.000873906288916</v>
      </c>
      <c r="Q117" s="96">
        <f t="shared" si="48"/>
        <v>0.14028772952416213</v>
      </c>
      <c r="R117" s="141"/>
      <c r="V117" s="187">
        <f t="shared" si="79"/>
        <v>613.0320463378572</v>
      </c>
      <c r="W117" s="120">
        <v>257.68779283286528</v>
      </c>
      <c r="X117" s="120">
        <v>355.34425350499191</v>
      </c>
      <c r="Y117" s="188"/>
      <c r="Z117" s="96">
        <f t="shared" si="55"/>
        <v>0</v>
      </c>
      <c r="AA117" s="141"/>
      <c r="AC117" s="269" t="s">
        <v>206</v>
      </c>
      <c r="AD117" s="275"/>
    </row>
    <row r="118" spans="1:35" s="4" customFormat="1" ht="16.5" customHeight="1" outlineLevel="1">
      <c r="A118" s="163"/>
      <c r="B118" s="18" t="s">
        <v>95</v>
      </c>
      <c r="C118" s="7" t="s">
        <v>9</v>
      </c>
      <c r="D118" s="28">
        <f t="shared" si="75"/>
        <v>69.40000000000002</v>
      </c>
      <c r="E118" s="76">
        <f t="shared" si="49"/>
        <v>21.940131024190826</v>
      </c>
      <c r="F118" s="89">
        <v>11.158977475419155</v>
      </c>
      <c r="G118" s="89">
        <v>10.781153548771671</v>
      </c>
      <c r="H118" s="28">
        <v>17.988512575819136</v>
      </c>
      <c r="I118" s="29">
        <v>10.728887812833047</v>
      </c>
      <c r="J118" s="29">
        <v>17.136443228265996</v>
      </c>
      <c r="K118" s="29">
        <v>1.6060253588910109</v>
      </c>
      <c r="M118" s="93">
        <f t="shared" si="78"/>
        <v>19.119880220285758</v>
      </c>
      <c r="N118" s="120">
        <f>'Проект ТС-6 усл.свод'!N123</f>
        <v>10.004288125331358</v>
      </c>
      <c r="O118" s="120">
        <f>'Проект ТС-6 усл.свод'!O123</f>
        <v>9.1155920949543976</v>
      </c>
      <c r="P118" s="92">
        <f t="shared" si="50"/>
        <v>2.8202508039050684</v>
      </c>
      <c r="Q118" s="96">
        <f t="shared" si="48"/>
        <v>0.12854302468820744</v>
      </c>
      <c r="R118" s="141"/>
      <c r="V118" s="187">
        <f t="shared" si="79"/>
        <v>21.940131024190826</v>
      </c>
      <c r="W118" s="120">
        <v>11.158977475419155</v>
      </c>
      <c r="X118" s="120">
        <v>10.781153548771671</v>
      </c>
      <c r="Y118" s="188"/>
      <c r="Z118" s="96">
        <f t="shared" si="55"/>
        <v>0</v>
      </c>
      <c r="AA118" s="141"/>
      <c r="AC118" s="269" t="s">
        <v>209</v>
      </c>
      <c r="AD118" s="278" t="s">
        <v>237</v>
      </c>
    </row>
    <row r="119" spans="1:35" s="4" customFormat="1" ht="16.5" customHeight="1" outlineLevel="1">
      <c r="A119" s="163"/>
      <c r="B119" s="18" t="s">
        <v>121</v>
      </c>
      <c r="C119" s="7" t="s">
        <v>9</v>
      </c>
      <c r="D119" s="28">
        <f t="shared" si="75"/>
        <v>1457.6375</v>
      </c>
      <c r="E119" s="76">
        <f t="shared" si="49"/>
        <v>324.98385139739162</v>
      </c>
      <c r="F119" s="89">
        <v>136.60684114834044</v>
      </c>
      <c r="G119" s="89">
        <v>188.37701024905121</v>
      </c>
      <c r="H119" s="28">
        <v>429.36596923382677</v>
      </c>
      <c r="I119" s="29">
        <v>212.51568791040239</v>
      </c>
      <c r="J119" s="29">
        <v>393.61335760555806</v>
      </c>
      <c r="K119" s="29">
        <v>97.15863385282114</v>
      </c>
      <c r="M119" s="93">
        <f t="shared" si="78"/>
        <v>279.3926047528339</v>
      </c>
      <c r="N119" s="120">
        <f>'Проект ТС-6 усл.свод'!N124</f>
        <v>106.49137076526722</v>
      </c>
      <c r="O119" s="120">
        <f>'Проект ТС-6 усл.свод'!O124</f>
        <v>172.90123398756666</v>
      </c>
      <c r="P119" s="92">
        <f t="shared" si="50"/>
        <v>45.591246644557714</v>
      </c>
      <c r="Q119" s="96">
        <f t="shared" si="48"/>
        <v>0.14028772952416191</v>
      </c>
      <c r="R119" s="141"/>
      <c r="V119" s="187">
        <f t="shared" si="79"/>
        <v>324.98385139739162</v>
      </c>
      <c r="W119" s="120">
        <v>136.60684114834044</v>
      </c>
      <c r="X119" s="120">
        <v>188.37701024905121</v>
      </c>
      <c r="Y119" s="188"/>
      <c r="Z119" s="96">
        <f t="shared" si="55"/>
        <v>0</v>
      </c>
      <c r="AA119" s="141"/>
      <c r="AC119" s="269" t="s">
        <v>206</v>
      </c>
      <c r="AD119" s="278" t="s">
        <v>244</v>
      </c>
    </row>
    <row r="120" spans="1:35" s="4" customFormat="1" ht="16.5" customHeight="1" outlineLevel="1">
      <c r="A120" s="163"/>
      <c r="B120" s="18" t="s">
        <v>101</v>
      </c>
      <c r="C120" s="7" t="s">
        <v>9</v>
      </c>
      <c r="D120" s="28">
        <f t="shared" si="75"/>
        <v>438.87040000000002</v>
      </c>
      <c r="E120" s="76">
        <f t="shared" si="49"/>
        <v>97.847230780158867</v>
      </c>
      <c r="F120" s="89">
        <v>41.130047091618202</v>
      </c>
      <c r="G120" s="89">
        <v>56.717183688540672</v>
      </c>
      <c r="H120" s="28">
        <v>129.2749498171097</v>
      </c>
      <c r="I120" s="29">
        <v>63.984937928335043</v>
      </c>
      <c r="J120" s="29">
        <v>118.51043328515787</v>
      </c>
      <c r="K120" s="29">
        <v>29.252848189238513</v>
      </c>
      <c r="M120" s="93">
        <f t="shared" si="78"/>
        <v>84.120464933783666</v>
      </c>
      <c r="N120" s="120">
        <f>'Проект ТС-6 усл.свод'!N125</f>
        <v>32.062780001407155</v>
      </c>
      <c r="O120" s="120">
        <f>'Проект ТС-6 усл.свод'!O125</f>
        <v>52.057684932376503</v>
      </c>
      <c r="P120" s="92">
        <f t="shared" si="50"/>
        <v>13.726765846375201</v>
      </c>
      <c r="Q120" s="96">
        <f t="shared" si="48"/>
        <v>0.14028772952416213</v>
      </c>
      <c r="R120" s="141"/>
      <c r="V120" s="187">
        <f t="shared" si="79"/>
        <v>97.847230780158867</v>
      </c>
      <c r="W120" s="120">
        <v>41.130047091618202</v>
      </c>
      <c r="X120" s="120">
        <v>56.717183688540672</v>
      </c>
      <c r="Y120" s="188"/>
      <c r="Z120" s="96">
        <f t="shared" si="55"/>
        <v>0</v>
      </c>
      <c r="AA120" s="141"/>
      <c r="AC120" s="269" t="s">
        <v>206</v>
      </c>
      <c r="AD120" s="275"/>
    </row>
    <row r="121" spans="1:35" s="4" customFormat="1" ht="16.5" customHeight="1" outlineLevel="1">
      <c r="A121" s="163"/>
      <c r="B121" s="18" t="s">
        <v>102</v>
      </c>
      <c r="C121" s="7" t="s">
        <v>9</v>
      </c>
      <c r="D121" s="28">
        <f t="shared" si="75"/>
        <v>1899.8759999999997</v>
      </c>
      <c r="E121" s="76">
        <f t="shared" si="49"/>
        <v>423.58200832337997</v>
      </c>
      <c r="F121" s="89">
        <v>178.05253976626179</v>
      </c>
      <c r="G121" s="89">
        <v>245.52946855711818</v>
      </c>
      <c r="H121" s="28">
        <v>559.63303644704922</v>
      </c>
      <c r="I121" s="29">
        <v>276.99167665792328</v>
      </c>
      <c r="J121" s="29">
        <v>513.03329627168421</v>
      </c>
      <c r="K121" s="29">
        <v>126.63598229996303</v>
      </c>
      <c r="M121" s="93">
        <f t="shared" si="78"/>
        <v>364.15865010840821</v>
      </c>
      <c r="N121" s="120">
        <f>'Проект ТС-6 усл.свод'!N126</f>
        <v>138.80021577657874</v>
      </c>
      <c r="O121" s="120">
        <f>'Проект ТС-6 усл.свод'!O126</f>
        <v>225.3584343318295</v>
      </c>
      <c r="P121" s="92">
        <f t="shared" si="50"/>
        <v>59.423358214971756</v>
      </c>
      <c r="Q121" s="96">
        <f t="shared" si="48"/>
        <v>0.14028772952416224</v>
      </c>
      <c r="R121" s="141"/>
      <c r="V121" s="187">
        <f t="shared" si="79"/>
        <v>423.58200832337997</v>
      </c>
      <c r="W121" s="120">
        <v>178.05253976626179</v>
      </c>
      <c r="X121" s="120">
        <v>245.52946855711818</v>
      </c>
      <c r="Y121" s="188"/>
      <c r="Z121" s="96">
        <f t="shared" si="55"/>
        <v>0</v>
      </c>
      <c r="AA121" s="141"/>
      <c r="AC121" s="269" t="s">
        <v>206</v>
      </c>
      <c r="AD121" s="275"/>
    </row>
    <row r="122" spans="1:35" s="4" customFormat="1" ht="16.5" customHeight="1" outlineLevel="1">
      <c r="A122" s="163"/>
      <c r="B122" s="18" t="s">
        <v>103</v>
      </c>
      <c r="C122" s="7" t="s">
        <v>9</v>
      </c>
      <c r="D122" s="28">
        <f t="shared" si="75"/>
        <v>6428.5714285714266</v>
      </c>
      <c r="E122" s="76">
        <f t="shared" si="49"/>
        <v>1433.2657480617604</v>
      </c>
      <c r="F122" s="89">
        <v>602.47272449673994</v>
      </c>
      <c r="G122" s="89">
        <v>830.79302356502035</v>
      </c>
      <c r="H122" s="28">
        <v>1893.6188196430571</v>
      </c>
      <c r="I122" s="29">
        <v>937.25105139241748</v>
      </c>
      <c r="J122" s="29">
        <v>1735.9402352142822</v>
      </c>
      <c r="K122" s="29">
        <v>428.49557425990929</v>
      </c>
      <c r="M122" s="93">
        <f t="shared" si="78"/>
        <v>1155.1838910575871</v>
      </c>
      <c r="N122" s="120">
        <f>'Проект ТС-6 усл.свод'!N127</f>
        <v>440.30197633006537</v>
      </c>
      <c r="O122" s="120">
        <f>'Проект ТС-6 усл.свод'!O127</f>
        <v>714.8819147275218</v>
      </c>
      <c r="P122" s="92">
        <f t="shared" si="50"/>
        <v>278.08185700417334</v>
      </c>
      <c r="Q122" s="96">
        <f t="shared" si="48"/>
        <v>0.19401974642890207</v>
      </c>
      <c r="R122" s="141">
        <f>Q122</f>
        <v>0.19401974642890207</v>
      </c>
      <c r="V122" s="187">
        <f t="shared" si="79"/>
        <v>1155.1838910575871</v>
      </c>
      <c r="W122" s="120">
        <f>N122</f>
        <v>440.30197633006537</v>
      </c>
      <c r="X122" s="120">
        <f>O122</f>
        <v>714.8819147275218</v>
      </c>
      <c r="Y122" s="204">
        <f>V122-E122</f>
        <v>-278.08185700417334</v>
      </c>
      <c r="Z122" s="96">
        <f t="shared" si="55"/>
        <v>0.19401974642890207</v>
      </c>
      <c r="AA122" s="141">
        <f t="shared" ref="AA122" si="80">Z122</f>
        <v>0.19401974642890207</v>
      </c>
      <c r="AC122" s="269" t="s">
        <v>206</v>
      </c>
      <c r="AD122" s="278" t="s">
        <v>245</v>
      </c>
    </row>
    <row r="123" spans="1:35" s="4" customFormat="1" ht="16.5" customHeight="1" outlineLevel="1">
      <c r="A123" s="163"/>
      <c r="B123" s="18" t="s">
        <v>106</v>
      </c>
      <c r="C123" s="7" t="s">
        <v>9</v>
      </c>
      <c r="D123" s="28">
        <f t="shared" si="75"/>
        <v>281.31712707182322</v>
      </c>
      <c r="E123" s="76">
        <f t="shared" si="49"/>
        <v>62.720342622806108</v>
      </c>
      <c r="F123" s="89">
        <v>26.364472710264423</v>
      </c>
      <c r="G123" s="89">
        <v>36.355869912541685</v>
      </c>
      <c r="H123" s="28">
        <v>82.865596506174526</v>
      </c>
      <c r="I123" s="29">
        <v>41.014520263540554</v>
      </c>
      <c r="J123" s="29">
        <v>75.965511959379327</v>
      </c>
      <c r="K123" s="29">
        <v>18.751155719922703</v>
      </c>
      <c r="M123" s="93">
        <f t="shared" si="78"/>
        <v>53.921448161275109</v>
      </c>
      <c r="N123" s="120">
        <f>'Проект ТС-6 усл.свод'!N128</f>
        <v>20.552329698999458</v>
      </c>
      <c r="O123" s="120">
        <f>'Проект ТС-6 усл.свод'!O128</f>
        <v>33.369118462275651</v>
      </c>
      <c r="P123" s="92">
        <f t="shared" si="50"/>
        <v>8.798894461530999</v>
      </c>
      <c r="Q123" s="96">
        <f t="shared" si="48"/>
        <v>0.14028772952416213</v>
      </c>
      <c r="R123" s="141"/>
      <c r="V123" s="187">
        <f t="shared" si="79"/>
        <v>62.720342622806108</v>
      </c>
      <c r="W123" s="120">
        <v>26.364472710264423</v>
      </c>
      <c r="X123" s="120">
        <v>36.355869912541685</v>
      </c>
      <c r="Y123" s="188"/>
      <c r="Z123" s="96">
        <f t="shared" si="55"/>
        <v>0</v>
      </c>
      <c r="AA123" s="141"/>
      <c r="AC123" s="269" t="s">
        <v>206</v>
      </c>
      <c r="AD123" s="278" t="s">
        <v>246</v>
      </c>
    </row>
    <row r="124" spans="1:35" s="4" customFormat="1" ht="16.5" customHeight="1">
      <c r="A124" s="163"/>
      <c r="B124" s="18" t="s">
        <v>163</v>
      </c>
      <c r="C124" s="7" t="s">
        <v>9</v>
      </c>
      <c r="D124" s="28">
        <f t="shared" si="75"/>
        <v>15.722651933701655</v>
      </c>
      <c r="E124" s="76">
        <f t="shared" si="49"/>
        <v>3.5054037643755813</v>
      </c>
      <c r="F124" s="89">
        <v>1.4734951695039609</v>
      </c>
      <c r="G124" s="89">
        <v>2.0319085948716205</v>
      </c>
      <c r="H124" s="34">
        <v>4.6313103816551866</v>
      </c>
      <c r="I124" s="29">
        <v>2.2922778753060524</v>
      </c>
      <c r="J124" s="30">
        <v>4.2456686371528107</v>
      </c>
      <c r="K124" s="30">
        <v>1.047991275212026</v>
      </c>
      <c r="M124" s="93">
        <f t="shared" si="78"/>
        <v>3.0136386292058805</v>
      </c>
      <c r="N124" s="120">
        <f>'Проект ТС-6 усл.свод'!N129</f>
        <v>1.1486578497637916</v>
      </c>
      <c r="O124" s="120">
        <f>'Проект ТС-6 усл.свод'!O129</f>
        <v>1.8649807794420887</v>
      </c>
      <c r="P124" s="92">
        <f t="shared" si="50"/>
        <v>0.49176513516970077</v>
      </c>
      <c r="Q124" s="96">
        <f t="shared" si="48"/>
        <v>0.14028772952416202</v>
      </c>
      <c r="R124" s="141"/>
      <c r="V124" s="187">
        <f t="shared" si="79"/>
        <v>3.5054037643755813</v>
      </c>
      <c r="W124" s="120">
        <v>1.4734951695039609</v>
      </c>
      <c r="X124" s="120">
        <v>2.0319085948716205</v>
      </c>
      <c r="Y124" s="188"/>
      <c r="Z124" s="96">
        <f t="shared" si="55"/>
        <v>0</v>
      </c>
      <c r="AA124" s="141"/>
      <c r="AC124" s="269" t="s">
        <v>206</v>
      </c>
      <c r="AD124" s="275"/>
    </row>
    <row r="125" spans="1:35" s="4" customFormat="1" ht="41.25" customHeight="1" outlineLevel="1">
      <c r="A125" s="163"/>
      <c r="B125" s="18" t="s">
        <v>110</v>
      </c>
      <c r="C125" s="7" t="s">
        <v>9</v>
      </c>
      <c r="D125" s="28">
        <f t="shared" si="75"/>
        <v>1606.6637374617146</v>
      </c>
      <c r="E125" s="76">
        <f t="shared" si="49"/>
        <v>507.93102178279742</v>
      </c>
      <c r="F125" s="89">
        <v>258.33896911971215</v>
      </c>
      <c r="G125" s="89">
        <v>249.59205266308524</v>
      </c>
      <c r="H125" s="28">
        <v>416.44799490551321</v>
      </c>
      <c r="I125" s="29">
        <v>248.38206040596225</v>
      </c>
      <c r="J125" s="29">
        <v>396.72192973957243</v>
      </c>
      <c r="K125" s="29">
        <v>37.180730627869195</v>
      </c>
      <c r="M125" s="93">
        <f t="shared" si="78"/>
        <v>442.64003190986477</v>
      </c>
      <c r="N125" s="120">
        <f>'Проект ТС-6 усл.свод'!N130</f>
        <v>231.60701657188369</v>
      </c>
      <c r="O125" s="120">
        <f>'Проект ТС-6 усл.свод'!O130</f>
        <v>211.03301533798111</v>
      </c>
      <c r="P125" s="92">
        <f t="shared" si="50"/>
        <v>65.290989872932641</v>
      </c>
      <c r="Q125" s="96">
        <f t="shared" si="48"/>
        <v>0.12854302468820755</v>
      </c>
      <c r="R125" s="141"/>
      <c r="V125" s="187">
        <f t="shared" si="79"/>
        <v>507.93102178279742</v>
      </c>
      <c r="W125" s="120">
        <v>258.33896911971215</v>
      </c>
      <c r="X125" s="120">
        <v>249.59205266308524</v>
      </c>
      <c r="Y125" s="188"/>
      <c r="Z125" s="96">
        <f t="shared" si="55"/>
        <v>0</v>
      </c>
      <c r="AA125" s="141"/>
      <c r="AC125" s="269" t="s">
        <v>209</v>
      </c>
      <c r="AD125" s="284" t="str">
        <f>AD23</f>
        <v xml:space="preserve">"Нормами расходов горюче-смазочных материалов и расходов на содержание автотранспорта", утв. Постановлением Правительства РК от 11.08.2009 года № 1210. </v>
      </c>
    </row>
    <row r="126" spans="1:35" s="4" customFormat="1" ht="19.5" customHeight="1" outlineLevel="1">
      <c r="A126" s="163"/>
      <c r="B126" s="18" t="s">
        <v>164</v>
      </c>
      <c r="C126" s="7" t="s">
        <v>9</v>
      </c>
      <c r="D126" s="28">
        <f t="shared" si="75"/>
        <v>210</v>
      </c>
      <c r="E126" s="76">
        <f t="shared" si="49"/>
        <v>46.82001443668419</v>
      </c>
      <c r="F126" s="89">
        <v>19.680775666893513</v>
      </c>
      <c r="G126" s="89">
        <v>27.139238769790673</v>
      </c>
      <c r="H126" s="28">
        <v>61.858214775006552</v>
      </c>
      <c r="I126" s="29">
        <v>30.616867678818981</v>
      </c>
      <c r="J126" s="29">
        <v>56.707381016999904</v>
      </c>
      <c r="K126" s="29">
        <v>13.997522092490374</v>
      </c>
      <c r="M126" s="93">
        <f t="shared" si="78"/>
        <v>40.25174091507327</v>
      </c>
      <c r="N126" s="120">
        <f>'Проект ТС-6 усл.свод'!N131</f>
        <v>15.34207775301206</v>
      </c>
      <c r="O126" s="120">
        <f>'Проект ТС-6 усл.свод'!O131</f>
        <v>24.909663162061207</v>
      </c>
      <c r="P126" s="92">
        <f t="shared" si="50"/>
        <v>6.5682735216109194</v>
      </c>
      <c r="Q126" s="96">
        <f t="shared" si="48"/>
        <v>0.14028772952416213</v>
      </c>
      <c r="R126" s="141"/>
      <c r="V126" s="187">
        <f t="shared" si="79"/>
        <v>46.82001443668419</v>
      </c>
      <c r="W126" s="120">
        <v>19.680775666893513</v>
      </c>
      <c r="X126" s="120">
        <v>27.139238769790673</v>
      </c>
      <c r="Y126" s="188"/>
      <c r="Z126" s="96">
        <f t="shared" si="55"/>
        <v>0</v>
      </c>
      <c r="AA126" s="141"/>
      <c r="AC126" s="269" t="s">
        <v>206</v>
      </c>
      <c r="AD126" s="284" t="s">
        <v>263</v>
      </c>
    </row>
    <row r="127" spans="1:35" s="4" customFormat="1" ht="16.5" customHeight="1" outlineLevel="1">
      <c r="A127" s="160"/>
      <c r="B127" s="56" t="s">
        <v>130</v>
      </c>
      <c r="C127" s="162"/>
      <c r="D127" s="28">
        <f t="shared" si="75"/>
        <v>93.499999999999986</v>
      </c>
      <c r="E127" s="76">
        <f t="shared" si="49"/>
        <v>20.846054046809385</v>
      </c>
      <c r="F127" s="94">
        <v>8.7626310707359192</v>
      </c>
      <c r="G127" s="94">
        <v>12.083422976073464</v>
      </c>
      <c r="H127" s="57">
        <v>27.541633721252914</v>
      </c>
      <c r="I127" s="58">
        <v>13.631795847474164</v>
      </c>
      <c r="J127" s="58">
        <v>25.248286309949954</v>
      </c>
      <c r="K127" s="58">
        <v>6.2322300745135699</v>
      </c>
      <c r="M127" s="93">
        <f t="shared" si="78"/>
        <v>17.921608455044527</v>
      </c>
      <c r="N127" s="120">
        <f>'Проект ТС-6 усл.свод'!N132</f>
        <v>6.8308774757458455</v>
      </c>
      <c r="O127" s="120">
        <f>'Проект ТС-6 усл.свод'!O132</f>
        <v>11.090730979298682</v>
      </c>
      <c r="P127" s="92">
        <f t="shared" si="50"/>
        <v>2.924445591764858</v>
      </c>
      <c r="Q127" s="96">
        <f t="shared" si="48"/>
        <v>0.14028772952416202</v>
      </c>
      <c r="R127" s="141"/>
      <c r="V127" s="187">
        <f t="shared" si="79"/>
        <v>20.846054046809385</v>
      </c>
      <c r="W127" s="120">
        <v>8.7626310707359192</v>
      </c>
      <c r="X127" s="120">
        <v>12.083422976073464</v>
      </c>
      <c r="Y127" s="188"/>
      <c r="Z127" s="96">
        <f t="shared" si="55"/>
        <v>0</v>
      </c>
      <c r="AA127" s="141"/>
      <c r="AC127" s="269" t="s">
        <v>206</v>
      </c>
      <c r="AD127" s="284" t="s">
        <v>265</v>
      </c>
      <c r="AI127" s="286"/>
    </row>
    <row r="128" spans="1:35" s="4" customFormat="1" ht="16.5" customHeight="1" outlineLevel="1">
      <c r="A128" s="160"/>
      <c r="B128" s="56" t="s">
        <v>94</v>
      </c>
      <c r="C128" s="162"/>
      <c r="D128" s="28">
        <f t="shared" si="75"/>
        <v>207.94168329858701</v>
      </c>
      <c r="E128" s="76">
        <f t="shared" si="49"/>
        <v>65.738728774665589</v>
      </c>
      <c r="F128" s="94">
        <v>33.435397120024142</v>
      </c>
      <c r="G128" s="94">
        <v>32.30333165464144</v>
      </c>
      <c r="H128" s="57">
        <v>53.898581917199301</v>
      </c>
      <c r="I128" s="58">
        <v>32.146728987351572</v>
      </c>
      <c r="J128" s="58">
        <v>51.345545398217624</v>
      </c>
      <c r="K128" s="58">
        <v>4.8120982211529402</v>
      </c>
      <c r="M128" s="93">
        <f t="shared" si="78"/>
        <v>57.288473738812357</v>
      </c>
      <c r="N128" s="120">
        <f>'Проект ТС-6 усл.свод'!N133</f>
        <v>29.975626988263222</v>
      </c>
      <c r="O128" s="120">
        <f>'Проект ТС-6 усл.свод'!O133</f>
        <v>27.312846750549138</v>
      </c>
      <c r="P128" s="92">
        <f t="shared" si="50"/>
        <v>8.4502550358532318</v>
      </c>
      <c r="Q128" s="96">
        <f t="shared" si="48"/>
        <v>0.12854302468820777</v>
      </c>
      <c r="R128" s="141"/>
      <c r="V128" s="187">
        <f t="shared" si="79"/>
        <v>65.738728774665589</v>
      </c>
      <c r="W128" s="120">
        <v>33.435397120024142</v>
      </c>
      <c r="X128" s="120">
        <v>32.30333165464144</v>
      </c>
      <c r="Y128" s="188"/>
      <c r="Z128" s="96">
        <f t="shared" si="55"/>
        <v>0</v>
      </c>
      <c r="AA128" s="141"/>
      <c r="AC128" s="269" t="s">
        <v>206</v>
      </c>
      <c r="AD128" s="284" t="str">
        <f>AD87</f>
        <v xml:space="preserve">Нормирования расходов по количеству рабочих мест, зданий и производственных участков </v>
      </c>
      <c r="AI128" s="286"/>
    </row>
    <row r="129" spans="1:35" s="4" customFormat="1" ht="16.5" hidden="1" customHeight="1" outlineLevel="1">
      <c r="A129" s="160"/>
      <c r="B129" s="56" t="s">
        <v>165</v>
      </c>
      <c r="C129" s="162"/>
      <c r="D129" s="28">
        <f t="shared" si="75"/>
        <v>0</v>
      </c>
      <c r="E129" s="76">
        <f t="shared" si="49"/>
        <v>0</v>
      </c>
      <c r="F129" s="57">
        <v>0</v>
      </c>
      <c r="G129" s="57">
        <v>0</v>
      </c>
      <c r="H129" s="57">
        <v>0</v>
      </c>
      <c r="I129" s="58">
        <v>0</v>
      </c>
      <c r="J129" s="58">
        <v>0</v>
      </c>
      <c r="K129" s="58">
        <v>0</v>
      </c>
      <c r="M129" s="93"/>
      <c r="N129" s="120">
        <f>'Проект ТС-6 усл.свод'!N134</f>
        <v>0</v>
      </c>
      <c r="O129" s="120">
        <f>'Проект ТС-6 усл.свод'!O134</f>
        <v>0</v>
      </c>
      <c r="P129" s="92">
        <f t="shared" si="50"/>
        <v>0</v>
      </c>
      <c r="Q129" s="96" t="e">
        <f t="shared" si="48"/>
        <v>#DIV/0!</v>
      </c>
      <c r="R129" s="141" t="e">
        <f>Q129</f>
        <v>#DIV/0!</v>
      </c>
      <c r="V129" s="187"/>
      <c r="W129" s="120">
        <v>0</v>
      </c>
      <c r="X129" s="120">
        <v>0</v>
      </c>
      <c r="Y129" s="188"/>
      <c r="Z129" s="96" t="e">
        <f t="shared" si="55"/>
        <v>#DIV/0!</v>
      </c>
      <c r="AA129" s="141" t="e">
        <f t="shared" ref="AA129:AA130" si="81">Z129</f>
        <v>#DIV/0!</v>
      </c>
      <c r="AC129" s="269"/>
      <c r="AD129" s="275"/>
      <c r="AI129" s="287"/>
    </row>
    <row r="130" spans="1:35" s="4" customFormat="1" ht="16.5" hidden="1" customHeight="1" outlineLevel="1">
      <c r="A130" s="160"/>
      <c r="B130" s="56" t="s">
        <v>114</v>
      </c>
      <c r="C130" s="162"/>
      <c r="D130" s="28">
        <f t="shared" si="75"/>
        <v>0</v>
      </c>
      <c r="E130" s="76">
        <f t="shared" si="49"/>
        <v>0</v>
      </c>
      <c r="F130" s="57">
        <v>0</v>
      </c>
      <c r="G130" s="57">
        <v>0</v>
      </c>
      <c r="H130" s="57">
        <v>0</v>
      </c>
      <c r="I130" s="58">
        <v>0</v>
      </c>
      <c r="J130" s="58">
        <v>0</v>
      </c>
      <c r="K130" s="58">
        <v>0</v>
      </c>
      <c r="M130" s="93"/>
      <c r="N130" s="120">
        <f>'Проект ТС-6 усл.свод'!N135</f>
        <v>0</v>
      </c>
      <c r="O130" s="120">
        <f>'Проект ТС-6 усл.свод'!O135</f>
        <v>0</v>
      </c>
      <c r="P130" s="92">
        <f t="shared" si="50"/>
        <v>0</v>
      </c>
      <c r="Q130" s="96" t="e">
        <f t="shared" si="48"/>
        <v>#DIV/0!</v>
      </c>
      <c r="R130" s="141" t="e">
        <f>Q130</f>
        <v>#DIV/0!</v>
      </c>
      <c r="V130" s="187"/>
      <c r="W130" s="120">
        <v>0</v>
      </c>
      <c r="X130" s="120">
        <v>0</v>
      </c>
      <c r="Y130" s="188"/>
      <c r="Z130" s="96" t="e">
        <f t="shared" si="55"/>
        <v>#DIV/0!</v>
      </c>
      <c r="AA130" s="141" t="e">
        <f t="shared" si="81"/>
        <v>#DIV/0!</v>
      </c>
      <c r="AC130" s="269"/>
      <c r="AD130" s="275"/>
    </row>
    <row r="131" spans="1:35" s="4" customFormat="1" ht="21.75" customHeight="1" collapsed="1">
      <c r="A131" s="163">
        <v>7</v>
      </c>
      <c r="B131" s="12" t="s">
        <v>66</v>
      </c>
      <c r="C131" s="7" t="s">
        <v>9</v>
      </c>
      <c r="D131" s="25">
        <f>SUM(F131:K131)</f>
        <v>3060199.0170137505</v>
      </c>
      <c r="E131" s="74">
        <f t="shared" si="49"/>
        <v>2381406.2782474156</v>
      </c>
      <c r="F131" s="35">
        <v>1352157.4899460636</v>
      </c>
      <c r="G131" s="35">
        <v>1029248.7883013519</v>
      </c>
      <c r="H131" s="35">
        <v>276649.60844309779</v>
      </c>
      <c r="I131" s="35">
        <v>122716.30162411959</v>
      </c>
      <c r="J131" s="35">
        <v>216287.30637027445</v>
      </c>
      <c r="K131" s="35">
        <v>63139.522328843101</v>
      </c>
      <c r="L131" s="42"/>
      <c r="M131" s="92">
        <f>N131+O131</f>
        <v>2314637.354096693</v>
      </c>
      <c r="N131" s="122">
        <f>'Проект ТС-6 усл.свод'!N136</f>
        <v>1355948.5552545825</v>
      </c>
      <c r="O131" s="122">
        <f>'Проект ТС-6 усл.свод'!O136</f>
        <v>958688.79884211021</v>
      </c>
      <c r="P131" s="92">
        <f t="shared" si="50"/>
        <v>66768.924150722567</v>
      </c>
      <c r="Q131" s="96">
        <f t="shared" ref="Q131:Q132" si="82">100%-(M131/E131)</f>
        <v>2.8037603142568646E-2</v>
      </c>
      <c r="R131" s="141"/>
      <c r="S131" s="42"/>
      <c r="T131" s="42"/>
      <c r="U131" s="42"/>
      <c r="V131" s="118">
        <f>W131+X131</f>
        <v>2381406.2782474156</v>
      </c>
      <c r="W131" s="122">
        <f>F131</f>
        <v>1352157.4899460636</v>
      </c>
      <c r="X131" s="122">
        <f>G131</f>
        <v>1029248.7883013519</v>
      </c>
      <c r="Y131" s="188"/>
      <c r="Z131" s="96">
        <f t="shared" si="55"/>
        <v>0</v>
      </c>
      <c r="AA131" s="141"/>
      <c r="AB131" s="42"/>
      <c r="AC131" s="272" t="s">
        <v>210</v>
      </c>
      <c r="AD131" s="280"/>
      <c r="AE131" s="42"/>
      <c r="AF131" s="42"/>
    </row>
    <row r="132" spans="1:35" s="6" customFormat="1" ht="33" customHeight="1">
      <c r="A132" s="7" t="s">
        <v>67</v>
      </c>
      <c r="B132" s="17" t="s">
        <v>68</v>
      </c>
      <c r="C132" s="7" t="s">
        <v>9</v>
      </c>
      <c r="D132" s="27">
        <f>D6+D90</f>
        <v>8437981.35264319</v>
      </c>
      <c r="E132" s="70">
        <f t="shared" ref="E132:E136" si="83">F132+G132</f>
        <v>5100124.0679911599</v>
      </c>
      <c r="F132" s="27">
        <f t="shared" ref="F132:K132" si="84">F6+F90</f>
        <v>2822085.1497539203</v>
      </c>
      <c r="G132" s="27">
        <f t="shared" si="84"/>
        <v>2278038.9182372401</v>
      </c>
      <c r="H132" s="27">
        <f t="shared" si="84"/>
        <v>1300367.7189581101</v>
      </c>
      <c r="I132" s="27">
        <f t="shared" si="84"/>
        <v>655830.43993226986</v>
      </c>
      <c r="J132" s="27">
        <f t="shared" si="84"/>
        <v>1138873.2412249313</v>
      </c>
      <c r="K132" s="27">
        <f t="shared" si="84"/>
        <v>242785.88453671784</v>
      </c>
      <c r="M132" s="99">
        <f>M6+M90</f>
        <v>4616047.272805756</v>
      </c>
      <c r="N132" s="117">
        <f>N6+N90</f>
        <v>2568223.898588039</v>
      </c>
      <c r="O132" s="117">
        <f>O6+O90</f>
        <v>2047823.3742177163</v>
      </c>
      <c r="P132" s="91">
        <f t="shared" ref="P132:P135" si="85">E132-M132</f>
        <v>484076.7951854039</v>
      </c>
      <c r="Q132" s="96">
        <f t="shared" si="82"/>
        <v>9.4914709668243891E-2</v>
      </c>
      <c r="R132" s="141"/>
      <c r="V132" s="117">
        <f>V6+V90</f>
        <v>4704375.5231160615</v>
      </c>
      <c r="W132" s="117">
        <f>W6+W90</f>
        <v>2578437.0923643289</v>
      </c>
      <c r="X132" s="117">
        <f>X6+X90</f>
        <v>2125938.430751733</v>
      </c>
      <c r="Y132" s="205"/>
      <c r="Z132" s="96">
        <f t="shared" si="55"/>
        <v>7.7595866218010623E-2</v>
      </c>
      <c r="AA132" s="141"/>
      <c r="AC132" s="270"/>
      <c r="AD132" s="276"/>
    </row>
    <row r="133" spans="1:35" s="4" customFormat="1" ht="33" customHeight="1">
      <c r="A133" s="7" t="s">
        <v>69</v>
      </c>
      <c r="B133" s="17" t="s">
        <v>70</v>
      </c>
      <c r="C133" s="7" t="s">
        <v>9</v>
      </c>
      <c r="D133" s="27">
        <f>SUM(F133:K133)</f>
        <v>5005696.24195801</v>
      </c>
      <c r="E133" s="70">
        <f t="shared" si="83"/>
        <v>3928212.4869124419</v>
      </c>
      <c r="F133" s="27">
        <v>2230430.8109019222</v>
      </c>
      <c r="G133" s="27">
        <v>1697781.6760105197</v>
      </c>
      <c r="H133" s="27">
        <v>419767.82506717928</v>
      </c>
      <c r="I133" s="27">
        <v>211706.66832901342</v>
      </c>
      <c r="J133" s="27">
        <v>367636.27436032874</v>
      </c>
      <c r="K133" s="27">
        <v>78372.987289045748</v>
      </c>
      <c r="L133" s="15"/>
      <c r="M133" s="91">
        <f>N133+O133</f>
        <v>2738748.9474356356</v>
      </c>
      <c r="N133" s="117">
        <f>'Проект ТС-6 усл.свод'!N138</f>
        <v>1604399.355219783</v>
      </c>
      <c r="O133" s="117">
        <f>'Проект ТС-6 усл.свод'!O138</f>
        <v>1134349.5922158526</v>
      </c>
      <c r="P133" s="91">
        <f t="shared" si="85"/>
        <v>1189463.5394768063</v>
      </c>
      <c r="Q133" s="95"/>
      <c r="R133" s="141"/>
      <c r="S133" s="15"/>
      <c r="T133" s="15"/>
      <c r="U133" s="15"/>
      <c r="V133" s="119">
        <f>W133+X133</f>
        <v>3928212.4869124419</v>
      </c>
      <c r="W133" s="117">
        <f>F133</f>
        <v>2230430.8109019222</v>
      </c>
      <c r="X133" s="117">
        <f>G133</f>
        <v>1697781.6760105197</v>
      </c>
      <c r="Y133" s="205"/>
      <c r="Z133" s="95"/>
      <c r="AA133" s="141"/>
      <c r="AB133" s="15"/>
      <c r="AC133" s="273"/>
      <c r="AD133" s="279"/>
      <c r="AE133" s="15"/>
      <c r="AF133" s="15"/>
    </row>
    <row r="134" spans="1:35" s="4" customFormat="1" ht="18.75" customHeight="1">
      <c r="A134" s="163"/>
      <c r="B134" s="12" t="s">
        <v>71</v>
      </c>
      <c r="C134" s="7" t="s">
        <v>9</v>
      </c>
      <c r="D134" s="35">
        <f>D135-D133</f>
        <v>1251424.0604895027</v>
      </c>
      <c r="E134" s="74">
        <f t="shared" si="83"/>
        <v>982053.12172811013</v>
      </c>
      <c r="F134" s="35">
        <f>F135-F133</f>
        <v>557607.70272548031</v>
      </c>
      <c r="G134" s="35">
        <f>G135-G133</f>
        <v>424445.41900262982</v>
      </c>
      <c r="H134" s="35">
        <f t="shared" ref="H134:K134" si="86">H135-H133</f>
        <v>104941.95626679482</v>
      </c>
      <c r="I134" s="35">
        <f t="shared" si="86"/>
        <v>52926.667082253349</v>
      </c>
      <c r="J134" s="35">
        <f t="shared" si="86"/>
        <v>91909.06859008217</v>
      </c>
      <c r="K134" s="35">
        <f t="shared" si="86"/>
        <v>19593.246822261441</v>
      </c>
      <c r="L134" s="15"/>
      <c r="M134" s="102">
        <f>M135-M133</f>
        <v>684687.23685890902</v>
      </c>
      <c r="N134" s="128">
        <f>N135-N133</f>
        <v>401099.83880494582</v>
      </c>
      <c r="O134" s="128">
        <f>O135-O133</f>
        <v>283587.3980539632</v>
      </c>
      <c r="P134" s="92">
        <f t="shared" si="85"/>
        <v>297365.88486920111</v>
      </c>
      <c r="Q134" s="95"/>
      <c r="R134" s="141"/>
      <c r="S134" s="15"/>
      <c r="T134" s="15"/>
      <c r="U134" s="15"/>
      <c r="V134" s="128">
        <f>V135-V133</f>
        <v>982053.12172811059</v>
      </c>
      <c r="W134" s="128">
        <f>W135-W133</f>
        <v>557607.70272548031</v>
      </c>
      <c r="X134" s="128">
        <f>X135-X133</f>
        <v>424445.41900262982</v>
      </c>
      <c r="Y134" s="188"/>
      <c r="Z134" s="95"/>
      <c r="AA134" s="141"/>
      <c r="AB134" s="15"/>
      <c r="AC134" s="273"/>
      <c r="AD134" s="279"/>
      <c r="AE134" s="15"/>
      <c r="AF134" s="15"/>
    </row>
    <row r="135" spans="1:35" s="4" customFormat="1" ht="18.75" customHeight="1">
      <c r="A135" s="163"/>
      <c r="B135" s="12" t="s">
        <v>72</v>
      </c>
      <c r="C135" s="7" t="s">
        <v>9</v>
      </c>
      <c r="D135" s="54">
        <f>D133/8*10</f>
        <v>6257120.3024475127</v>
      </c>
      <c r="E135" s="74">
        <f t="shared" si="83"/>
        <v>4910265.6086405516</v>
      </c>
      <c r="F135" s="54">
        <f t="shared" ref="F135:K135" si="87">F133/8*10</f>
        <v>2788038.5136274025</v>
      </c>
      <c r="G135" s="54">
        <f t="shared" si="87"/>
        <v>2122227.0950131495</v>
      </c>
      <c r="H135" s="54">
        <f t="shared" si="87"/>
        <v>524709.7813339741</v>
      </c>
      <c r="I135" s="54">
        <f t="shared" si="87"/>
        <v>264633.33541126677</v>
      </c>
      <c r="J135" s="54">
        <f t="shared" si="87"/>
        <v>459545.34295041091</v>
      </c>
      <c r="K135" s="54">
        <f t="shared" si="87"/>
        <v>97966.234111307189</v>
      </c>
      <c r="L135" s="15"/>
      <c r="M135" s="103">
        <f t="shared" ref="M135" si="88">M133/8*10</f>
        <v>3423436.1842945446</v>
      </c>
      <c r="N135" s="130">
        <f>N133/8*10</f>
        <v>2005499.1940247288</v>
      </c>
      <c r="O135" s="130">
        <f>O133/8*10</f>
        <v>1417936.9902698158</v>
      </c>
      <c r="P135" s="92">
        <f t="shared" si="85"/>
        <v>1486829.4243460069</v>
      </c>
      <c r="Q135" s="95"/>
      <c r="R135" s="141"/>
      <c r="S135" s="15"/>
      <c r="T135" s="15"/>
      <c r="U135" s="15"/>
      <c r="V135" s="130">
        <f t="shared" ref="V135" si="89">V133/8*10</f>
        <v>4910265.6086405525</v>
      </c>
      <c r="W135" s="130">
        <f>W133/8*10</f>
        <v>2788038.5136274025</v>
      </c>
      <c r="X135" s="130">
        <f>X133/8*10</f>
        <v>2122227.0950131495</v>
      </c>
      <c r="Y135" s="188"/>
      <c r="Z135" s="95"/>
      <c r="AA135" s="141"/>
      <c r="AB135" s="15"/>
      <c r="AC135" s="273"/>
      <c r="AD135" s="279"/>
      <c r="AE135" s="15"/>
      <c r="AF135" s="15"/>
    </row>
    <row r="136" spans="1:35" s="4" customFormat="1" ht="33" customHeight="1">
      <c r="A136" s="7" t="s">
        <v>73</v>
      </c>
      <c r="B136" s="17" t="s">
        <v>74</v>
      </c>
      <c r="C136" s="7" t="s">
        <v>9</v>
      </c>
      <c r="D136" s="31">
        <f>D132+D135</f>
        <v>14695101.655090703</v>
      </c>
      <c r="E136" s="70">
        <f t="shared" si="83"/>
        <v>10010389.676631713</v>
      </c>
      <c r="F136" s="31">
        <f>F132+F135</f>
        <v>5610123.6633813232</v>
      </c>
      <c r="G136" s="31">
        <f t="shared" ref="G136:K136" si="90">G132+G135</f>
        <v>4400266.0132503901</v>
      </c>
      <c r="H136" s="31">
        <f t="shared" si="90"/>
        <v>1825077.5002920842</v>
      </c>
      <c r="I136" s="31">
        <f t="shared" si="90"/>
        <v>920463.77534353663</v>
      </c>
      <c r="J136" s="31">
        <f t="shared" si="90"/>
        <v>1598418.5841753422</v>
      </c>
      <c r="K136" s="31">
        <f t="shared" si="90"/>
        <v>340752.11864802503</v>
      </c>
      <c r="L136" s="15"/>
      <c r="M136" s="104">
        <f>M132+M135</f>
        <v>8039483.4571003001</v>
      </c>
      <c r="N136" s="124">
        <f>N132+N135</f>
        <v>4573723.0926127676</v>
      </c>
      <c r="O136" s="124">
        <f>O132+O135</f>
        <v>3465760.3644875321</v>
      </c>
      <c r="P136" s="91">
        <f>E136-M136</f>
        <v>1970906.2195314132</v>
      </c>
      <c r="Q136" s="95"/>
      <c r="R136" s="141"/>
      <c r="S136" s="15"/>
      <c r="T136" s="15"/>
      <c r="U136" s="15"/>
      <c r="V136" s="124">
        <f>V132+V135</f>
        <v>9614641.1317566149</v>
      </c>
      <c r="W136" s="124">
        <f>W132+W135</f>
        <v>5366475.6059917314</v>
      </c>
      <c r="X136" s="124">
        <f>X132+X135</f>
        <v>4248165.5257648826</v>
      </c>
      <c r="Y136" s="204">
        <f>V136-E136</f>
        <v>-395748.54487509839</v>
      </c>
      <c r="Z136" s="95"/>
      <c r="AA136" s="141"/>
      <c r="AB136" s="15"/>
      <c r="AC136" s="273"/>
      <c r="AD136" s="279"/>
      <c r="AE136" s="15"/>
      <c r="AF136" s="15"/>
    </row>
    <row r="137" spans="1:35" s="4" customFormat="1" ht="18.75" customHeight="1">
      <c r="A137" s="817" t="s">
        <v>75</v>
      </c>
      <c r="B137" s="796" t="s">
        <v>76</v>
      </c>
      <c r="C137" s="14" t="s">
        <v>77</v>
      </c>
      <c r="D137" s="25" t="s">
        <v>133</v>
      </c>
      <c r="E137" s="60"/>
      <c r="F137" s="25">
        <v>1559287</v>
      </c>
      <c r="G137" s="25"/>
      <c r="H137" s="25">
        <v>484720</v>
      </c>
      <c r="I137" s="25"/>
      <c r="J137" s="25"/>
      <c r="K137" s="25"/>
      <c r="M137" s="92">
        <f>N137</f>
        <v>1559287</v>
      </c>
      <c r="N137" s="122">
        <f>'Проект ТС-6 усл.свод'!N142</f>
        <v>1559287</v>
      </c>
      <c r="O137" s="122"/>
      <c r="P137" s="91"/>
      <c r="Q137" s="95"/>
      <c r="R137" s="141"/>
      <c r="V137" s="118"/>
      <c r="W137" s="122">
        <f>N137</f>
        <v>1559287</v>
      </c>
      <c r="X137" s="122"/>
      <c r="Y137" s="205"/>
      <c r="Z137" s="95"/>
      <c r="AA137" s="141"/>
      <c r="AC137" s="269"/>
      <c r="AD137" s="275"/>
    </row>
    <row r="138" spans="1:35" s="4" customFormat="1" ht="18.75" customHeight="1">
      <c r="A138" s="818"/>
      <c r="B138" s="797"/>
      <c r="C138" s="14" t="s">
        <v>131</v>
      </c>
      <c r="D138" s="25" t="s">
        <v>134</v>
      </c>
      <c r="E138" s="60"/>
      <c r="F138" s="25"/>
      <c r="G138" s="25">
        <v>687793</v>
      </c>
      <c r="H138" s="25"/>
      <c r="I138" s="25"/>
      <c r="J138" s="25"/>
      <c r="K138" s="25"/>
      <c r="M138" s="92">
        <f>O138</f>
        <v>687793</v>
      </c>
      <c r="N138" s="122"/>
      <c r="O138" s="122">
        <f>'Проект ТС-6 усл.свод'!O143</f>
        <v>687793</v>
      </c>
      <c r="P138" s="91"/>
      <c r="Q138" s="95"/>
      <c r="R138" s="141"/>
      <c r="V138" s="118"/>
      <c r="W138" s="122"/>
      <c r="X138" s="122">
        <f>O138</f>
        <v>687793</v>
      </c>
      <c r="Y138" s="205"/>
      <c r="Z138" s="95"/>
      <c r="AA138" s="141"/>
      <c r="AC138" s="269"/>
      <c r="AD138" s="275"/>
    </row>
    <row r="139" spans="1:35" s="4" customFormat="1" ht="18.75" hidden="1" customHeight="1">
      <c r="A139" s="818"/>
      <c r="B139" s="797"/>
      <c r="C139" s="14"/>
      <c r="D139" s="25" t="s">
        <v>133</v>
      </c>
      <c r="E139" s="60"/>
      <c r="F139" s="25"/>
      <c r="G139" s="25"/>
      <c r="H139" s="25"/>
      <c r="I139" s="25">
        <v>1676445</v>
      </c>
      <c r="J139" s="25"/>
      <c r="K139" s="25"/>
      <c r="M139" s="92"/>
      <c r="N139" s="131"/>
      <c r="O139" s="131"/>
      <c r="P139" s="91"/>
      <c r="Q139" s="95"/>
      <c r="R139" s="141"/>
      <c r="V139" s="118"/>
      <c r="W139" s="131"/>
      <c r="X139" s="131"/>
      <c r="Y139" s="205"/>
      <c r="Z139" s="95"/>
      <c r="AA139" s="141"/>
      <c r="AC139" s="269"/>
      <c r="AD139" s="275"/>
    </row>
    <row r="140" spans="1:35" s="4" customFormat="1" ht="18.75" hidden="1" customHeight="1">
      <c r="A140" s="818"/>
      <c r="B140" s="797"/>
      <c r="C140" s="14"/>
      <c r="D140" s="25" t="s">
        <v>135</v>
      </c>
      <c r="E140" s="60"/>
      <c r="F140" s="25"/>
      <c r="G140" s="25"/>
      <c r="H140" s="25"/>
      <c r="I140" s="25"/>
      <c r="J140" s="25">
        <v>287656.50000000006</v>
      </c>
      <c r="K140" s="25"/>
      <c r="M140" s="92"/>
      <c r="N140" s="122"/>
      <c r="O140" s="122"/>
      <c r="P140" s="91"/>
      <c r="Q140" s="95"/>
      <c r="R140" s="141"/>
      <c r="V140" s="189"/>
      <c r="W140" s="122"/>
      <c r="X140" s="122"/>
      <c r="Y140" s="205"/>
      <c r="Z140" s="95"/>
      <c r="AA140" s="141"/>
      <c r="AC140" s="269"/>
      <c r="AD140" s="275"/>
    </row>
    <row r="141" spans="1:35" s="4" customFormat="1" ht="18.75" hidden="1" customHeight="1">
      <c r="A141" s="819"/>
      <c r="B141" s="798"/>
      <c r="C141" s="14"/>
      <c r="D141" s="25" t="s">
        <v>137</v>
      </c>
      <c r="E141" s="60"/>
      <c r="F141" s="25"/>
      <c r="G141" s="25"/>
      <c r="H141" s="25"/>
      <c r="I141" s="25"/>
      <c r="J141" s="25"/>
      <c r="K141" s="25">
        <v>2190</v>
      </c>
      <c r="M141" s="92"/>
      <c r="N141" s="122"/>
      <c r="O141" s="122"/>
      <c r="P141" s="91"/>
      <c r="Q141" s="95"/>
      <c r="R141" s="141"/>
      <c r="V141" s="118"/>
      <c r="W141" s="122"/>
      <c r="X141" s="122"/>
      <c r="Y141" s="205"/>
      <c r="Z141" s="95"/>
      <c r="AA141" s="141"/>
      <c r="AC141" s="269"/>
      <c r="AD141" s="275"/>
    </row>
    <row r="142" spans="1:35" s="5" customFormat="1" ht="18.75" customHeight="1">
      <c r="A142" s="817" t="s">
        <v>78</v>
      </c>
      <c r="B142" s="799" t="s">
        <v>79</v>
      </c>
      <c r="C142" s="14" t="s">
        <v>80</v>
      </c>
      <c r="D142" s="25" t="s">
        <v>169</v>
      </c>
      <c r="E142" s="60"/>
      <c r="F142" s="31">
        <f>(F136*1000)/F137</f>
        <v>3597.8775320908358</v>
      </c>
      <c r="G142" s="31"/>
      <c r="H142" s="31">
        <f>(H136*1000)/H137</f>
        <v>3765.2201276862606</v>
      </c>
      <c r="I142" s="68"/>
      <c r="J142" s="31"/>
      <c r="K142" s="31"/>
      <c r="M142" s="91">
        <f>N142</f>
        <v>2933.2144067209997</v>
      </c>
      <c r="N142" s="124">
        <f>'Проект ТС-6 усл.свод'!N148</f>
        <v>2933.2144067209997</v>
      </c>
      <c r="O142" s="122"/>
      <c r="P142" s="91"/>
      <c r="Q142" s="95"/>
      <c r="R142" s="141"/>
      <c r="V142" s="119"/>
      <c r="W142" s="124">
        <f>(W136*1000)/W137</f>
        <v>3441.6214628812604</v>
      </c>
      <c r="X142" s="124"/>
      <c r="Y142" s="204"/>
      <c r="Z142" s="95"/>
      <c r="AA142" s="141"/>
      <c r="AC142" s="269"/>
      <c r="AD142" s="275"/>
    </row>
    <row r="143" spans="1:35" s="4" customFormat="1" ht="18.75" customHeight="1">
      <c r="A143" s="818"/>
      <c r="B143" s="800"/>
      <c r="C143" s="14" t="s">
        <v>89</v>
      </c>
      <c r="D143" s="25" t="s">
        <v>170</v>
      </c>
      <c r="E143" s="60"/>
      <c r="F143" s="46"/>
      <c r="G143" s="31">
        <f>(G136*1000)/G138</f>
        <v>6397.6603618390855</v>
      </c>
      <c r="H143" s="46"/>
      <c r="I143" s="36"/>
      <c r="J143" s="46"/>
      <c r="K143" s="46"/>
      <c r="M143" s="91">
        <f>O143</f>
        <v>5038.9584722257023</v>
      </c>
      <c r="N143" s="124"/>
      <c r="O143" s="124">
        <f>'Проект ТС-6 усл.свод'!O149</f>
        <v>5038.9584722257023</v>
      </c>
      <c r="P143" s="91"/>
      <c r="Q143" s="95"/>
      <c r="R143" s="141"/>
      <c r="V143" s="119"/>
      <c r="W143" s="123"/>
      <c r="X143" s="124">
        <f>(X136*1000)/X138</f>
        <v>6176.5175361844076</v>
      </c>
      <c r="Y143" s="204"/>
      <c r="Z143" s="95"/>
      <c r="AA143" s="141"/>
      <c r="AC143" s="269"/>
      <c r="AD143" s="275"/>
    </row>
    <row r="144" spans="1:35" s="4" customFormat="1" ht="18.75" customHeight="1">
      <c r="A144" s="818"/>
      <c r="B144" s="800"/>
      <c r="C144" s="14"/>
      <c r="D144" s="25" t="s">
        <v>171</v>
      </c>
      <c r="E144" s="60"/>
      <c r="F144" s="46"/>
      <c r="G144" s="31"/>
      <c r="H144" s="46"/>
      <c r="I144" s="46">
        <f>(I136*1000)/I139</f>
        <v>549.05694809166812</v>
      </c>
      <c r="J144" s="47"/>
      <c r="K144" s="47"/>
      <c r="M144" s="92"/>
      <c r="N144" s="123"/>
      <c r="O144" s="124"/>
      <c r="P144" s="91"/>
      <c r="Q144" s="95"/>
      <c r="R144" s="141"/>
      <c r="V144" s="118"/>
      <c r="W144" s="123"/>
      <c r="X144" s="124"/>
      <c r="Y144" s="119"/>
      <c r="Z144" s="95"/>
      <c r="AA144" s="141"/>
      <c r="AC144" s="269"/>
      <c r="AD144" s="275"/>
    </row>
    <row r="145" spans="1:30" s="4" customFormat="1" ht="18.75" customHeight="1">
      <c r="A145" s="818"/>
      <c r="B145" s="800"/>
      <c r="C145" s="14"/>
      <c r="D145" s="25" t="s">
        <v>170</v>
      </c>
      <c r="E145" s="60"/>
      <c r="F145" s="46"/>
      <c r="G145" s="31"/>
      <c r="H145" s="46"/>
      <c r="I145" s="36"/>
      <c r="J145" s="46">
        <f>(J136*1000)/J140</f>
        <v>5556.6920412900181</v>
      </c>
      <c r="K145" s="46"/>
      <c r="M145" s="92"/>
      <c r="N145" s="119"/>
      <c r="O145" s="132"/>
      <c r="P145" s="91"/>
      <c r="Q145" s="95"/>
      <c r="R145" s="141"/>
      <c r="V145" s="118"/>
      <c r="W145" s="119"/>
      <c r="X145" s="132"/>
      <c r="Y145" s="119"/>
      <c r="Z145" s="95"/>
      <c r="AA145" s="141"/>
      <c r="AC145" s="269"/>
      <c r="AD145" s="275"/>
    </row>
    <row r="146" spans="1:30" s="4" customFormat="1" ht="18.75" customHeight="1">
      <c r="A146" s="819"/>
      <c r="B146" s="801"/>
      <c r="C146" s="14"/>
      <c r="D146" s="25" t="s">
        <v>172</v>
      </c>
      <c r="E146" s="60"/>
      <c r="F146" s="33"/>
      <c r="G146" s="25"/>
      <c r="H146" s="33"/>
      <c r="I146" s="32"/>
      <c r="J146" s="33"/>
      <c r="K146" s="46">
        <f>(K136*1000)/K141</f>
        <v>155594.5747251256</v>
      </c>
      <c r="M146" s="92"/>
      <c r="N146" s="123"/>
      <c r="O146" s="124"/>
      <c r="P146" s="91"/>
      <c r="Q146" s="95"/>
      <c r="R146" s="141"/>
      <c r="V146" s="118"/>
      <c r="W146" s="123"/>
      <c r="X146" s="124"/>
      <c r="Y146" s="119"/>
      <c r="Z146" s="95"/>
      <c r="AA146" s="141"/>
      <c r="AC146" s="269"/>
      <c r="AD146" s="275"/>
    </row>
    <row r="147" spans="1:30" ht="16.5" customHeight="1">
      <c r="A147" s="195"/>
      <c r="B147" s="813"/>
      <c r="C147" s="813"/>
      <c r="D147" s="813"/>
      <c r="E147" s="813"/>
      <c r="F147" s="813"/>
      <c r="G147" s="813"/>
      <c r="H147" s="813"/>
      <c r="I147" s="38"/>
      <c r="J147" s="39"/>
    </row>
    <row r="148" spans="1:30" ht="23.25" hidden="1" customHeight="1">
      <c r="A148" s="155"/>
      <c r="B148" s="173" t="s">
        <v>184</v>
      </c>
      <c r="C148" s="161"/>
      <c r="D148" s="161"/>
      <c r="E148" s="153"/>
      <c r="F148" s="156">
        <f>'Проект ТС-6 усл.свод'!E91</f>
        <v>9.3072622588082576E-2</v>
      </c>
      <c r="G148" s="156">
        <f>'Проект ТС-6 усл.свод'!F91</f>
        <v>0.12834454139923065</v>
      </c>
      <c r="H148" s="161"/>
      <c r="I148" s="38"/>
      <c r="J148" s="39"/>
      <c r="M148" s="154"/>
      <c r="N148" s="157">
        <f>'Проект ТС-6 усл.свод'!N91</f>
        <v>7.3057513109581224E-2</v>
      </c>
      <c r="O148" s="157">
        <f>'Проект ТС-6 усл.свод'!O91</f>
        <v>0.11861744362886288</v>
      </c>
      <c r="P148" s="155"/>
      <c r="Q148" s="155"/>
      <c r="R148" s="155"/>
      <c r="V148" s="192"/>
      <c r="W148" s="193"/>
      <c r="X148" s="193"/>
      <c r="Y148" s="194"/>
      <c r="Z148" s="155"/>
      <c r="AA148" s="155"/>
    </row>
    <row r="149" spans="1:30" ht="23.25" hidden="1" customHeight="1">
      <c r="A149" s="155"/>
      <c r="B149" s="173" t="s">
        <v>185</v>
      </c>
      <c r="C149" s="161"/>
      <c r="D149" s="161"/>
      <c r="E149" s="153"/>
      <c r="F149" s="156">
        <f>'Проект ТС-6 усл.свод'!E92</f>
        <v>0.16079218264292713</v>
      </c>
      <c r="G149" s="156">
        <f>'Проект ТС-6 усл.свод'!F92</f>
        <v>0.15534803384397219</v>
      </c>
      <c r="H149" s="161"/>
      <c r="I149" s="38"/>
      <c r="J149" s="39"/>
      <c r="M149" s="154"/>
      <c r="N149" s="157">
        <f>'Проект ТС-6 усл.свод'!N92</f>
        <v>0.1441540075696161</v>
      </c>
      <c r="O149" s="157">
        <f>'Проект ТС-6 усл.свод'!O92</f>
        <v>0.13134858926447257</v>
      </c>
      <c r="P149" s="155"/>
      <c r="Q149" s="155"/>
      <c r="R149" s="155"/>
      <c r="V149" s="192"/>
      <c r="W149" s="193"/>
      <c r="X149" s="193"/>
      <c r="Y149" s="194"/>
      <c r="Z149" s="155"/>
      <c r="AA149" s="155"/>
    </row>
    <row r="150" spans="1:30" ht="23.25" hidden="1" customHeight="1">
      <c r="A150" s="155"/>
      <c r="B150" s="174" t="s">
        <v>186</v>
      </c>
      <c r="C150" s="161"/>
      <c r="D150" s="161"/>
      <c r="E150" s="153"/>
      <c r="F150" s="156">
        <f>'Проект ТС-6 усл.свод'!E93</f>
        <v>0.44185279533405841</v>
      </c>
      <c r="G150" s="156">
        <f>'Проект ТС-6 усл.свод'!F93</f>
        <v>0.33633393860302879</v>
      </c>
      <c r="H150" s="161"/>
      <c r="I150" s="38"/>
      <c r="J150" s="39"/>
      <c r="M150" s="154"/>
      <c r="N150" s="157">
        <f>'Проект ТС-6 усл.свод'!N93</f>
        <v>0.44306471617732801</v>
      </c>
      <c r="O150" s="157">
        <f>'Проект ТС-6 усл.свод'!O93</f>
        <v>0.31325759293398353</v>
      </c>
      <c r="P150" s="155"/>
      <c r="Q150" s="155"/>
      <c r="R150" s="155"/>
      <c r="V150" s="192"/>
      <c r="W150" s="193"/>
      <c r="X150" s="193"/>
      <c r="Y150" s="194"/>
      <c r="Z150" s="155"/>
      <c r="AA150" s="155"/>
    </row>
    <row r="151" spans="1:30" ht="16.5" hidden="1" customHeight="1">
      <c r="B151" s="161"/>
      <c r="C151" s="161"/>
      <c r="D151" s="161"/>
      <c r="E151" s="161"/>
      <c r="F151" s="161"/>
      <c r="G151" s="161"/>
      <c r="H151" s="161"/>
      <c r="I151" s="38"/>
      <c r="J151" s="39"/>
    </row>
    <row r="152" spans="1:30" ht="16.5" hidden="1" customHeight="1">
      <c r="B152" s="161"/>
      <c r="C152" s="161"/>
      <c r="D152" s="161"/>
      <c r="E152" s="161"/>
      <c r="F152" s="161"/>
      <c r="G152" s="161"/>
      <c r="H152" s="161"/>
      <c r="I152" s="38"/>
      <c r="J152" s="39"/>
    </row>
    <row r="153" spans="1:30" hidden="1"/>
    <row r="154" spans="1:30" hidden="1">
      <c r="B154" s="1" t="s">
        <v>180</v>
      </c>
    </row>
    <row r="155" spans="1:30" hidden="1"/>
    <row r="156" spans="1:30" hidden="1"/>
    <row r="157" spans="1:30" hidden="1">
      <c r="B157" s="1" t="s">
        <v>181</v>
      </c>
    </row>
    <row r="158" spans="1:30">
      <c r="B158" s="262" t="s">
        <v>184</v>
      </c>
      <c r="C158" s="262"/>
      <c r="D158" s="263">
        <v>0.99999999999999989</v>
      </c>
      <c r="E158" s="264">
        <f>F158+G158</f>
        <v>0.22141716398731323</v>
      </c>
      <c r="F158" s="264">
        <f>'Проект ТС-6 усл.свод'!E91</f>
        <v>9.3072622588082576E-2</v>
      </c>
      <c r="G158" s="264">
        <f>'Проект ТС-6 усл.свод'!F91</f>
        <v>0.12834454139923065</v>
      </c>
      <c r="H158" s="264">
        <f>'Проект ТС-6 усл.свод'!G91</f>
        <v>0.2951584000203693</v>
      </c>
      <c r="I158" s="264">
        <f>'Проект ТС-6 усл.свод'!H91</f>
        <v>0.14563286926731397</v>
      </c>
      <c r="J158" s="264">
        <f>'Проект ТС-6 усл.свод'!I91</f>
        <v>0.27132322133281178</v>
      </c>
      <c r="K158" s="264">
        <f>'Проект ТС-6 усл.свод'!J91</f>
        <v>6.6468345392191611E-2</v>
      </c>
      <c r="M158" s="264">
        <f>N158+O158</f>
        <v>0.19167495673844409</v>
      </c>
      <c r="N158" s="264">
        <f>'Проект ТС-6 усл.свод'!N91</f>
        <v>7.3057513109581224E-2</v>
      </c>
      <c r="O158" s="264">
        <f>'Проект ТС-6 усл.свод'!O91</f>
        <v>0.11861744362886288</v>
      </c>
    </row>
    <row r="159" spans="1:30">
      <c r="B159" s="262" t="s">
        <v>185</v>
      </c>
      <c r="C159" s="262"/>
      <c r="D159" s="263">
        <v>1</v>
      </c>
      <c r="E159" s="264">
        <f t="shared" ref="E159:E161" si="91">F159+G159</f>
        <v>0.31614021648689933</v>
      </c>
      <c r="F159" s="264">
        <f>'Проект ТС-6 усл.свод'!E92</f>
        <v>0.16079218264292713</v>
      </c>
      <c r="G159" s="264">
        <f>'Проект ТС-6 усл.свод'!F92</f>
        <v>0.15534803384397219</v>
      </c>
      <c r="H159" s="264">
        <f>'Проект ТС-6 усл.свод'!G92</f>
        <v>0.25920046939220653</v>
      </c>
      <c r="I159" s="264">
        <f>'Проект ТС-6 усл.свод'!H92</f>
        <v>0.15459492525696034</v>
      </c>
      <c r="J159" s="264">
        <f>'Проект ТС-6 усл.свод'!I92</f>
        <v>0.24692281308740627</v>
      </c>
      <c r="K159" s="264">
        <f>'Проект ТС-6 усл.свод'!J92</f>
        <v>2.3141575776527534E-2</v>
      </c>
      <c r="M159" s="264">
        <f t="shared" ref="M159:M161" si="92">N159+O159</f>
        <v>0.27550259683408868</v>
      </c>
      <c r="N159" s="264">
        <f>'Проект ТС-6 усл.свод'!N92</f>
        <v>0.1441540075696161</v>
      </c>
      <c r="O159" s="264">
        <f>'Проект ТС-6 усл.свод'!O92</f>
        <v>0.13134858926447257</v>
      </c>
    </row>
    <row r="160" spans="1:30">
      <c r="B160" s="262" t="s">
        <v>186</v>
      </c>
      <c r="C160" s="262"/>
      <c r="D160" s="263">
        <v>0.99999999999999989</v>
      </c>
      <c r="E160" s="264">
        <f t="shared" si="91"/>
        <v>0.77818673393708715</v>
      </c>
      <c r="F160" s="264">
        <f>'Проект ТС-6 усл.свод'!E93</f>
        <v>0.44185279533405841</v>
      </c>
      <c r="G160" s="264">
        <f>'Проект ТС-6 усл.свод'!F93</f>
        <v>0.33633393860302879</v>
      </c>
      <c r="H160" s="264">
        <f>'Проект ТС-6 усл.свод'!G93</f>
        <v>9.0402489153487198E-2</v>
      </c>
      <c r="I160" s="264">
        <f>'Проект ТС-6 усл.свод'!H93</f>
        <v>4.0100758461085462E-2</v>
      </c>
      <c r="J160" s="264">
        <f>'Проект ТС-6 усл.свод'!I93</f>
        <v>7.0677529522682858E-2</v>
      </c>
      <c r="K160" s="264">
        <f>'Проект ТС-6 усл.свод'!J93</f>
        <v>2.0632488925657146E-2</v>
      </c>
      <c r="M160" s="264">
        <f t="shared" si="92"/>
        <v>0.7563223091113116</v>
      </c>
      <c r="N160" s="264">
        <f>'Проект ТС-6 усл.свод'!N93</f>
        <v>0.44306471617732801</v>
      </c>
      <c r="O160" s="264">
        <f>'Проект ТС-6 усл.свод'!O93</f>
        <v>0.31325759293398353</v>
      </c>
    </row>
    <row r="161" spans="2:15">
      <c r="B161" s="262" t="s">
        <v>202</v>
      </c>
      <c r="C161" s="262"/>
      <c r="D161" s="263">
        <v>1</v>
      </c>
      <c r="E161" s="264">
        <f t="shared" si="91"/>
        <v>0.90328307817684383</v>
      </c>
      <c r="F161" s="264">
        <f>'Проект ТС-6 усл.свод'!E94</f>
        <v>0.3585191221840619</v>
      </c>
      <c r="G161" s="264">
        <f>'Проект ТС-6 усл.свод'!F94</f>
        <v>0.54476395599278193</v>
      </c>
      <c r="H161" s="264">
        <f>'Проект ТС-6 усл.свод'!G94</f>
        <v>0</v>
      </c>
      <c r="I161" s="264">
        <f>'Проект ТС-6 усл.свод'!H94</f>
        <v>9.6716921823156166E-2</v>
      </c>
      <c r="J161" s="264">
        <f>'Проект ТС-6 усл.свод'!I94</f>
        <v>0</v>
      </c>
      <c r="K161" s="264">
        <f>'Проект ТС-6 усл.свод'!J94</f>
        <v>0</v>
      </c>
      <c r="M161" s="264">
        <f t="shared" si="92"/>
        <v>0.90328307817684383</v>
      </c>
      <c r="N161" s="264">
        <f>'Проект ТС-6 усл.свод'!N94</f>
        <v>0.3585191221840619</v>
      </c>
      <c r="O161" s="264">
        <f>'Проект ТС-6 усл.свод'!O94</f>
        <v>0.54476395599278193</v>
      </c>
    </row>
    <row r="162" spans="2:15">
      <c r="F162" s="169"/>
      <c r="G162" s="169"/>
      <c r="N162" s="172"/>
      <c r="O162" s="172"/>
    </row>
    <row r="163" spans="2:15">
      <c r="F163" s="169"/>
      <c r="G163" s="169"/>
      <c r="N163" s="172"/>
      <c r="O163" s="172"/>
    </row>
    <row r="164" spans="2:15">
      <c r="F164" s="169"/>
      <c r="G164" s="169"/>
      <c r="N164" s="172"/>
      <c r="O164" s="172"/>
    </row>
  </sheetData>
  <mergeCells count="15">
    <mergeCell ref="AD23:AD24"/>
    <mergeCell ref="B147:H147"/>
    <mergeCell ref="M3:R3"/>
    <mergeCell ref="V3:AA3"/>
    <mergeCell ref="A137:A141"/>
    <mergeCell ref="B137:B141"/>
    <mergeCell ref="A142:A146"/>
    <mergeCell ref="B142:B146"/>
    <mergeCell ref="A1:H1"/>
    <mergeCell ref="B2:C2"/>
    <mergeCell ref="D2:K2"/>
    <mergeCell ref="A3:A4"/>
    <mergeCell ref="B3:B4"/>
    <mergeCell ref="C3:C4"/>
    <mergeCell ref="D3:H3"/>
  </mergeCells>
  <pageMargins left="0.39370078740157483" right="0.39370078740157483" top="0.39370078740157483" bottom="0.39370078740157483" header="0.31496062992125984" footer="0.31496062992125984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K164"/>
  <sheetViews>
    <sheetView zoomScale="70" zoomScaleNormal="70" workbookViewId="0">
      <pane xSplit="3" ySplit="5" topLeftCell="D23" activePane="bottomRight" state="frozen"/>
      <selection pane="topRight" activeCell="D1" sqref="D1"/>
      <selection pane="bottomLeft" activeCell="A6" sqref="A6"/>
      <selection pane="bottomRight" activeCell="AM23" sqref="AM23"/>
    </sheetView>
  </sheetViews>
  <sheetFormatPr defaultColWidth="9.140625" defaultRowHeight="20.25" outlineLevelRow="1"/>
  <cols>
    <col min="1" max="1" width="5.7109375" style="1" customWidth="1"/>
    <col min="2" max="2" width="52.140625" style="1" customWidth="1"/>
    <col min="3" max="3" width="4.28515625" style="1" hidden="1" customWidth="1"/>
    <col min="4" max="4" width="17.42578125" style="37" hidden="1" customWidth="1"/>
    <col min="5" max="5" width="17.42578125" style="37" customWidth="1"/>
    <col min="6" max="6" width="19.28515625" style="37" customWidth="1"/>
    <col min="7" max="7" width="20.140625" style="37" customWidth="1"/>
    <col min="8" max="8" width="16.7109375" style="37" hidden="1" customWidth="1"/>
    <col min="9" max="9" width="15.140625" style="41" hidden="1" customWidth="1"/>
    <col min="10" max="10" width="17.7109375" style="37" hidden="1" customWidth="1"/>
    <col min="11" max="11" width="15.42578125" style="1" hidden="1" customWidth="1"/>
    <col min="12" max="12" width="5.7109375" style="1" customWidth="1"/>
    <col min="13" max="13" width="14.5703125" style="37" hidden="1" customWidth="1"/>
    <col min="14" max="14" width="15" style="1" hidden="1" customWidth="1"/>
    <col min="15" max="15" width="14.42578125" style="1" hidden="1" customWidth="1"/>
    <col min="16" max="16" width="15" style="1" hidden="1" customWidth="1"/>
    <col min="17" max="17" width="9.140625" style="1" hidden="1" customWidth="1"/>
    <col min="18" max="18" width="8.28515625" style="1" hidden="1" customWidth="1"/>
    <col min="19" max="19" width="4.85546875" style="1" hidden="1" customWidth="1"/>
    <col min="20" max="20" width="5.140625" style="1" customWidth="1"/>
    <col min="21" max="21" width="1.28515625" style="1" customWidth="1"/>
    <col min="22" max="22" width="16.85546875" style="190" customWidth="1"/>
    <col min="23" max="23" width="15" style="191" customWidth="1"/>
    <col min="24" max="24" width="14.42578125" style="191" customWidth="1"/>
    <col min="25" max="25" width="12" style="191" customWidth="1"/>
    <col min="26" max="26" width="9.140625" style="1" hidden="1" customWidth="1"/>
    <col min="27" max="27" width="8.28515625" style="1" hidden="1" customWidth="1"/>
    <col min="28" max="28" width="4.85546875" style="1" customWidth="1"/>
    <col min="29" max="29" width="16.28515625" style="267" hidden="1" customWidth="1"/>
    <col min="30" max="30" width="26.85546875" style="1" hidden="1" customWidth="1"/>
    <col min="31" max="31" width="4.85546875" style="1" customWidth="1"/>
    <col min="32" max="32" width="12.140625" style="1" customWidth="1"/>
    <col min="33" max="33" width="14.85546875" style="1" customWidth="1"/>
    <col min="34" max="34" width="16.140625" style="1" customWidth="1"/>
    <col min="35" max="16384" width="9.140625" style="1"/>
  </cols>
  <sheetData>
    <row r="1" spans="1:37" s="2" customFormat="1" ht="30" customHeight="1">
      <c r="A1" s="786" t="s">
        <v>111</v>
      </c>
      <c r="B1" s="786"/>
      <c r="C1" s="786"/>
      <c r="D1" s="786"/>
      <c r="E1" s="786"/>
      <c r="F1" s="786"/>
      <c r="G1" s="786"/>
      <c r="H1" s="786"/>
      <c r="I1" s="20"/>
      <c r="J1" s="21"/>
      <c r="M1" s="166"/>
      <c r="N1" s="165"/>
      <c r="O1" s="165"/>
      <c r="P1" s="165"/>
      <c r="V1" s="179"/>
      <c r="W1" s="180"/>
      <c r="X1" s="180"/>
      <c r="Y1" s="181"/>
      <c r="AC1" s="266"/>
    </row>
    <row r="2" spans="1:37" s="2" customFormat="1" ht="9" customHeight="1">
      <c r="A2" s="257"/>
      <c r="B2" s="787"/>
      <c r="C2" s="787"/>
      <c r="D2" s="802"/>
      <c r="E2" s="802"/>
      <c r="F2" s="802"/>
      <c r="G2" s="802"/>
      <c r="H2" s="802"/>
      <c r="I2" s="802"/>
      <c r="J2" s="802"/>
      <c r="K2" s="802"/>
      <c r="M2" s="21"/>
      <c r="N2" s="167"/>
      <c r="O2" s="167"/>
      <c r="V2" s="182"/>
      <c r="W2" s="181"/>
      <c r="X2" s="181"/>
      <c r="Y2" s="181"/>
      <c r="AC2" s="266"/>
    </row>
    <row r="3" spans="1:37" s="2" customFormat="1" ht="18" customHeight="1">
      <c r="A3" s="789" t="s">
        <v>0</v>
      </c>
      <c r="B3" s="789" t="s">
        <v>1</v>
      </c>
      <c r="C3" s="789" t="s">
        <v>2</v>
      </c>
      <c r="D3" s="810" t="s">
        <v>204</v>
      </c>
      <c r="E3" s="810"/>
      <c r="F3" s="810"/>
      <c r="G3" s="810"/>
      <c r="H3" s="810"/>
      <c r="I3" s="71"/>
      <c r="J3" s="72"/>
      <c r="K3" s="72"/>
      <c r="L3" s="116"/>
      <c r="M3" s="814" t="s">
        <v>205</v>
      </c>
      <c r="N3" s="814"/>
      <c r="O3" s="814"/>
      <c r="P3" s="814"/>
      <c r="Q3" s="814"/>
      <c r="R3" s="814"/>
      <c r="S3" s="116"/>
      <c r="V3" s="815" t="s">
        <v>195</v>
      </c>
      <c r="W3" s="816"/>
      <c r="X3" s="816"/>
      <c r="Y3" s="816"/>
      <c r="Z3" s="816"/>
      <c r="AA3" s="816"/>
      <c r="AB3" s="116"/>
      <c r="AC3" s="266"/>
      <c r="AF3" s="815" t="s">
        <v>195</v>
      </c>
      <c r="AG3" s="816"/>
      <c r="AH3" s="816"/>
      <c r="AI3" s="816"/>
      <c r="AJ3" s="816"/>
      <c r="AK3" s="816"/>
    </row>
    <row r="4" spans="1:37" ht="112.5" customHeight="1">
      <c r="A4" s="789"/>
      <c r="B4" s="789"/>
      <c r="C4" s="789"/>
      <c r="D4" s="259" t="s">
        <v>3</v>
      </c>
      <c r="E4" s="259" t="s">
        <v>3</v>
      </c>
      <c r="F4" s="73" t="s">
        <v>173</v>
      </c>
      <c r="G4" s="73" t="s">
        <v>174</v>
      </c>
      <c r="H4" s="73" t="s">
        <v>138</v>
      </c>
      <c r="I4" s="55" t="s">
        <v>139</v>
      </c>
      <c r="J4" s="55" t="s">
        <v>140</v>
      </c>
      <c r="K4" s="55" t="s">
        <v>141</v>
      </c>
      <c r="M4" s="87" t="s">
        <v>193</v>
      </c>
      <c r="N4" s="73" t="s">
        <v>173</v>
      </c>
      <c r="O4" s="73" t="s">
        <v>174</v>
      </c>
      <c r="P4" s="87" t="s">
        <v>194</v>
      </c>
      <c r="Q4" s="87" t="s">
        <v>189</v>
      </c>
      <c r="R4" s="87" t="s">
        <v>189</v>
      </c>
      <c r="V4" s="183" t="s">
        <v>193</v>
      </c>
      <c r="W4" s="184" t="s">
        <v>173</v>
      </c>
      <c r="X4" s="184" t="s">
        <v>174</v>
      </c>
      <c r="Y4" s="183" t="s">
        <v>196</v>
      </c>
      <c r="Z4" s="87" t="s">
        <v>189</v>
      </c>
      <c r="AA4" s="87" t="s">
        <v>189</v>
      </c>
      <c r="AC4" s="19" t="s">
        <v>211</v>
      </c>
      <c r="AD4" s="19" t="s">
        <v>214</v>
      </c>
      <c r="AF4" s="183" t="s">
        <v>193</v>
      </c>
      <c r="AG4" s="184" t="s">
        <v>173</v>
      </c>
      <c r="AH4" s="184" t="s">
        <v>174</v>
      </c>
      <c r="AI4" s="183" t="s">
        <v>196</v>
      </c>
      <c r="AJ4" s="87" t="s">
        <v>189</v>
      </c>
      <c r="AK4" s="87" t="s">
        <v>189</v>
      </c>
    </row>
    <row r="5" spans="1:37" s="11" customFormat="1" ht="12" customHeight="1">
      <c r="A5" s="10">
        <v>1</v>
      </c>
      <c r="B5" s="10">
        <v>2</v>
      </c>
      <c r="C5" s="10">
        <v>3</v>
      </c>
      <c r="D5" s="10">
        <v>4</v>
      </c>
      <c r="E5" s="133">
        <v>3</v>
      </c>
      <c r="F5" s="134">
        <v>4</v>
      </c>
      <c r="G5" s="134">
        <v>5</v>
      </c>
      <c r="H5" s="134">
        <v>7</v>
      </c>
      <c r="I5" s="13">
        <v>8</v>
      </c>
      <c r="J5" s="134">
        <v>9</v>
      </c>
      <c r="K5" s="134">
        <v>10</v>
      </c>
      <c r="L5" s="135"/>
      <c r="M5" s="136"/>
      <c r="N5" s="134">
        <v>5</v>
      </c>
      <c r="O5" s="134">
        <v>6</v>
      </c>
      <c r="P5" s="136"/>
      <c r="Q5" s="136"/>
      <c r="R5" s="140"/>
      <c r="S5" s="135"/>
      <c r="T5" s="135"/>
      <c r="U5" s="135"/>
      <c r="V5" s="185"/>
      <c r="W5" s="186">
        <v>5</v>
      </c>
      <c r="X5" s="186">
        <v>6</v>
      </c>
      <c r="Y5" s="185"/>
      <c r="Z5" s="136"/>
      <c r="AA5" s="140"/>
      <c r="AB5" s="135"/>
      <c r="AC5" s="268"/>
      <c r="AD5" s="274"/>
      <c r="AE5" s="135"/>
      <c r="AF5" s="185"/>
      <c r="AG5" s="186">
        <v>5</v>
      </c>
      <c r="AH5" s="186">
        <v>6</v>
      </c>
      <c r="AI5" s="185"/>
      <c r="AJ5" s="136"/>
      <c r="AK5" s="140"/>
    </row>
    <row r="6" spans="1:37" s="4" customFormat="1" ht="45.75" customHeight="1">
      <c r="A6" s="260" t="s">
        <v>4</v>
      </c>
      <c r="B6" s="17" t="s">
        <v>5</v>
      </c>
      <c r="C6" s="260" t="s">
        <v>6</v>
      </c>
      <c r="D6" s="27">
        <f>D8+D26+D32+D33+D34</f>
        <v>5159291.7473876867</v>
      </c>
      <c r="E6" s="70">
        <f>F6+G6</f>
        <v>2666916.1809299504</v>
      </c>
      <c r="F6" s="27">
        <f>F8+F26+F32+F33+F34</f>
        <v>1447498.3096553106</v>
      </c>
      <c r="G6" s="27">
        <f>G8+G26+G32+G33+G34</f>
        <v>1219417.8712746401</v>
      </c>
      <c r="H6" s="27">
        <f>H8+H26+H32+H33+H34</f>
        <v>960496.63180736476</v>
      </c>
      <c r="I6" s="27">
        <f t="shared" ref="I6:K6" si="0">I8+I26+I32+I33+I34</f>
        <v>501797.33043882524</v>
      </c>
      <c r="J6" s="27">
        <f t="shared" si="0"/>
        <v>864675.26794060203</v>
      </c>
      <c r="K6" s="27">
        <f t="shared" si="0"/>
        <v>165406.3362709441</v>
      </c>
      <c r="M6" s="99">
        <f>M8+M26+M32+M33+M34</f>
        <v>2258919.4199806978</v>
      </c>
      <c r="N6" s="117">
        <f t="shared" ref="N6:O6" si="1">N8+N26+N32+N33+N34</f>
        <v>1195194.1014716348</v>
      </c>
      <c r="O6" s="117">
        <f t="shared" si="1"/>
        <v>1063725.318509063</v>
      </c>
      <c r="P6" s="92">
        <f>E6-M6</f>
        <v>407996.76094925264</v>
      </c>
      <c r="Q6" s="96">
        <f>100%-(M6/E6)</f>
        <v>0.15298447092813572</v>
      </c>
      <c r="R6" s="141">
        <f>Q6</f>
        <v>0.15298447092813572</v>
      </c>
      <c r="V6" s="117">
        <f>V8+V26+V32+V33+V34</f>
        <v>2274792.027090142</v>
      </c>
      <c r="W6" s="117">
        <f t="shared" ref="W6:X6" si="2">W8+W26+W32+W33+W34</f>
        <v>1205461.8101127371</v>
      </c>
      <c r="X6" s="117">
        <f t="shared" si="2"/>
        <v>1069330.2169774049</v>
      </c>
      <c r="Y6" s="119"/>
      <c r="Z6" s="96">
        <f>100%-(V6/E6)</f>
        <v>0.14703280014712539</v>
      </c>
      <c r="AA6" s="141">
        <f t="shared" ref="AA6" si="3">Z6</f>
        <v>0.14703280014712539</v>
      </c>
      <c r="AC6" s="269"/>
      <c r="AD6" s="275"/>
      <c r="AF6" s="117">
        <f>AF8+AF26+AF32+AF33+AF34</f>
        <v>830057.4327917879</v>
      </c>
      <c r="AG6" s="117">
        <f t="shared" ref="AG6:AH6" si="4">AG8+AG26+AG32+AG33+AG34</f>
        <v>1018954.3371411328</v>
      </c>
      <c r="AH6" s="117">
        <f t="shared" si="4"/>
        <v>-188896.9043493449</v>
      </c>
      <c r="AI6" s="119"/>
      <c r="AJ6" s="96">
        <f>100%-(AF6/O6)</f>
        <v>0.2196693842398979</v>
      </c>
      <c r="AK6" s="141">
        <f t="shared" ref="AK6" si="5">AJ6</f>
        <v>0.2196693842398979</v>
      </c>
    </row>
    <row r="7" spans="1:37" s="4" customFormat="1" ht="16.5" customHeight="1">
      <c r="A7" s="211"/>
      <c r="B7" s="12" t="s">
        <v>7</v>
      </c>
      <c r="C7" s="211"/>
      <c r="D7" s="25"/>
      <c r="E7" s="70"/>
      <c r="F7" s="25"/>
      <c r="G7" s="25"/>
      <c r="H7" s="25"/>
      <c r="I7" s="26"/>
      <c r="J7" s="25"/>
      <c r="K7" s="25"/>
      <c r="M7" s="92"/>
      <c r="N7" s="118"/>
      <c r="O7" s="118"/>
      <c r="P7" s="92"/>
      <c r="Q7" s="96"/>
      <c r="R7" s="141"/>
      <c r="V7" s="118"/>
      <c r="W7" s="118"/>
      <c r="X7" s="118"/>
      <c r="Y7" s="119"/>
      <c r="Z7" s="96"/>
      <c r="AA7" s="141"/>
      <c r="AC7" s="269"/>
      <c r="AD7" s="275"/>
      <c r="AF7" s="118"/>
      <c r="AG7" s="118"/>
      <c r="AH7" s="118"/>
      <c r="AI7" s="119"/>
      <c r="AJ7" s="96"/>
      <c r="AK7" s="141"/>
    </row>
    <row r="8" spans="1:37" s="6" customFormat="1" ht="33" customHeight="1">
      <c r="A8" s="260" t="s">
        <v>8</v>
      </c>
      <c r="B8" s="17" t="s">
        <v>272</v>
      </c>
      <c r="C8" s="260" t="s">
        <v>9</v>
      </c>
      <c r="D8" s="27">
        <f>D10+D22+D25</f>
        <v>548661.31319345045</v>
      </c>
      <c r="E8" s="70">
        <f t="shared" ref="E8:E71" si="6">F8+G8</f>
        <v>94048.850721479364</v>
      </c>
      <c r="F8" s="27">
        <f t="shared" ref="F8:K8" si="7">F10+F22+F25</f>
        <v>36298.008209999367</v>
      </c>
      <c r="G8" s="27">
        <f t="shared" si="7"/>
        <v>57750.842511479997</v>
      </c>
      <c r="H8" s="27">
        <f t="shared" si="7"/>
        <v>181582.73428297805</v>
      </c>
      <c r="I8" s="27">
        <f t="shared" si="7"/>
        <v>85680.668413682783</v>
      </c>
      <c r="J8" s="27">
        <f t="shared" si="7"/>
        <v>181662.92865384585</v>
      </c>
      <c r="K8" s="27">
        <f t="shared" si="7"/>
        <v>5686.1311214643792</v>
      </c>
      <c r="M8" s="91">
        <f>M10+M22+M25</f>
        <v>69396.950643270451</v>
      </c>
      <c r="N8" s="119">
        <f t="shared" ref="N8:O8" si="8">N10+N22+N25</f>
        <v>28969.482017815768</v>
      </c>
      <c r="O8" s="119">
        <f t="shared" si="8"/>
        <v>40427.468625454683</v>
      </c>
      <c r="P8" s="92">
        <f t="shared" ref="P8:P71" si="9">E8-M8</f>
        <v>24651.900078208913</v>
      </c>
      <c r="Q8" s="96">
        <f t="shared" ref="Q8:Q71" si="10">100%-(M8/E8)</f>
        <v>0.26211803641507747</v>
      </c>
      <c r="R8" s="141">
        <f>Q8</f>
        <v>0.26211803641507747</v>
      </c>
      <c r="V8" s="119">
        <f>V10+V22+V25</f>
        <v>69786.31837891959</v>
      </c>
      <c r="W8" s="119">
        <f t="shared" ref="W8:X8" si="11">W10+W22+W25</f>
        <v>29226.680227653906</v>
      </c>
      <c r="X8" s="119">
        <f t="shared" si="11"/>
        <v>40559.638151265681</v>
      </c>
      <c r="Y8" s="119"/>
      <c r="Z8" s="96">
        <f>100%-(V8/E8)</f>
        <v>0.25797797800221889</v>
      </c>
      <c r="AA8" s="141">
        <f t="shared" ref="AA8" si="12">Z8</f>
        <v>0.25797797800221889</v>
      </c>
      <c r="AC8" s="270"/>
      <c r="AD8" s="276"/>
      <c r="AF8" s="119">
        <f>AF10+AF22+AF25</f>
        <v>31019.908482782696</v>
      </c>
      <c r="AG8" s="119">
        <f t="shared" ref="AG8:AH8" si="13">AG10+AG22+AG25</f>
        <v>41066.170402767952</v>
      </c>
      <c r="AH8" s="119">
        <f t="shared" si="13"/>
        <v>-10046.26191998526</v>
      </c>
      <c r="AI8" s="119"/>
      <c r="AJ8" s="96">
        <f>100%-(AF8/O8)</f>
        <v>0.23270218152488098</v>
      </c>
      <c r="AK8" s="141">
        <f t="shared" ref="AK8" si="14">AJ8</f>
        <v>0.23270218152488098</v>
      </c>
    </row>
    <row r="9" spans="1:37" s="4" customFormat="1" ht="16.5" customHeight="1">
      <c r="A9" s="211"/>
      <c r="B9" s="12" t="s">
        <v>7</v>
      </c>
      <c r="C9" s="211"/>
      <c r="D9" s="25"/>
      <c r="E9" s="70"/>
      <c r="F9" s="25"/>
      <c r="G9" s="25"/>
      <c r="H9" s="25"/>
      <c r="I9" s="25"/>
      <c r="J9" s="25"/>
      <c r="K9" s="25"/>
      <c r="M9" s="92"/>
      <c r="N9" s="118"/>
      <c r="O9" s="118"/>
      <c r="P9" s="92"/>
      <c r="Q9" s="96"/>
      <c r="R9" s="141"/>
      <c r="V9" s="118"/>
      <c r="W9" s="118"/>
      <c r="X9" s="118"/>
      <c r="Y9" s="119"/>
      <c r="Z9" s="96"/>
      <c r="AA9" s="141"/>
      <c r="AC9" s="269"/>
      <c r="AD9" s="275"/>
      <c r="AF9" s="118"/>
      <c r="AG9" s="118"/>
      <c r="AH9" s="118"/>
      <c r="AI9" s="119"/>
      <c r="AJ9" s="96"/>
      <c r="AK9" s="141"/>
    </row>
    <row r="10" spans="1:37" s="4" customFormat="1" ht="16.5" customHeight="1">
      <c r="A10" s="211" t="s">
        <v>10</v>
      </c>
      <c r="B10" s="12" t="s">
        <v>11</v>
      </c>
      <c r="C10" s="211" t="s">
        <v>9</v>
      </c>
      <c r="D10" s="25">
        <f>SUM(D11:D21)</f>
        <v>161398.1160753826</v>
      </c>
      <c r="E10" s="74">
        <f t="shared" si="6"/>
        <v>67445.305853055106</v>
      </c>
      <c r="F10" s="25">
        <f t="shared" ref="F10:K10" si="15">SUM(F11:F21)</f>
        <v>25702.125475761815</v>
      </c>
      <c r="G10" s="25">
        <f t="shared" si="15"/>
        <v>41743.180377293291</v>
      </c>
      <c r="H10" s="25">
        <f t="shared" si="15"/>
        <v>34492.669000606395</v>
      </c>
      <c r="I10" s="25">
        <f t="shared" si="15"/>
        <v>24808.046059026579</v>
      </c>
      <c r="J10" s="25">
        <f t="shared" si="15"/>
        <v>29676.581901893976</v>
      </c>
      <c r="K10" s="25">
        <f t="shared" si="15"/>
        <v>4975.5132608005451</v>
      </c>
      <c r="M10" s="92">
        <f>SUM(M11:M21)</f>
        <v>43794.900456065887</v>
      </c>
      <c r="N10" s="118">
        <f t="shared" ref="N10:O10" si="16">SUM(N11:N21)</f>
        <v>18829.091618240342</v>
      </c>
      <c r="O10" s="118">
        <f t="shared" si="16"/>
        <v>24965.808837825552</v>
      </c>
      <c r="P10" s="92">
        <f t="shared" si="9"/>
        <v>23650.405396989219</v>
      </c>
      <c r="Q10" s="96">
        <f t="shared" si="10"/>
        <v>0.35066051073320048</v>
      </c>
      <c r="R10" s="141">
        <f t="shared" ref="R10:R19" si="17">Q10</f>
        <v>0.35066051073320048</v>
      </c>
      <c r="V10" s="118">
        <f>SUM(V11:V21)</f>
        <v>43964.305613436125</v>
      </c>
      <c r="W10" s="122">
        <f t="shared" ref="W10:X10" si="18">SUM(W11:W21)</f>
        <v>18940.992835579222</v>
      </c>
      <c r="X10" s="122">
        <f t="shared" si="18"/>
        <v>25023.312777856907</v>
      </c>
      <c r="Y10" s="204">
        <f t="shared" ref="Y10:Y19" si="19">V10-E10</f>
        <v>-23481.000239618981</v>
      </c>
      <c r="Z10" s="96">
        <f t="shared" ref="Z10:Z26" si="20">100%-(V10/E10)</f>
        <v>0.34814876947519025</v>
      </c>
      <c r="AA10" s="141">
        <f t="shared" ref="AA10:AA19" si="21">Z10</f>
        <v>0.34814876947519025</v>
      </c>
      <c r="AC10" s="269"/>
      <c r="AD10" s="275"/>
      <c r="AF10" s="118">
        <f>SUM(AF11:AF21)</f>
        <v>7308.8364295094925</v>
      </c>
      <c r="AG10" s="122">
        <f t="shared" ref="AG10:AH10" si="22">SUM(AG11:AG21)</f>
        <v>30089.87693091447</v>
      </c>
      <c r="AH10" s="122">
        <f t="shared" si="22"/>
        <v>-22781.040501404976</v>
      </c>
      <c r="AI10" s="204">
        <f t="shared" ref="AI10:AI19" si="23">AF10-O10</f>
        <v>-17656.972408316062</v>
      </c>
      <c r="AJ10" s="96">
        <f t="shared" ref="AJ10:AJ26" si="24">100%-(AF10/O10)</f>
        <v>0.70724615905750599</v>
      </c>
      <c r="AK10" s="141">
        <f t="shared" ref="AK10:AK19" si="25">AJ10</f>
        <v>0.70724615905750599</v>
      </c>
    </row>
    <row r="11" spans="1:37" s="4" customFormat="1" ht="16.5" customHeight="1">
      <c r="A11" s="13"/>
      <c r="B11" s="18" t="s">
        <v>81</v>
      </c>
      <c r="C11" s="260" t="s">
        <v>9</v>
      </c>
      <c r="D11" s="28">
        <f>SUM(F11:K11)</f>
        <v>1366.7430000000002</v>
      </c>
      <c r="E11" s="76">
        <f t="shared" si="6"/>
        <v>304.71869995827171</v>
      </c>
      <c r="F11" s="28">
        <v>128.08839227284304</v>
      </c>
      <c r="G11" s="28">
        <v>176.63030768542865</v>
      </c>
      <c r="H11" s="28">
        <v>402.59181922017507</v>
      </c>
      <c r="I11" s="29">
        <v>199.2637599140576</v>
      </c>
      <c r="J11" s="30">
        <v>369.06864787294046</v>
      </c>
      <c r="K11" s="30">
        <v>91.100073034555095</v>
      </c>
      <c r="M11" s="93">
        <f>N11+O11</f>
        <v>154.63396302369651</v>
      </c>
      <c r="N11" s="120">
        <f>'Проект ТС-6 усл.свод'!N12</f>
        <v>58.939221758667763</v>
      </c>
      <c r="O11" s="120">
        <f>'Проект ТС-6 усл.свод'!O12</f>
        <v>95.694741265028753</v>
      </c>
      <c r="P11" s="92">
        <f t="shared" si="9"/>
        <v>150.0847369345752</v>
      </c>
      <c r="Q11" s="96">
        <f t="shared" si="10"/>
        <v>0.49253536771825246</v>
      </c>
      <c r="R11" s="141">
        <f t="shared" si="17"/>
        <v>0.49253536771825246</v>
      </c>
      <c r="V11" s="187">
        <f>W11+X11</f>
        <v>154.63396302369651</v>
      </c>
      <c r="W11" s="120">
        <f t="shared" ref="W11:W19" si="26">N11</f>
        <v>58.939221758667763</v>
      </c>
      <c r="X11" s="120">
        <f t="shared" ref="X11:X19" si="27">O11</f>
        <v>95.694741265028753</v>
      </c>
      <c r="Y11" s="204">
        <f t="shared" si="19"/>
        <v>-150.0847369345752</v>
      </c>
      <c r="Z11" s="96">
        <f t="shared" si="20"/>
        <v>0.49253536771825246</v>
      </c>
      <c r="AA11" s="141">
        <f t="shared" si="21"/>
        <v>0.49253536771825246</v>
      </c>
      <c r="AC11" s="269" t="s">
        <v>206</v>
      </c>
      <c r="AD11" s="277" t="s">
        <v>213</v>
      </c>
      <c r="AF11" s="187">
        <f>AG11+AH11</f>
        <v>-54.389995669546451</v>
      </c>
      <c r="AG11" s="120">
        <f t="shared" ref="AG11:AG19" si="28">X11</f>
        <v>95.694741265028753</v>
      </c>
      <c r="AH11" s="120">
        <f t="shared" ref="AH11:AH19" si="29">Y11</f>
        <v>-150.0847369345752</v>
      </c>
      <c r="AI11" s="204">
        <f t="shared" si="23"/>
        <v>-150.0847369345752</v>
      </c>
      <c r="AJ11" s="96">
        <f t="shared" si="24"/>
        <v>1.5683697447795186</v>
      </c>
      <c r="AK11" s="141">
        <f t="shared" si="25"/>
        <v>1.5683697447795186</v>
      </c>
    </row>
    <row r="12" spans="1:37" s="4" customFormat="1" ht="16.5" customHeight="1" outlineLevel="1">
      <c r="A12" s="13"/>
      <c r="B12" s="18" t="s">
        <v>177</v>
      </c>
      <c r="C12" s="260" t="s">
        <v>9</v>
      </c>
      <c r="D12" s="28">
        <f t="shared" ref="D12:D25" si="30">SUM(F12:K12)</f>
        <v>17499.689889948448</v>
      </c>
      <c r="E12" s="76">
        <f t="shared" si="6"/>
        <v>12100.353661465566</v>
      </c>
      <c r="F12" s="28">
        <v>226.86691023553198</v>
      </c>
      <c r="G12" s="28">
        <v>11873.486751230033</v>
      </c>
      <c r="H12" s="28">
        <v>301.40011085693578</v>
      </c>
      <c r="I12" s="29">
        <v>5034.026182126152</v>
      </c>
      <c r="J12" s="30">
        <v>63.909935499792965</v>
      </c>
      <c r="K12" s="30">
        <v>0</v>
      </c>
      <c r="M12" s="93">
        <f>N12+O12</f>
        <v>4349.6166731240464</v>
      </c>
      <c r="N12" s="120">
        <f>'Проект ТС-6 усл.свод'!N13</f>
        <v>112.51202384171123</v>
      </c>
      <c r="O12" s="120">
        <f>'Проект ТС-6 усл.свод'!O13</f>
        <v>4237.1046492823352</v>
      </c>
      <c r="P12" s="92">
        <f t="shared" si="9"/>
        <v>7750.7369883415195</v>
      </c>
      <c r="Q12" s="96">
        <f t="shared" si="10"/>
        <v>0.64053805410864073</v>
      </c>
      <c r="R12" s="141">
        <f t="shared" si="17"/>
        <v>0.64053805410864073</v>
      </c>
      <c r="V12" s="187">
        <f>W12+X12</f>
        <v>4349.6166731240464</v>
      </c>
      <c r="W12" s="120">
        <f t="shared" si="26"/>
        <v>112.51202384171123</v>
      </c>
      <c r="X12" s="120">
        <f t="shared" si="27"/>
        <v>4237.1046492823352</v>
      </c>
      <c r="Y12" s="204">
        <f t="shared" si="19"/>
        <v>-7750.7369883415195</v>
      </c>
      <c r="Z12" s="96">
        <f t="shared" si="20"/>
        <v>0.64053805410864073</v>
      </c>
      <c r="AA12" s="141">
        <f t="shared" si="21"/>
        <v>0.64053805410864073</v>
      </c>
      <c r="AC12" s="269" t="s">
        <v>207</v>
      </c>
      <c r="AD12" s="277" t="s">
        <v>212</v>
      </c>
      <c r="AF12" s="187">
        <f>AG12+AH12</f>
        <v>-3513.6323390591842</v>
      </c>
      <c r="AG12" s="120">
        <f t="shared" si="28"/>
        <v>4237.1046492823352</v>
      </c>
      <c r="AH12" s="120">
        <f t="shared" si="29"/>
        <v>-7750.7369883415195</v>
      </c>
      <c r="AI12" s="204">
        <f t="shared" si="23"/>
        <v>-7750.7369883415195</v>
      </c>
      <c r="AJ12" s="96">
        <f t="shared" si="24"/>
        <v>1.8292531409754795</v>
      </c>
      <c r="AK12" s="141">
        <f t="shared" si="25"/>
        <v>1.8292531409754795</v>
      </c>
    </row>
    <row r="13" spans="1:37" s="4" customFormat="1" ht="39" customHeight="1" outlineLevel="1">
      <c r="A13" s="13"/>
      <c r="B13" s="18" t="s">
        <v>178</v>
      </c>
      <c r="C13" s="260" t="s">
        <v>9</v>
      </c>
      <c r="D13" s="28">
        <f t="shared" si="30"/>
        <v>35143.661362267871</v>
      </c>
      <c r="E13" s="76">
        <f t="shared" si="6"/>
        <v>31744.674613713934</v>
      </c>
      <c r="F13" s="49">
        <v>12599.674621934211</v>
      </c>
      <c r="G13" s="49">
        <v>19144.999991779725</v>
      </c>
      <c r="H13" s="49">
        <v>0</v>
      </c>
      <c r="I13" s="50">
        <v>3398.9867485539357</v>
      </c>
      <c r="J13" s="50">
        <v>0</v>
      </c>
      <c r="K13" s="50">
        <v>0</v>
      </c>
      <c r="M13" s="93">
        <f>N13+O13</f>
        <v>26500.568977345123</v>
      </c>
      <c r="N13" s="120">
        <f>'Проект ТС-6 усл.свод'!N14</f>
        <v>10518.253863796914</v>
      </c>
      <c r="O13" s="120">
        <f>'Проект ТС-6 усл.свод'!O14</f>
        <v>15982.315113548211</v>
      </c>
      <c r="P13" s="92">
        <f t="shared" si="9"/>
        <v>5244.1056363688112</v>
      </c>
      <c r="Q13" s="96">
        <f t="shared" si="10"/>
        <v>0.16519638963643113</v>
      </c>
      <c r="R13" s="141">
        <f t="shared" si="17"/>
        <v>0.16519638963643113</v>
      </c>
      <c r="V13" s="187">
        <f>W13+X13</f>
        <v>26500.568977345123</v>
      </c>
      <c r="W13" s="120">
        <f t="shared" si="26"/>
        <v>10518.253863796914</v>
      </c>
      <c r="X13" s="120">
        <f t="shared" si="27"/>
        <v>15982.315113548211</v>
      </c>
      <c r="Y13" s="204">
        <f t="shared" si="19"/>
        <v>-5244.1056363688112</v>
      </c>
      <c r="Z13" s="96">
        <f t="shared" si="20"/>
        <v>0.16519638963643113</v>
      </c>
      <c r="AA13" s="141">
        <f t="shared" si="21"/>
        <v>0.16519638963643113</v>
      </c>
      <c r="AC13" s="269" t="s">
        <v>208</v>
      </c>
      <c r="AD13" s="281" t="s">
        <v>215</v>
      </c>
      <c r="AF13" s="187">
        <f>AG13+AH13</f>
        <v>10738.2094771794</v>
      </c>
      <c r="AG13" s="120">
        <f t="shared" si="28"/>
        <v>15982.315113548211</v>
      </c>
      <c r="AH13" s="120">
        <f t="shared" si="29"/>
        <v>-5244.1056363688112</v>
      </c>
      <c r="AI13" s="204">
        <f t="shared" si="23"/>
        <v>-5244.1056363688112</v>
      </c>
      <c r="AJ13" s="96">
        <f t="shared" si="24"/>
        <v>0.32811927427981835</v>
      </c>
      <c r="AK13" s="141">
        <f t="shared" si="25"/>
        <v>0.32811927427981835</v>
      </c>
    </row>
    <row r="14" spans="1:37" s="4" customFormat="1" ht="16.5" hidden="1" customHeight="1" outlineLevel="1">
      <c r="A14" s="13"/>
      <c r="B14" s="18" t="s">
        <v>132</v>
      </c>
      <c r="C14" s="260" t="s">
        <v>9</v>
      </c>
      <c r="D14" s="28">
        <f t="shared" si="30"/>
        <v>3332.3595</v>
      </c>
      <c r="E14" s="76">
        <f t="shared" si="6"/>
        <v>0</v>
      </c>
      <c r="F14" s="28">
        <v>0</v>
      </c>
      <c r="G14" s="28">
        <v>0</v>
      </c>
      <c r="H14" s="28">
        <v>2997.8150000000001</v>
      </c>
      <c r="I14" s="29">
        <v>0</v>
      </c>
      <c r="J14" s="30">
        <v>0</v>
      </c>
      <c r="K14" s="29">
        <v>334.54450000000003</v>
      </c>
      <c r="M14" s="93">
        <v>0</v>
      </c>
      <c r="N14" s="120">
        <f>'Проект ТС-6 усл.свод'!N15</f>
        <v>0</v>
      </c>
      <c r="O14" s="120">
        <f>'Проект ТС-6 усл.свод'!O15</f>
        <v>0</v>
      </c>
      <c r="P14" s="92">
        <f t="shared" si="9"/>
        <v>0</v>
      </c>
      <c r="Q14" s="96" t="e">
        <f t="shared" si="10"/>
        <v>#DIV/0!</v>
      </c>
      <c r="R14" s="141" t="e">
        <f t="shared" si="17"/>
        <v>#DIV/0!</v>
      </c>
      <c r="V14" s="187">
        <v>0</v>
      </c>
      <c r="W14" s="120">
        <f t="shared" si="26"/>
        <v>0</v>
      </c>
      <c r="X14" s="120">
        <f t="shared" si="27"/>
        <v>0</v>
      </c>
      <c r="Y14" s="204">
        <f t="shared" si="19"/>
        <v>0</v>
      </c>
      <c r="Z14" s="96" t="e">
        <f t="shared" si="20"/>
        <v>#DIV/0!</v>
      </c>
      <c r="AA14" s="141" t="e">
        <f t="shared" si="21"/>
        <v>#DIV/0!</v>
      </c>
      <c r="AC14" s="269"/>
      <c r="AD14" s="275"/>
      <c r="AF14" s="187">
        <v>0</v>
      </c>
      <c r="AG14" s="120">
        <f t="shared" si="28"/>
        <v>0</v>
      </c>
      <c r="AH14" s="120">
        <f t="shared" si="29"/>
        <v>0</v>
      </c>
      <c r="AI14" s="204">
        <f t="shared" si="23"/>
        <v>0</v>
      </c>
      <c r="AJ14" s="96" t="e">
        <f t="shared" si="24"/>
        <v>#DIV/0!</v>
      </c>
      <c r="AK14" s="141" t="e">
        <f t="shared" si="25"/>
        <v>#DIV/0!</v>
      </c>
    </row>
    <row r="15" spans="1:37" s="4" customFormat="1" ht="16.5" hidden="1" customHeight="1" outlineLevel="1">
      <c r="A15" s="13"/>
      <c r="B15" s="18" t="s">
        <v>82</v>
      </c>
      <c r="C15" s="260" t="s">
        <v>9</v>
      </c>
      <c r="D15" s="28">
        <f t="shared" si="30"/>
        <v>30488.188357142855</v>
      </c>
      <c r="E15" s="76">
        <f t="shared" si="6"/>
        <v>0</v>
      </c>
      <c r="F15" s="28">
        <v>0</v>
      </c>
      <c r="G15" s="28">
        <v>0</v>
      </c>
      <c r="H15" s="28">
        <v>12195.275342857143</v>
      </c>
      <c r="I15" s="29">
        <v>6097.6376714285716</v>
      </c>
      <c r="J15" s="29">
        <v>12195.275342857143</v>
      </c>
      <c r="K15" s="29">
        <v>0</v>
      </c>
      <c r="M15" s="93">
        <v>0</v>
      </c>
      <c r="N15" s="120">
        <f>'Проект ТС-6 усл.свод'!N16</f>
        <v>0</v>
      </c>
      <c r="O15" s="120">
        <f>'Проект ТС-6 усл.свод'!O16</f>
        <v>0</v>
      </c>
      <c r="P15" s="92">
        <f t="shared" si="9"/>
        <v>0</v>
      </c>
      <c r="Q15" s="96" t="e">
        <f t="shared" si="10"/>
        <v>#DIV/0!</v>
      </c>
      <c r="R15" s="141" t="e">
        <f t="shared" si="17"/>
        <v>#DIV/0!</v>
      </c>
      <c r="V15" s="187">
        <v>0</v>
      </c>
      <c r="W15" s="120">
        <f t="shared" si="26"/>
        <v>0</v>
      </c>
      <c r="X15" s="120">
        <f t="shared" si="27"/>
        <v>0</v>
      </c>
      <c r="Y15" s="204">
        <f t="shared" si="19"/>
        <v>0</v>
      </c>
      <c r="Z15" s="96" t="e">
        <f t="shared" si="20"/>
        <v>#DIV/0!</v>
      </c>
      <c r="AA15" s="141" t="e">
        <f t="shared" si="21"/>
        <v>#DIV/0!</v>
      </c>
      <c r="AC15" s="269"/>
      <c r="AD15" s="275"/>
      <c r="AF15" s="187">
        <v>0</v>
      </c>
      <c r="AG15" s="120">
        <f t="shared" si="28"/>
        <v>0</v>
      </c>
      <c r="AH15" s="120">
        <f t="shared" si="29"/>
        <v>0</v>
      </c>
      <c r="AI15" s="204">
        <f t="shared" si="23"/>
        <v>0</v>
      </c>
      <c r="AJ15" s="96" t="e">
        <f t="shared" si="24"/>
        <v>#DIV/0!</v>
      </c>
      <c r="AK15" s="141" t="e">
        <f t="shared" si="25"/>
        <v>#DIV/0!</v>
      </c>
    </row>
    <row r="16" spans="1:37" s="4" customFormat="1" ht="16.5" customHeight="1" outlineLevel="1">
      <c r="A16" s="13"/>
      <c r="B16" s="18" t="s">
        <v>122</v>
      </c>
      <c r="C16" s="260" t="s">
        <v>9</v>
      </c>
      <c r="D16" s="28">
        <f t="shared" si="30"/>
        <v>9919.672340000001</v>
      </c>
      <c r="E16" s="76">
        <f t="shared" si="6"/>
        <v>2211.6152484094137</v>
      </c>
      <c r="F16" s="28">
        <v>929.65164767918395</v>
      </c>
      <c r="G16" s="28">
        <v>1281.9636007302297</v>
      </c>
      <c r="H16" s="28">
        <v>2921.9677243114847</v>
      </c>
      <c r="I16" s="29">
        <v>1446.2347402429557</v>
      </c>
      <c r="J16" s="29">
        <v>2678.6601854675</v>
      </c>
      <c r="K16" s="29">
        <v>661.1944415686462</v>
      </c>
      <c r="M16" s="93">
        <f t="shared" ref="M16:M21" si="31">N16+O16</f>
        <v>322.3301219962201</v>
      </c>
      <c r="N16" s="120">
        <f>'Проект ТС-6 усл.свод'!N17</f>
        <v>122.85714062002253</v>
      </c>
      <c r="O16" s="120">
        <f>'Проект ТС-6 усл.свод'!O17</f>
        <v>199.47298137619754</v>
      </c>
      <c r="P16" s="92">
        <f t="shared" si="9"/>
        <v>1889.2851264131937</v>
      </c>
      <c r="Q16" s="96">
        <f t="shared" si="10"/>
        <v>0.8542557878328797</v>
      </c>
      <c r="R16" s="141">
        <f t="shared" si="17"/>
        <v>0.8542557878328797</v>
      </c>
      <c r="V16" s="187">
        <f t="shared" ref="V16:V21" si="32">W16+X16</f>
        <v>322.3301219962201</v>
      </c>
      <c r="W16" s="120">
        <f t="shared" si="26"/>
        <v>122.85714062002253</v>
      </c>
      <c r="X16" s="120">
        <f t="shared" si="27"/>
        <v>199.47298137619754</v>
      </c>
      <c r="Y16" s="204">
        <f t="shared" si="19"/>
        <v>-1889.2851264131937</v>
      </c>
      <c r="Z16" s="96">
        <f t="shared" si="20"/>
        <v>0.8542557878328797</v>
      </c>
      <c r="AA16" s="141">
        <f t="shared" si="21"/>
        <v>0.8542557878328797</v>
      </c>
      <c r="AC16" s="269" t="s">
        <v>206</v>
      </c>
      <c r="AD16" s="278" t="s">
        <v>247</v>
      </c>
      <c r="AF16" s="187">
        <f t="shared" ref="AF16:AF21" si="33">AG16+AH16</f>
        <v>-1689.8121450369961</v>
      </c>
      <c r="AG16" s="120">
        <f t="shared" si="28"/>
        <v>199.47298137619754</v>
      </c>
      <c r="AH16" s="120">
        <f t="shared" si="29"/>
        <v>-1889.2851264131937</v>
      </c>
      <c r="AI16" s="204">
        <f t="shared" si="23"/>
        <v>-1889.2851264131937</v>
      </c>
      <c r="AJ16" s="96">
        <f t="shared" si="24"/>
        <v>9.4713836098437927</v>
      </c>
      <c r="AK16" s="141">
        <f t="shared" si="25"/>
        <v>9.4713836098437927</v>
      </c>
    </row>
    <row r="17" spans="1:37" s="4" customFormat="1" ht="16.5" customHeight="1" outlineLevel="1">
      <c r="A17" s="13"/>
      <c r="B17" s="18" t="s">
        <v>136</v>
      </c>
      <c r="C17" s="260"/>
      <c r="D17" s="28">
        <f t="shared" si="30"/>
        <v>8962.0112292857102</v>
      </c>
      <c r="E17" s="76">
        <f t="shared" si="6"/>
        <v>4934.3537825729009</v>
      </c>
      <c r="F17" s="49">
        <v>1981.0299127778831</v>
      </c>
      <c r="G17" s="49">
        <v>2953.3238697950178</v>
      </c>
      <c r="H17" s="49">
        <v>1270.9676471515772</v>
      </c>
      <c r="I17" s="50">
        <v>1054.4004084197081</v>
      </c>
      <c r="J17" s="50">
        <v>1165.1362214291573</v>
      </c>
      <c r="K17" s="50">
        <v>537.15316971236825</v>
      </c>
      <c r="M17" s="93">
        <f t="shared" si="31"/>
        <v>1482.9999965171132</v>
      </c>
      <c r="N17" s="120">
        <f>'Проект ТС-6 усл.свод'!N18</f>
        <v>575.18565974657213</v>
      </c>
      <c r="O17" s="120">
        <f>'Проект ТС-6 усл.свод'!O18</f>
        <v>907.81433677054122</v>
      </c>
      <c r="P17" s="92">
        <f t="shared" si="9"/>
        <v>3451.3537860557876</v>
      </c>
      <c r="Q17" s="96">
        <f t="shared" si="10"/>
        <v>0.69945405987005693</v>
      </c>
      <c r="R17" s="141">
        <f t="shared" si="17"/>
        <v>0.69945405987005693</v>
      </c>
      <c r="V17" s="187">
        <f t="shared" si="32"/>
        <v>1482.9999965171132</v>
      </c>
      <c r="W17" s="120">
        <f t="shared" si="26"/>
        <v>575.18565974657213</v>
      </c>
      <c r="X17" s="120">
        <f t="shared" si="27"/>
        <v>907.81433677054122</v>
      </c>
      <c r="Y17" s="204">
        <f t="shared" si="19"/>
        <v>-3451.3537860557876</v>
      </c>
      <c r="Z17" s="96">
        <f t="shared" si="20"/>
        <v>0.69945405987005693</v>
      </c>
      <c r="AA17" s="141">
        <f t="shared" si="21"/>
        <v>0.69945405987005693</v>
      </c>
      <c r="AC17" s="269" t="s">
        <v>207</v>
      </c>
      <c r="AD17" s="278" t="s">
        <v>248</v>
      </c>
      <c r="AF17" s="187">
        <f t="shared" si="33"/>
        <v>-2543.5394492852465</v>
      </c>
      <c r="AG17" s="120">
        <f t="shared" si="28"/>
        <v>907.81433677054122</v>
      </c>
      <c r="AH17" s="120">
        <f t="shared" si="29"/>
        <v>-3451.3537860557876</v>
      </c>
      <c r="AI17" s="204">
        <f t="shared" si="23"/>
        <v>-3451.3537860557876</v>
      </c>
      <c r="AJ17" s="96">
        <f t="shared" si="24"/>
        <v>3.8018278036163582</v>
      </c>
      <c r="AK17" s="141">
        <f t="shared" si="25"/>
        <v>3.8018278036163582</v>
      </c>
    </row>
    <row r="18" spans="1:37" s="4" customFormat="1" ht="16.5" customHeight="1" outlineLevel="1">
      <c r="A18" s="13"/>
      <c r="B18" s="18" t="s">
        <v>142</v>
      </c>
      <c r="C18" s="260" t="s">
        <v>9</v>
      </c>
      <c r="D18" s="28">
        <f t="shared" si="30"/>
        <v>5709.0828729281757</v>
      </c>
      <c r="E18" s="76">
        <f t="shared" si="6"/>
        <v>1272.854012051065</v>
      </c>
      <c r="F18" s="49">
        <v>535.04371088477785</v>
      </c>
      <c r="G18" s="49">
        <v>737.8103011662871</v>
      </c>
      <c r="H18" s="49">
        <v>1681.6841643900123</v>
      </c>
      <c r="I18" s="50">
        <v>832.35349946597012</v>
      </c>
      <c r="J18" s="50">
        <v>1541.6530368226979</v>
      </c>
      <c r="K18" s="50">
        <v>380.53816019843129</v>
      </c>
      <c r="M18" s="93">
        <f t="shared" si="31"/>
        <v>540.29384459427399</v>
      </c>
      <c r="N18" s="120">
        <f>'Проект ТС-6 усл.свод'!N19</f>
        <v>205.93469958798866</v>
      </c>
      <c r="O18" s="120">
        <f>'Проект ТС-6 усл.свод'!O19</f>
        <v>334.3591450062853</v>
      </c>
      <c r="P18" s="92">
        <f t="shared" si="9"/>
        <v>732.56016745679096</v>
      </c>
      <c r="Q18" s="96">
        <f t="shared" si="10"/>
        <v>0.57552567735269999</v>
      </c>
      <c r="R18" s="141">
        <f t="shared" si="17"/>
        <v>0.57552567735269999</v>
      </c>
      <c r="V18" s="187">
        <f t="shared" si="32"/>
        <v>540.29384459427399</v>
      </c>
      <c r="W18" s="120">
        <f t="shared" si="26"/>
        <v>205.93469958798866</v>
      </c>
      <c r="X18" s="120">
        <f t="shared" si="27"/>
        <v>334.3591450062853</v>
      </c>
      <c r="Y18" s="204">
        <f t="shared" si="19"/>
        <v>-732.56016745679096</v>
      </c>
      <c r="Z18" s="96">
        <f t="shared" si="20"/>
        <v>0.57552567735269999</v>
      </c>
      <c r="AA18" s="141">
        <f t="shared" si="21"/>
        <v>0.57552567735269999</v>
      </c>
      <c r="AC18" s="269" t="s">
        <v>206</v>
      </c>
      <c r="AD18" s="278" t="s">
        <v>249</v>
      </c>
      <c r="AF18" s="187">
        <f t="shared" si="33"/>
        <v>-398.20102245050566</v>
      </c>
      <c r="AG18" s="120">
        <f t="shared" si="28"/>
        <v>334.3591450062853</v>
      </c>
      <c r="AH18" s="120">
        <f t="shared" si="29"/>
        <v>-732.56016745679096</v>
      </c>
      <c r="AI18" s="204">
        <f t="shared" si="23"/>
        <v>-732.56016745679096</v>
      </c>
      <c r="AJ18" s="96">
        <f t="shared" si="24"/>
        <v>2.1909380329436488</v>
      </c>
      <c r="AK18" s="141">
        <f t="shared" si="25"/>
        <v>2.1909380329436488</v>
      </c>
    </row>
    <row r="19" spans="1:37" s="4" customFormat="1" ht="37.5" customHeight="1" outlineLevel="1">
      <c r="A19" s="13"/>
      <c r="B19" s="18" t="s">
        <v>83</v>
      </c>
      <c r="C19" s="260" t="s">
        <v>9</v>
      </c>
      <c r="D19" s="28">
        <f t="shared" si="30"/>
        <v>37722.178952380949</v>
      </c>
      <c r="E19" s="76">
        <f t="shared" si="6"/>
        <v>8410.252205398383</v>
      </c>
      <c r="F19" s="49">
        <v>3535.246388705817</v>
      </c>
      <c r="G19" s="49">
        <v>4875.0058166925664</v>
      </c>
      <c r="H19" s="49">
        <v>11111.555463893394</v>
      </c>
      <c r="I19" s="50">
        <v>5499.6902930560864</v>
      </c>
      <c r="J19" s="50">
        <v>10186.314164972006</v>
      </c>
      <c r="K19" s="50">
        <v>2514.3668250610849</v>
      </c>
      <c r="M19" s="93">
        <f t="shared" si="31"/>
        <v>4147.3784073500847</v>
      </c>
      <c r="N19" s="120">
        <f>'Проект ТС-6 усл.свод'!N20</f>
        <v>1580.7863349557811</v>
      </c>
      <c r="O19" s="120">
        <f>'Проект ТС-6 усл.свод'!O20</f>
        <v>2566.5920723943041</v>
      </c>
      <c r="P19" s="92">
        <f t="shared" si="9"/>
        <v>4262.8737980482983</v>
      </c>
      <c r="Q19" s="96">
        <f t="shared" si="10"/>
        <v>0.50686634525799823</v>
      </c>
      <c r="R19" s="141">
        <f t="shared" si="17"/>
        <v>0.50686634525799823</v>
      </c>
      <c r="V19" s="187">
        <f t="shared" si="32"/>
        <v>4147.3784073500847</v>
      </c>
      <c r="W19" s="120">
        <f t="shared" si="26"/>
        <v>1580.7863349557811</v>
      </c>
      <c r="X19" s="120">
        <f t="shared" si="27"/>
        <v>2566.5920723943041</v>
      </c>
      <c r="Y19" s="204">
        <f t="shared" si="19"/>
        <v>-4262.8737980482983</v>
      </c>
      <c r="Z19" s="96">
        <f t="shared" si="20"/>
        <v>0.50686634525799823</v>
      </c>
      <c r="AA19" s="141">
        <f t="shared" si="21"/>
        <v>0.50686634525799823</v>
      </c>
      <c r="AC19" s="269" t="s">
        <v>206</v>
      </c>
      <c r="AD19" s="281" t="s">
        <v>250</v>
      </c>
      <c r="AF19" s="187">
        <f t="shared" si="33"/>
        <v>-1696.2817256539943</v>
      </c>
      <c r="AG19" s="120">
        <f t="shared" si="28"/>
        <v>2566.5920723943041</v>
      </c>
      <c r="AH19" s="120">
        <f t="shared" si="29"/>
        <v>-4262.8737980482983</v>
      </c>
      <c r="AI19" s="204">
        <f t="shared" si="23"/>
        <v>-4262.8737980482983</v>
      </c>
      <c r="AJ19" s="96">
        <f t="shared" si="24"/>
        <v>1.6609081917998676</v>
      </c>
      <c r="AK19" s="141">
        <f t="shared" si="25"/>
        <v>1.6609081917998676</v>
      </c>
    </row>
    <row r="20" spans="1:37" s="4" customFormat="1" ht="16.5" customHeight="1" outlineLevel="1">
      <c r="A20" s="258"/>
      <c r="B20" s="56" t="s">
        <v>113</v>
      </c>
      <c r="C20" s="261"/>
      <c r="D20" s="28">
        <f t="shared" si="30"/>
        <v>5258.9285714285706</v>
      </c>
      <c r="E20" s="76">
        <f t="shared" si="6"/>
        <v>5258.9285714285706</v>
      </c>
      <c r="F20" s="49">
        <v>5258.9285714285706</v>
      </c>
      <c r="G20" s="49"/>
      <c r="H20" s="49"/>
      <c r="I20" s="50"/>
      <c r="J20" s="50"/>
      <c r="K20" s="50"/>
      <c r="M20" s="93">
        <f t="shared" si="31"/>
        <v>5258.9285714285706</v>
      </c>
      <c r="N20" s="120">
        <f>'Проект ТС-6 усл.свод'!N21</f>
        <v>5258.9285714285706</v>
      </c>
      <c r="O20" s="120">
        <f>'Проект ТС-6 усл.свод'!O21</f>
        <v>0</v>
      </c>
      <c r="P20" s="92">
        <f t="shared" si="9"/>
        <v>0</v>
      </c>
      <c r="Q20" s="96">
        <f t="shared" si="10"/>
        <v>0</v>
      </c>
      <c r="R20" s="141"/>
      <c r="V20" s="187">
        <f t="shared" si="32"/>
        <v>5258.9285714285706</v>
      </c>
      <c r="W20" s="120">
        <v>5258.9285714285706</v>
      </c>
      <c r="X20" s="120"/>
      <c r="Y20" s="188"/>
      <c r="Z20" s="96">
        <f t="shared" si="20"/>
        <v>0</v>
      </c>
      <c r="AA20" s="141"/>
      <c r="AC20" s="269" t="s">
        <v>207</v>
      </c>
      <c r="AD20" s="278" t="s">
        <v>216</v>
      </c>
      <c r="AF20" s="187">
        <f t="shared" si="33"/>
        <v>5258.9285714285706</v>
      </c>
      <c r="AG20" s="120">
        <v>5258.9285714285706</v>
      </c>
      <c r="AH20" s="120"/>
      <c r="AI20" s="188"/>
      <c r="AJ20" s="96" t="e">
        <f t="shared" si="24"/>
        <v>#DIV/0!</v>
      </c>
      <c r="AK20" s="141"/>
    </row>
    <row r="21" spans="1:37" s="4" customFormat="1" ht="16.5" customHeight="1" outlineLevel="1">
      <c r="A21" s="258"/>
      <c r="B21" s="56" t="s">
        <v>143</v>
      </c>
      <c r="C21" s="261"/>
      <c r="D21" s="28">
        <f t="shared" si="30"/>
        <v>5995.5999999999995</v>
      </c>
      <c r="E21" s="76">
        <f t="shared" si="6"/>
        <v>1207.5550580569945</v>
      </c>
      <c r="F21" s="49">
        <v>507.59531984299343</v>
      </c>
      <c r="G21" s="49">
        <v>699.95973821400116</v>
      </c>
      <c r="H21" s="49">
        <v>1609.4117279256689</v>
      </c>
      <c r="I21" s="50">
        <v>1245.4527558191398</v>
      </c>
      <c r="J21" s="50">
        <v>1476.5643669727374</v>
      </c>
      <c r="K21" s="50">
        <v>456.61609122545889</v>
      </c>
      <c r="M21" s="93">
        <f t="shared" si="31"/>
        <v>1038.1499006867609</v>
      </c>
      <c r="N21" s="120">
        <f>'Проект ТС-6 усл.свод'!N22</f>
        <v>395.6941025041138</v>
      </c>
      <c r="O21" s="120">
        <f>'Проект ТС-6 усл.свод'!O22</f>
        <v>642.45579818264707</v>
      </c>
      <c r="P21" s="92">
        <f t="shared" si="9"/>
        <v>169.40515737023361</v>
      </c>
      <c r="Q21" s="96">
        <f t="shared" si="10"/>
        <v>0.14028772952416213</v>
      </c>
      <c r="R21" s="141"/>
      <c r="V21" s="187">
        <f t="shared" si="32"/>
        <v>1207.5550580569945</v>
      </c>
      <c r="W21" s="120">
        <v>507.59531984299343</v>
      </c>
      <c r="X21" s="120">
        <v>699.95973821400116</v>
      </c>
      <c r="Y21" s="188"/>
      <c r="Z21" s="96">
        <f t="shared" si="20"/>
        <v>0</v>
      </c>
      <c r="AA21" s="141"/>
      <c r="AC21" s="269" t="s">
        <v>207</v>
      </c>
      <c r="AD21" s="278" t="s">
        <v>251</v>
      </c>
      <c r="AF21" s="187">
        <f t="shared" si="33"/>
        <v>1207.5550580569945</v>
      </c>
      <c r="AG21" s="120">
        <v>507.59531984299343</v>
      </c>
      <c r="AH21" s="120">
        <v>699.95973821400116</v>
      </c>
      <c r="AI21" s="188"/>
      <c r="AJ21" s="96">
        <f t="shared" si="24"/>
        <v>-0.87959243495486739</v>
      </c>
      <c r="AK21" s="141"/>
    </row>
    <row r="22" spans="1:37" s="4" customFormat="1" ht="16.5" customHeight="1">
      <c r="A22" s="211" t="s">
        <v>12</v>
      </c>
      <c r="B22" s="12" t="s">
        <v>13</v>
      </c>
      <c r="C22" s="211" t="s">
        <v>9</v>
      </c>
      <c r="D22" s="25">
        <f t="shared" si="30"/>
        <v>310983.29278606782</v>
      </c>
      <c r="E22" s="76">
        <f t="shared" si="6"/>
        <v>22472.589467165744</v>
      </c>
      <c r="F22" s="25">
        <f>F23+F24</f>
        <v>8956.2787828052278</v>
      </c>
      <c r="G22" s="25">
        <f t="shared" ref="G22:K22" si="34">G23+G24</f>
        <v>13516.310684360516</v>
      </c>
      <c r="H22" s="25">
        <f t="shared" si="34"/>
        <v>114360.75250977164</v>
      </c>
      <c r="I22" s="25">
        <f t="shared" si="34"/>
        <v>59492.936431914713</v>
      </c>
      <c r="J22" s="25">
        <f t="shared" si="34"/>
        <v>114188.25856795187</v>
      </c>
      <c r="K22" s="25">
        <f t="shared" si="34"/>
        <v>468.75580926383361</v>
      </c>
      <c r="M22" s="92">
        <f>M23+M24</f>
        <v>22252.626888886844</v>
      </c>
      <c r="N22" s="118">
        <f>N23+N24</f>
        <v>8810.981790305972</v>
      </c>
      <c r="O22" s="118">
        <f>O23+O24</f>
        <v>13441.645098580871</v>
      </c>
      <c r="P22" s="92">
        <f t="shared" si="9"/>
        <v>219.96257827890076</v>
      </c>
      <c r="Q22" s="96">
        <f t="shared" si="10"/>
        <v>9.788038828381751E-3</v>
      </c>
      <c r="R22" s="141"/>
      <c r="V22" s="118">
        <f>V23+V24</f>
        <v>22472.589467165744</v>
      </c>
      <c r="W22" s="118">
        <v>8956.2787828052278</v>
      </c>
      <c r="X22" s="118">
        <v>13516.310684360516</v>
      </c>
      <c r="Y22" s="188"/>
      <c r="Z22" s="96">
        <f t="shared" si="20"/>
        <v>0</v>
      </c>
      <c r="AA22" s="141"/>
      <c r="AC22" s="269"/>
      <c r="AD22" s="275"/>
      <c r="AF22" s="118">
        <f>AF23+AF24</f>
        <v>22472.589467165744</v>
      </c>
      <c r="AG22" s="118">
        <v>8956.2787828052278</v>
      </c>
      <c r="AH22" s="118">
        <v>13516.310684360516</v>
      </c>
      <c r="AI22" s="188"/>
      <c r="AJ22" s="96">
        <f t="shared" si="24"/>
        <v>-0.67186302735654979</v>
      </c>
      <c r="AK22" s="141"/>
    </row>
    <row r="23" spans="1:37" s="4" customFormat="1" ht="16.5" customHeight="1" outlineLevel="1">
      <c r="A23" s="13"/>
      <c r="B23" s="18" t="s">
        <v>175</v>
      </c>
      <c r="C23" s="9"/>
      <c r="D23" s="28">
        <f t="shared" si="30"/>
        <v>288011.72281999997</v>
      </c>
      <c r="E23" s="76">
        <f t="shared" si="6"/>
        <v>12127.01269516211</v>
      </c>
      <c r="F23" s="49">
        <v>4836.5382165168403</v>
      </c>
      <c r="G23" s="49">
        <v>7290.4744786452684</v>
      </c>
      <c r="H23" s="49">
        <v>109770.78578736179</v>
      </c>
      <c r="I23" s="49">
        <v>56155.781171041832</v>
      </c>
      <c r="J23" s="49">
        <v>109661.69963090691</v>
      </c>
      <c r="K23" s="49">
        <v>296.44353552733543</v>
      </c>
      <c r="M23" s="93">
        <f>N23+O23</f>
        <v>11987.90686692465</v>
      </c>
      <c r="N23" s="121">
        <f>'Проект ТС-6 усл.свод'!N24</f>
        <v>4744.6514560327087</v>
      </c>
      <c r="O23" s="121">
        <f>'Проект ТС-6 усл.свод'!O24</f>
        <v>7243.2554108919412</v>
      </c>
      <c r="P23" s="92">
        <f t="shared" si="9"/>
        <v>139.10582823745972</v>
      </c>
      <c r="Q23" s="96">
        <f t="shared" si="10"/>
        <v>1.1470741536615536E-2</v>
      </c>
      <c r="R23" s="141"/>
      <c r="V23" s="187">
        <f>W23+X23</f>
        <v>12127.01269516211</v>
      </c>
      <c r="W23" s="121">
        <v>4836.5382165168403</v>
      </c>
      <c r="X23" s="121">
        <v>7290.4744786452684</v>
      </c>
      <c r="Y23" s="188"/>
      <c r="Z23" s="96">
        <f t="shared" si="20"/>
        <v>0</v>
      </c>
      <c r="AA23" s="141"/>
      <c r="AC23" s="269" t="s">
        <v>207</v>
      </c>
      <c r="AD23" s="811" t="s">
        <v>252</v>
      </c>
      <c r="AF23" s="187">
        <f>AG23+AH23</f>
        <v>12127.01269516211</v>
      </c>
      <c r="AG23" s="121">
        <v>4836.5382165168403</v>
      </c>
      <c r="AH23" s="121">
        <v>7290.4744786452684</v>
      </c>
      <c r="AI23" s="188"/>
      <c r="AJ23" s="96">
        <f t="shared" si="24"/>
        <v>-0.67424894018320658</v>
      </c>
      <c r="AK23" s="141"/>
    </row>
    <row r="24" spans="1:37" s="4" customFormat="1" ht="16.5" customHeight="1" outlineLevel="1">
      <c r="A24" s="13"/>
      <c r="B24" s="18" t="s">
        <v>14</v>
      </c>
      <c r="C24" s="9"/>
      <c r="D24" s="28">
        <f t="shared" si="30"/>
        <v>22971.569966067822</v>
      </c>
      <c r="E24" s="76">
        <f t="shared" si="6"/>
        <v>10345.576772003635</v>
      </c>
      <c r="F24" s="49">
        <v>4119.7405662883866</v>
      </c>
      <c r="G24" s="49">
        <v>6225.8362057152472</v>
      </c>
      <c r="H24" s="49">
        <v>4589.9667224098457</v>
      </c>
      <c r="I24" s="49">
        <v>3337.1552608728807</v>
      </c>
      <c r="J24" s="49">
        <v>4526.5589370449634</v>
      </c>
      <c r="K24" s="49">
        <v>172.31227373649816</v>
      </c>
      <c r="M24" s="93">
        <f>N24+O24</f>
        <v>10264.720021962194</v>
      </c>
      <c r="N24" s="121">
        <f>'Проект ТС-6 усл.свод'!N25</f>
        <v>4066.3303342732629</v>
      </c>
      <c r="O24" s="121">
        <f>'Проект ТС-6 усл.свод'!O25</f>
        <v>6198.3896876889303</v>
      </c>
      <c r="P24" s="92">
        <f t="shared" si="9"/>
        <v>80.856750041441046</v>
      </c>
      <c r="Q24" s="96">
        <f t="shared" si="10"/>
        <v>7.8155864891215066E-3</v>
      </c>
      <c r="R24" s="141"/>
      <c r="V24" s="187">
        <f>W24+X24</f>
        <v>10345.576772003635</v>
      </c>
      <c r="W24" s="121">
        <v>4119.7405662883866</v>
      </c>
      <c r="X24" s="121">
        <v>6225.8362057152472</v>
      </c>
      <c r="Y24" s="188"/>
      <c r="Z24" s="96">
        <f t="shared" si="20"/>
        <v>0</v>
      </c>
      <c r="AA24" s="141"/>
      <c r="AC24" s="269" t="s">
        <v>207</v>
      </c>
      <c r="AD24" s="812"/>
      <c r="AF24" s="187">
        <f>AG24+AH24</f>
        <v>10345.576772003635</v>
      </c>
      <c r="AG24" s="121">
        <v>4119.7405662883866</v>
      </c>
      <c r="AH24" s="121">
        <v>6225.8362057152472</v>
      </c>
      <c r="AI24" s="188"/>
      <c r="AJ24" s="96">
        <f t="shared" si="24"/>
        <v>-0.66907491998312607</v>
      </c>
      <c r="AK24" s="141"/>
    </row>
    <row r="25" spans="1:37" s="4" customFormat="1" ht="16.5" customHeight="1">
      <c r="A25" s="211" t="s">
        <v>15</v>
      </c>
      <c r="B25" s="12" t="s">
        <v>179</v>
      </c>
      <c r="C25" s="211" t="s">
        <v>9</v>
      </c>
      <c r="D25" s="25">
        <f t="shared" si="30"/>
        <v>76279.904332000035</v>
      </c>
      <c r="E25" s="76">
        <f t="shared" si="6"/>
        <v>4130.955401258514</v>
      </c>
      <c r="F25" s="51">
        <v>1639.6039514323304</v>
      </c>
      <c r="G25" s="51">
        <v>2491.3514498261839</v>
      </c>
      <c r="H25" s="51">
        <v>32729.312772600006</v>
      </c>
      <c r="I25" s="51">
        <v>1379.6859227414866</v>
      </c>
      <c r="J25" s="51">
        <v>37798.088184000007</v>
      </c>
      <c r="K25" s="51">
        <v>241.86205139999996</v>
      </c>
      <c r="M25" s="137">
        <f>N25+O25</f>
        <v>3349.4232983177139</v>
      </c>
      <c r="N25" s="121">
        <f>'Проект ТС-6 усл.свод'!N26</f>
        <v>1329.408609269457</v>
      </c>
      <c r="O25" s="121">
        <f>'Проект ТС-6 усл.свод'!O26</f>
        <v>2020.014689048257</v>
      </c>
      <c r="P25" s="92">
        <f t="shared" si="9"/>
        <v>781.53210294080009</v>
      </c>
      <c r="Q25" s="96">
        <f t="shared" si="10"/>
        <v>0.18918918918918926</v>
      </c>
      <c r="R25" s="141">
        <f>Q25</f>
        <v>0.18918918918918926</v>
      </c>
      <c r="V25" s="188">
        <f>W25+X25</f>
        <v>3349.4232983177139</v>
      </c>
      <c r="W25" s="121">
        <f>N25</f>
        <v>1329.408609269457</v>
      </c>
      <c r="X25" s="121">
        <f>O25</f>
        <v>2020.014689048257</v>
      </c>
      <c r="Y25" s="204">
        <f>V25-E25</f>
        <v>-781.53210294080009</v>
      </c>
      <c r="Z25" s="96">
        <f t="shared" si="20"/>
        <v>0.18918918918918926</v>
      </c>
      <c r="AA25" s="141">
        <f t="shared" ref="AA25" si="35">Z25</f>
        <v>0.18918918918918926</v>
      </c>
      <c r="AC25" s="269" t="s">
        <v>206</v>
      </c>
      <c r="AD25" s="278" t="s">
        <v>253</v>
      </c>
      <c r="AF25" s="188">
        <f>AG25+AH25</f>
        <v>1238.4825861074569</v>
      </c>
      <c r="AG25" s="121">
        <f>X25</f>
        <v>2020.014689048257</v>
      </c>
      <c r="AH25" s="121">
        <f>Y25</f>
        <v>-781.53210294080009</v>
      </c>
      <c r="AI25" s="204">
        <f>AF25-O25</f>
        <v>-781.53210294080009</v>
      </c>
      <c r="AJ25" s="96">
        <f t="shared" si="24"/>
        <v>0.38689426724368225</v>
      </c>
      <c r="AK25" s="141">
        <f t="shared" ref="AK25" si="36">AJ25</f>
        <v>0.38689426724368225</v>
      </c>
    </row>
    <row r="26" spans="1:37" s="6" customFormat="1" ht="37.5" customHeight="1">
      <c r="A26" s="260" t="s">
        <v>16</v>
      </c>
      <c r="B26" s="17" t="s">
        <v>273</v>
      </c>
      <c r="C26" s="260" t="s">
        <v>9</v>
      </c>
      <c r="D26" s="27">
        <f>SUM(D28:D31)</f>
        <v>1206129.5796632001</v>
      </c>
      <c r="E26" s="70">
        <f t="shared" si="6"/>
        <v>267057.79093023599</v>
      </c>
      <c r="F26" s="27">
        <f t="shared" ref="F26:K26" si="37">SUM(F28:F31)</f>
        <v>112257.6431603157</v>
      </c>
      <c r="G26" s="27">
        <f t="shared" si="37"/>
        <v>154800.14776992027</v>
      </c>
      <c r="H26" s="27">
        <f t="shared" si="37"/>
        <v>355999.27695063071</v>
      </c>
      <c r="I26" s="27">
        <f t="shared" si="37"/>
        <v>175652.11139453118</v>
      </c>
      <c r="J26" s="27">
        <f t="shared" si="37"/>
        <v>327250.9628990097</v>
      </c>
      <c r="K26" s="27">
        <f t="shared" si="37"/>
        <v>80169.437488792464</v>
      </c>
      <c r="M26" s="91">
        <f>M28+M29+M31</f>
        <v>256722.74888155027</v>
      </c>
      <c r="N26" s="119">
        <f>N28+N29+N31</f>
        <v>105958.85517350391</v>
      </c>
      <c r="O26" s="119">
        <f>O28+O29+O31</f>
        <v>150763.89370804635</v>
      </c>
      <c r="P26" s="92">
        <f t="shared" si="9"/>
        <v>10335.042048685718</v>
      </c>
      <c r="Q26" s="96">
        <f t="shared" si="10"/>
        <v>3.8699646292609247E-2</v>
      </c>
      <c r="R26" s="141"/>
      <c r="V26" s="119">
        <f>V28+V29+V31</f>
        <v>265057.24684729939</v>
      </c>
      <c r="W26" s="119">
        <f>W28+W29+W31</f>
        <v>111357.59527369295</v>
      </c>
      <c r="X26" s="119">
        <f>X28+X29+X31</f>
        <v>153699.65157360645</v>
      </c>
      <c r="Y26" s="204">
        <f>V26-E26</f>
        <v>-2000.544082936598</v>
      </c>
      <c r="Z26" s="96">
        <f t="shared" si="20"/>
        <v>7.4910530637138928E-3</v>
      </c>
      <c r="AA26" s="141"/>
      <c r="AC26" s="270"/>
      <c r="AD26" s="276"/>
      <c r="AF26" s="119">
        <f>AF28+AF29+AF31</f>
        <v>262481.81070390349</v>
      </c>
      <c r="AG26" s="119">
        <f>AG28+AG29+AG31</f>
        <v>111716.1079196316</v>
      </c>
      <c r="AH26" s="119">
        <f>AH28+AH29+AH31</f>
        <v>150765.70278427188</v>
      </c>
      <c r="AI26" s="204">
        <f>AF26-O26</f>
        <v>111717.91699585714</v>
      </c>
      <c r="AJ26" s="96">
        <f t="shared" si="24"/>
        <v>-0.74101241516220329</v>
      </c>
      <c r="AK26" s="141"/>
    </row>
    <row r="27" spans="1:37" s="4" customFormat="1" ht="16.5" customHeight="1">
      <c r="A27" s="211"/>
      <c r="B27" s="12" t="s">
        <v>7</v>
      </c>
      <c r="C27" s="211"/>
      <c r="D27" s="25"/>
      <c r="E27" s="70"/>
      <c r="F27" s="25"/>
      <c r="G27" s="25"/>
      <c r="H27" s="25"/>
      <c r="I27" s="32"/>
      <c r="J27" s="33"/>
      <c r="K27" s="33"/>
      <c r="M27" s="92"/>
      <c r="N27" s="122"/>
      <c r="O27" s="122"/>
      <c r="P27" s="92"/>
      <c r="Q27" s="96"/>
      <c r="R27" s="141"/>
      <c r="V27" s="118"/>
      <c r="W27" s="122"/>
      <c r="X27" s="122"/>
      <c r="Y27" s="205"/>
      <c r="Z27" s="96"/>
      <c r="AA27" s="141"/>
      <c r="AC27" s="269"/>
      <c r="AD27" s="275"/>
      <c r="AF27" s="118"/>
      <c r="AG27" s="122"/>
      <c r="AH27" s="122"/>
      <c r="AI27" s="205"/>
      <c r="AJ27" s="96"/>
      <c r="AK27" s="141"/>
    </row>
    <row r="28" spans="1:37" s="4" customFormat="1" ht="16.5" customHeight="1">
      <c r="A28" s="211" t="s">
        <v>17</v>
      </c>
      <c r="B28" s="12" t="s">
        <v>18</v>
      </c>
      <c r="C28" s="211" t="s">
        <v>9</v>
      </c>
      <c r="D28" s="25">
        <f t="shared" ref="D28:D32" si="38">SUM(F28:K28)</f>
        <v>1075601.3768</v>
      </c>
      <c r="E28" s="74">
        <f t="shared" si="6"/>
        <v>239807.96185663517</v>
      </c>
      <c r="F28" s="25">
        <v>100803.18763715524</v>
      </c>
      <c r="G28" s="25">
        <v>139004.77421947994</v>
      </c>
      <c r="H28" s="25">
        <v>316832.29037327215</v>
      </c>
      <c r="I28" s="33">
        <v>156816.88108876723</v>
      </c>
      <c r="J28" s="33">
        <v>290450.17665051087</v>
      </c>
      <c r="K28" s="33">
        <v>71694.066830814583</v>
      </c>
      <c r="M28" s="92">
        <f>N28+O28</f>
        <v>232224.25124175879</v>
      </c>
      <c r="N28" s="122">
        <f>'Проект ТС-6 усл.свод'!N29</f>
        <v>95890.776263006876</v>
      </c>
      <c r="O28" s="122">
        <f>'Проект ТС-6 усл.свод'!O29</f>
        <v>136333.47497875191</v>
      </c>
      <c r="P28" s="92">
        <f t="shared" si="9"/>
        <v>7583.7106148763851</v>
      </c>
      <c r="Q28" s="96">
        <f t="shared" si="10"/>
        <v>3.1624098533518108E-2</v>
      </c>
      <c r="R28" s="141">
        <f>Q28</f>
        <v>3.1624098533518108E-2</v>
      </c>
      <c r="V28" s="118">
        <f>W28+X28</f>
        <v>239807.96185663517</v>
      </c>
      <c r="W28" s="122">
        <v>100803.18763715524</v>
      </c>
      <c r="X28" s="122">
        <v>139004.77421947994</v>
      </c>
      <c r="Y28" s="204"/>
      <c r="Z28" s="96">
        <f t="shared" ref="Z28:Z34" si="39">100%-(V28/E28)</f>
        <v>0</v>
      </c>
      <c r="AA28" s="141">
        <f t="shared" ref="AA28:AA30" si="40">Z28</f>
        <v>0</v>
      </c>
      <c r="AC28" s="269" t="s">
        <v>206</v>
      </c>
      <c r="AD28" s="278" t="s">
        <v>217</v>
      </c>
      <c r="AF28" s="118">
        <f>AG28+AH28</f>
        <v>239807.96185663517</v>
      </c>
      <c r="AG28" s="122">
        <v>100803.18763715524</v>
      </c>
      <c r="AH28" s="122">
        <v>139004.77421947994</v>
      </c>
      <c r="AI28" s="204"/>
      <c r="AJ28" s="96">
        <f t="shared" ref="AJ28:AJ34" si="41">100%-(AF28/O28)</f>
        <v>-0.75898077778777484</v>
      </c>
      <c r="AK28" s="141">
        <f t="shared" ref="AK28:AK30" si="42">AJ28</f>
        <v>-0.75898077778777484</v>
      </c>
    </row>
    <row r="29" spans="1:37" s="4" customFormat="1" ht="16.5" customHeight="1">
      <c r="A29" s="211" t="s">
        <v>19</v>
      </c>
      <c r="B29" s="12" t="s">
        <v>20</v>
      </c>
      <c r="C29" s="211" t="s">
        <v>9</v>
      </c>
      <c r="D29" s="25">
        <f t="shared" si="38"/>
        <v>106484.5363032</v>
      </c>
      <c r="E29" s="74">
        <f t="shared" si="6"/>
        <v>23740.988223806882</v>
      </c>
      <c r="F29" s="25">
        <v>9979.5155760783673</v>
      </c>
      <c r="G29" s="25">
        <v>13761.472647728513</v>
      </c>
      <c r="H29" s="25">
        <v>31366.396746953946</v>
      </c>
      <c r="I29" s="33">
        <v>15524.871227787957</v>
      </c>
      <c r="J29" s="33">
        <v>28754.567488400578</v>
      </c>
      <c r="K29" s="33">
        <v>7097.7126162506447</v>
      </c>
      <c r="M29" s="92">
        <f>N29+O29</f>
        <v>22990.200872934121</v>
      </c>
      <c r="N29" s="122">
        <f>'Проект ТС-6 усл.свод'!N30</f>
        <v>9493.1868500376822</v>
      </c>
      <c r="O29" s="122">
        <f>'Проект ТС-6 усл.свод'!O30</f>
        <v>13497.014022896439</v>
      </c>
      <c r="P29" s="92">
        <f t="shared" si="9"/>
        <v>750.78735087276073</v>
      </c>
      <c r="Q29" s="96">
        <f t="shared" si="10"/>
        <v>3.1624098533518108E-2</v>
      </c>
      <c r="R29" s="141">
        <f>Q29</f>
        <v>3.1624098533518108E-2</v>
      </c>
      <c r="V29" s="118">
        <f>W29+X29</f>
        <v>23740.988223806882</v>
      </c>
      <c r="W29" s="122">
        <v>9979.5155760783673</v>
      </c>
      <c r="X29" s="122">
        <v>13761.472647728513</v>
      </c>
      <c r="Y29" s="204"/>
      <c r="Z29" s="96">
        <f t="shared" si="39"/>
        <v>0</v>
      </c>
      <c r="AA29" s="141">
        <f t="shared" si="40"/>
        <v>0</v>
      </c>
      <c r="AC29" s="269" t="s">
        <v>206</v>
      </c>
      <c r="AD29" s="278" t="s">
        <v>218</v>
      </c>
      <c r="AF29" s="118">
        <f>AG29+AH29</f>
        <v>23740.988223806882</v>
      </c>
      <c r="AG29" s="122">
        <v>9979.5155760783673</v>
      </c>
      <c r="AH29" s="122">
        <v>13761.472647728513</v>
      </c>
      <c r="AI29" s="204"/>
      <c r="AJ29" s="96">
        <f t="shared" si="41"/>
        <v>-0.75898077778777484</v>
      </c>
      <c r="AK29" s="141">
        <f t="shared" si="42"/>
        <v>-0.75898077778777484</v>
      </c>
    </row>
    <row r="30" spans="1:37" s="4" customFormat="1" ht="16.5" hidden="1" customHeight="1">
      <c r="A30" s="259" t="s">
        <v>144</v>
      </c>
      <c r="B30" s="59" t="s">
        <v>145</v>
      </c>
      <c r="C30" s="259"/>
      <c r="D30" s="25">
        <f t="shared" si="38"/>
        <v>8305.5984000000008</v>
      </c>
      <c r="E30" s="74">
        <f t="shared" si="6"/>
        <v>0</v>
      </c>
      <c r="F30" s="60">
        <v>0</v>
      </c>
      <c r="G30" s="60">
        <v>0</v>
      </c>
      <c r="H30" s="60">
        <v>3164.7384000000002</v>
      </c>
      <c r="I30" s="61">
        <v>1015.8336</v>
      </c>
      <c r="J30" s="61">
        <v>3796.3872000000001</v>
      </c>
      <c r="K30" s="61">
        <v>328.63920000000002</v>
      </c>
      <c r="M30" s="92">
        <v>0</v>
      </c>
      <c r="N30" s="122">
        <f>'Проект ТС-6 усл.свод'!N31</f>
        <v>0</v>
      </c>
      <c r="O30" s="122">
        <f>'Проект ТС-6 усл.свод'!O31</f>
        <v>0</v>
      </c>
      <c r="P30" s="92">
        <f t="shared" si="9"/>
        <v>0</v>
      </c>
      <c r="Q30" s="96" t="e">
        <f t="shared" si="10"/>
        <v>#DIV/0!</v>
      </c>
      <c r="R30" s="141" t="e">
        <f>Q30</f>
        <v>#DIV/0!</v>
      </c>
      <c r="V30" s="118">
        <v>0</v>
      </c>
      <c r="W30" s="122">
        <f t="shared" ref="W30:W32" si="43">N30</f>
        <v>0</v>
      </c>
      <c r="X30" s="122">
        <f>O30</f>
        <v>0</v>
      </c>
      <c r="Y30" s="188" t="e">
        <f>Q30-V30</f>
        <v>#DIV/0!</v>
      </c>
      <c r="Z30" s="96" t="e">
        <f t="shared" si="39"/>
        <v>#DIV/0!</v>
      </c>
      <c r="AA30" s="141" t="e">
        <f t="shared" si="40"/>
        <v>#DIV/0!</v>
      </c>
      <c r="AC30" s="269"/>
      <c r="AD30" s="275"/>
      <c r="AF30" s="118">
        <v>0</v>
      </c>
      <c r="AG30" s="122">
        <f t="shared" ref="AG30:AG32" si="44">X30</f>
        <v>0</v>
      </c>
      <c r="AH30" s="122" t="e">
        <f>Y30</f>
        <v>#DIV/0!</v>
      </c>
      <c r="AI30" s="188" t="e">
        <f>AA30-AF30</f>
        <v>#DIV/0!</v>
      </c>
      <c r="AJ30" s="96" t="e">
        <f t="shared" si="41"/>
        <v>#DIV/0!</v>
      </c>
      <c r="AK30" s="141" t="e">
        <f t="shared" si="42"/>
        <v>#DIV/0!</v>
      </c>
    </row>
    <row r="31" spans="1:37" s="4" customFormat="1" ht="38.25" customHeight="1">
      <c r="A31" s="259" t="s">
        <v>144</v>
      </c>
      <c r="B31" s="59" t="s">
        <v>147</v>
      </c>
      <c r="C31" s="259"/>
      <c r="D31" s="25">
        <f t="shared" si="38"/>
        <v>15738.068159999997</v>
      </c>
      <c r="E31" s="74">
        <f t="shared" si="6"/>
        <v>3508.8408497939031</v>
      </c>
      <c r="F31" s="60">
        <v>1474.9399470820929</v>
      </c>
      <c r="G31" s="60">
        <v>2033.9009027118102</v>
      </c>
      <c r="H31" s="60">
        <v>4635.8514304046284</v>
      </c>
      <c r="I31" s="61">
        <v>2294.5254779759721</v>
      </c>
      <c r="J31" s="61">
        <v>4249.8315600982596</v>
      </c>
      <c r="K31" s="61">
        <v>1049.018841727235</v>
      </c>
      <c r="M31" s="92">
        <f>N31+O31</f>
        <v>1508.2967668573424</v>
      </c>
      <c r="N31" s="122">
        <f>'Проект ТС-6 усл.свод'!N32</f>
        <v>574.89206045934134</v>
      </c>
      <c r="O31" s="122">
        <f>'Проект ТС-6 усл.свод'!O32</f>
        <v>933.40470639800094</v>
      </c>
      <c r="P31" s="92">
        <f t="shared" si="9"/>
        <v>2000.5440829365607</v>
      </c>
      <c r="Q31" s="96">
        <f t="shared" si="10"/>
        <v>0.57014386476208112</v>
      </c>
      <c r="R31" s="141">
        <f>Q31</f>
        <v>0.57014386476208112</v>
      </c>
      <c r="V31" s="118">
        <f>W31+X31</f>
        <v>1508.2967668573424</v>
      </c>
      <c r="W31" s="122">
        <f t="shared" si="43"/>
        <v>574.89206045934134</v>
      </c>
      <c r="X31" s="122">
        <f>O31</f>
        <v>933.40470639800094</v>
      </c>
      <c r="Y31" s="204">
        <f>V31-E31</f>
        <v>-2000.5440829365607</v>
      </c>
      <c r="Z31" s="96">
        <f t="shared" si="39"/>
        <v>0.57014386476208112</v>
      </c>
      <c r="AA31" s="141"/>
      <c r="AC31" s="269" t="s">
        <v>206</v>
      </c>
      <c r="AD31" s="282" t="s">
        <v>254</v>
      </c>
      <c r="AF31" s="118">
        <f>AG31+AH31</f>
        <v>-1067.1393765385596</v>
      </c>
      <c r="AG31" s="122">
        <f t="shared" si="44"/>
        <v>933.40470639800094</v>
      </c>
      <c r="AH31" s="122">
        <f>Y31</f>
        <v>-2000.5440829365607</v>
      </c>
      <c r="AI31" s="204">
        <f>AF31-O31</f>
        <v>-2000.5440829365607</v>
      </c>
      <c r="AJ31" s="96">
        <f t="shared" si="41"/>
        <v>2.1432761900854769</v>
      </c>
      <c r="AK31" s="141"/>
    </row>
    <row r="32" spans="1:37" s="6" customFormat="1" ht="42" customHeight="1">
      <c r="A32" s="43" t="s">
        <v>21</v>
      </c>
      <c r="B32" s="17" t="s">
        <v>22</v>
      </c>
      <c r="C32" s="43" t="s">
        <v>9</v>
      </c>
      <c r="D32" s="31">
        <f t="shared" si="38"/>
        <v>2489153.8038947885</v>
      </c>
      <c r="E32" s="70">
        <f t="shared" si="6"/>
        <v>1937026.4689199622</v>
      </c>
      <c r="F32" s="46">
        <v>1099839.5662673169</v>
      </c>
      <c r="G32" s="46">
        <v>837186.90265264537</v>
      </c>
      <c r="H32" s="46">
        <v>225025.69975796001</v>
      </c>
      <c r="I32" s="46">
        <v>99816.955462476995</v>
      </c>
      <c r="J32" s="46">
        <v>175927.24146127226</v>
      </c>
      <c r="K32" s="46">
        <v>51357.438293116582</v>
      </c>
      <c r="L32" s="48"/>
      <c r="M32" s="91">
        <f>N32+O32</f>
        <v>1631988.581349937</v>
      </c>
      <c r="N32" s="124">
        <f>'Проект ТС-6 усл.свод'!N33</f>
        <v>895527.52671471401</v>
      </c>
      <c r="O32" s="124">
        <f>'Проект ТС-6 усл.свод'!O33</f>
        <v>736461.054635223</v>
      </c>
      <c r="P32" s="92">
        <f t="shared" si="9"/>
        <v>305037.88757002517</v>
      </c>
      <c r="Q32" s="96">
        <f t="shared" si="10"/>
        <v>0.15747739768373259</v>
      </c>
      <c r="R32" s="141"/>
      <c r="S32" s="48"/>
      <c r="T32" s="48"/>
      <c r="U32" s="48"/>
      <c r="V32" s="119">
        <f>W32+X32</f>
        <v>1631988.581349937</v>
      </c>
      <c r="W32" s="124">
        <f t="shared" si="43"/>
        <v>895527.52671471401</v>
      </c>
      <c r="X32" s="124">
        <f>O32</f>
        <v>736461.054635223</v>
      </c>
      <c r="Y32" s="204">
        <f>V32-E32</f>
        <v>-305037.88757002517</v>
      </c>
      <c r="Z32" s="96">
        <f t="shared" si="39"/>
        <v>0.15747739768373259</v>
      </c>
      <c r="AA32" s="141"/>
      <c r="AB32" s="48"/>
      <c r="AC32" s="271"/>
      <c r="AD32" s="278" t="s">
        <v>219</v>
      </c>
      <c r="AE32" s="48"/>
      <c r="AF32" s="119">
        <f>AG32+AH32</f>
        <v>431423.16706519783</v>
      </c>
      <c r="AG32" s="124">
        <f t="shared" si="44"/>
        <v>736461.054635223</v>
      </c>
      <c r="AH32" s="124">
        <f>Y32</f>
        <v>-305037.88757002517</v>
      </c>
      <c r="AI32" s="204">
        <f>AF32-O32</f>
        <v>-305037.88757002517</v>
      </c>
      <c r="AJ32" s="96">
        <f t="shared" si="41"/>
        <v>0.41419418671244423</v>
      </c>
      <c r="AK32" s="141"/>
    </row>
    <row r="33" spans="1:37" s="6" customFormat="1" ht="24" hidden="1" customHeight="1">
      <c r="A33" s="260" t="s">
        <v>23</v>
      </c>
      <c r="B33" s="17" t="s">
        <v>24</v>
      </c>
      <c r="C33" s="260" t="s">
        <v>9</v>
      </c>
      <c r="D33" s="31">
        <f>SUM(F33:J33)</f>
        <v>0</v>
      </c>
      <c r="E33" s="70"/>
      <c r="F33" s="31"/>
      <c r="G33" s="31"/>
      <c r="H33" s="31"/>
      <c r="I33" s="31"/>
      <c r="J33" s="31"/>
      <c r="K33" s="31"/>
      <c r="M33" s="91"/>
      <c r="N33" s="124"/>
      <c r="O33" s="124"/>
      <c r="P33" s="92">
        <f t="shared" si="9"/>
        <v>0</v>
      </c>
      <c r="Q33" s="96" t="e">
        <f t="shared" si="10"/>
        <v>#DIV/0!</v>
      </c>
      <c r="R33" s="141" t="e">
        <f>Q33</f>
        <v>#DIV/0!</v>
      </c>
      <c r="V33" s="119"/>
      <c r="W33" s="124"/>
      <c r="X33" s="124"/>
      <c r="Y33" s="205" t="e">
        <f>Q33-V33</f>
        <v>#DIV/0!</v>
      </c>
      <c r="Z33" s="96" t="e">
        <f t="shared" si="39"/>
        <v>#DIV/0!</v>
      </c>
      <c r="AA33" s="141" t="e">
        <f t="shared" ref="AA33:AA34" si="45">Z33</f>
        <v>#DIV/0!</v>
      </c>
      <c r="AC33" s="270"/>
      <c r="AD33" s="276"/>
      <c r="AF33" s="119"/>
      <c r="AG33" s="124"/>
      <c r="AH33" s="124"/>
      <c r="AI33" s="205" t="e">
        <f>AA33-AF33</f>
        <v>#DIV/0!</v>
      </c>
      <c r="AJ33" s="96" t="e">
        <f t="shared" si="41"/>
        <v>#DIV/0!</v>
      </c>
      <c r="AK33" s="141" t="e">
        <f t="shared" ref="AK33:AK34" si="46">AJ33</f>
        <v>#DIV/0!</v>
      </c>
    </row>
    <row r="34" spans="1:37" s="6" customFormat="1" ht="30" customHeight="1">
      <c r="A34" s="260" t="s">
        <v>25</v>
      </c>
      <c r="B34" s="17" t="s">
        <v>26</v>
      </c>
      <c r="C34" s="260" t="s">
        <v>9</v>
      </c>
      <c r="D34" s="31">
        <f>SUM(F34:K34)</f>
        <v>915347.05063624808</v>
      </c>
      <c r="E34" s="70">
        <f t="shared" si="6"/>
        <v>368783.07035827299</v>
      </c>
      <c r="F34" s="27">
        <f>F36+F37+F38+F39+F45+F68+F70+F75</f>
        <v>199103.09201767866</v>
      </c>
      <c r="G34" s="27">
        <f t="shared" ref="G34:K34" si="47">G36+G37+G38+G39+G45+G68+G70+G75</f>
        <v>169679.97834059433</v>
      </c>
      <c r="H34" s="27">
        <f t="shared" si="47"/>
        <v>197888.92081579604</v>
      </c>
      <c r="I34" s="27">
        <f t="shared" si="47"/>
        <v>140647.59516813426</v>
      </c>
      <c r="J34" s="27">
        <f t="shared" si="47"/>
        <v>179834.13492647422</v>
      </c>
      <c r="K34" s="27">
        <f t="shared" si="47"/>
        <v>28193.329367570681</v>
      </c>
      <c r="M34" s="99">
        <f>M36+M37+M38+M39+M45+M68+M70+M75</f>
        <v>300811.13910594012</v>
      </c>
      <c r="N34" s="117">
        <f>N36+N37+N38+N39+N45+N68+N70+N75</f>
        <v>164738.23756560116</v>
      </c>
      <c r="O34" s="117">
        <f>O36+O37+O38+O39+O45+O68+O70+O75</f>
        <v>136072.90154033893</v>
      </c>
      <c r="P34" s="92">
        <f t="shared" si="9"/>
        <v>67971.93125233287</v>
      </c>
      <c r="Q34" s="96">
        <f t="shared" si="10"/>
        <v>0.18431413130298546</v>
      </c>
      <c r="R34" s="141">
        <f>Q34</f>
        <v>0.18431413130298546</v>
      </c>
      <c r="V34" s="117">
        <f>V36+V37+V38+V39+V45+V68+V70+V75</f>
        <v>307959.88051398611</v>
      </c>
      <c r="W34" s="117">
        <f>W36+W37+W38+W39+W45+W68+W70+W75</f>
        <v>169350.00789667631</v>
      </c>
      <c r="X34" s="117">
        <f>X36+X37+X38+X39+X45+X68+X70+X75</f>
        <v>138609.87261730988</v>
      </c>
      <c r="Y34" s="205"/>
      <c r="Z34" s="96">
        <f t="shared" si="39"/>
        <v>0.16492945238835699</v>
      </c>
      <c r="AA34" s="141">
        <f t="shared" si="45"/>
        <v>0.16492945238835699</v>
      </c>
      <c r="AC34" s="270"/>
      <c r="AD34" s="276"/>
      <c r="AF34" s="117">
        <f>AF36+AF37+AF38+AF39+AF45+AF68+AF70+AF75</f>
        <v>105132.54653990389</v>
      </c>
      <c r="AG34" s="117">
        <f>AG36+AG37+AG38+AG39+AG45+AG68+AG70+AG75</f>
        <v>129711.0041835102</v>
      </c>
      <c r="AH34" s="117">
        <f>AH36+AH37+AH38+AH39+AH45+AH68+AH70+AH75</f>
        <v>-24578.457643606362</v>
      </c>
      <c r="AI34" s="205"/>
      <c r="AJ34" s="96">
        <f t="shared" si="41"/>
        <v>0.22738072496574746</v>
      </c>
      <c r="AK34" s="141">
        <f t="shared" si="46"/>
        <v>0.22738072496574746</v>
      </c>
    </row>
    <row r="35" spans="1:37" s="4" customFormat="1" ht="16.5" customHeight="1">
      <c r="A35" s="211"/>
      <c r="B35" s="12" t="s">
        <v>7</v>
      </c>
      <c r="C35" s="211"/>
      <c r="D35" s="25"/>
      <c r="E35" s="70"/>
      <c r="F35" s="31"/>
      <c r="G35" s="31"/>
      <c r="H35" s="31"/>
      <c r="I35" s="32"/>
      <c r="J35" s="33"/>
      <c r="K35" s="33"/>
      <c r="M35" s="92"/>
      <c r="N35" s="124"/>
      <c r="O35" s="124"/>
      <c r="P35" s="92"/>
      <c r="Q35" s="96"/>
      <c r="R35" s="141"/>
      <c r="V35" s="118"/>
      <c r="W35" s="124"/>
      <c r="X35" s="124"/>
      <c r="Y35" s="205"/>
      <c r="Z35" s="96"/>
      <c r="AA35" s="141"/>
      <c r="AC35" s="269"/>
      <c r="AD35" s="275"/>
      <c r="AF35" s="118"/>
      <c r="AG35" s="124"/>
      <c r="AH35" s="124"/>
      <c r="AI35" s="205"/>
      <c r="AJ35" s="96"/>
      <c r="AK35" s="141"/>
    </row>
    <row r="36" spans="1:37" s="4" customFormat="1" ht="16.5" customHeight="1">
      <c r="A36" s="211" t="s">
        <v>27</v>
      </c>
      <c r="B36" s="12" t="s">
        <v>28</v>
      </c>
      <c r="C36" s="211" t="s">
        <v>9</v>
      </c>
      <c r="D36" s="25">
        <f t="shared" ref="D36:D89" si="48">SUM(F36:K36)</f>
        <v>6258.5412933942844</v>
      </c>
      <c r="E36" s="74">
        <f t="shared" si="6"/>
        <v>1395.3571129014504</v>
      </c>
      <c r="F36" s="25">
        <v>586.53784379658339</v>
      </c>
      <c r="G36" s="25">
        <v>808.81926910486698</v>
      </c>
      <c r="H36" s="25">
        <v>1843.5342452620523</v>
      </c>
      <c r="I36" s="33">
        <v>912.46157448703548</v>
      </c>
      <c r="J36" s="33">
        <v>1690.026122548272</v>
      </c>
      <c r="K36" s="33">
        <v>417.16223819547525</v>
      </c>
      <c r="M36" s="92">
        <f>N36+O36</f>
        <v>1199.6056316571157</v>
      </c>
      <c r="N36" s="122">
        <f>'Проект ТС-6 усл.свод'!N37</f>
        <v>457.23346258900847</v>
      </c>
      <c r="O36" s="122">
        <f>'Проект ТС-6 усл.свод'!O37</f>
        <v>742.37216906810738</v>
      </c>
      <c r="P36" s="92">
        <f t="shared" si="9"/>
        <v>195.75148124433463</v>
      </c>
      <c r="Q36" s="96">
        <f t="shared" si="10"/>
        <v>0.14028772952416224</v>
      </c>
      <c r="R36" s="141"/>
      <c r="V36" s="118">
        <f>W36+X36</f>
        <v>1395.3571129014504</v>
      </c>
      <c r="W36" s="122">
        <v>586.53784379658339</v>
      </c>
      <c r="X36" s="122">
        <v>808.81926910486698</v>
      </c>
      <c r="Y36" s="188"/>
      <c r="Z36" s="96">
        <f t="shared" ref="Z36:Z67" si="49">100%-(V36/E36)</f>
        <v>0</v>
      </c>
      <c r="AA36" s="141"/>
      <c r="AC36" s="269" t="s">
        <v>206</v>
      </c>
      <c r="AD36" s="283" t="s">
        <v>255</v>
      </c>
      <c r="AF36" s="118">
        <f>AG36+AH36</f>
        <v>1395.3571129014504</v>
      </c>
      <c r="AG36" s="122">
        <v>586.53784379658339</v>
      </c>
      <c r="AH36" s="122">
        <v>808.81926910486698</v>
      </c>
      <c r="AI36" s="188"/>
      <c r="AJ36" s="96">
        <f t="shared" ref="AJ36:AJ67" si="50">100%-(AF36/O36)</f>
        <v>-0.87959243495486739</v>
      </c>
      <c r="AK36" s="141"/>
    </row>
    <row r="37" spans="1:37" s="4" customFormat="1" ht="16.5" customHeight="1">
      <c r="A37" s="211" t="s">
        <v>29</v>
      </c>
      <c r="B37" s="12" t="s">
        <v>30</v>
      </c>
      <c r="C37" s="211" t="s">
        <v>9</v>
      </c>
      <c r="D37" s="25">
        <f t="shared" si="48"/>
        <v>2234.5857982142857</v>
      </c>
      <c r="E37" s="74">
        <f t="shared" si="6"/>
        <v>498.20637777334434</v>
      </c>
      <c r="F37" s="25">
        <v>209.42086572895963</v>
      </c>
      <c r="G37" s="25">
        <v>288.78551204438469</v>
      </c>
      <c r="H37" s="25">
        <v>658.22613447199387</v>
      </c>
      <c r="I37" s="33">
        <v>325.7905604804518</v>
      </c>
      <c r="J37" s="33">
        <v>603.416706069116</v>
      </c>
      <c r="K37" s="33">
        <v>148.94601941937952</v>
      </c>
      <c r="M37" s="92">
        <f>N37+O37</f>
        <v>268.02037622957647</v>
      </c>
      <c r="N37" s="122">
        <f>'Проект ТС-6 усл.свод'!N38</f>
        <v>102.15681006646523</v>
      </c>
      <c r="O37" s="122">
        <f>'Проект ТС-6 усл.свод'!O38</f>
        <v>165.86356616311124</v>
      </c>
      <c r="P37" s="92">
        <f t="shared" si="9"/>
        <v>230.18600154376787</v>
      </c>
      <c r="Q37" s="96">
        <f t="shared" si="10"/>
        <v>0.46202941554571875</v>
      </c>
      <c r="R37" s="141">
        <f>Q37</f>
        <v>0.46202941554571875</v>
      </c>
      <c r="V37" s="118">
        <f>W37+X37</f>
        <v>268.02037622957647</v>
      </c>
      <c r="W37" s="122">
        <f>N37</f>
        <v>102.15681006646523</v>
      </c>
      <c r="X37" s="122">
        <f>O37</f>
        <v>165.86356616311124</v>
      </c>
      <c r="Y37" s="204">
        <f>V37-E37</f>
        <v>-230.18600154376787</v>
      </c>
      <c r="Z37" s="96">
        <f t="shared" si="49"/>
        <v>0.46202941554571875</v>
      </c>
      <c r="AA37" s="141">
        <f t="shared" ref="AA37:AA38" si="51">Z37</f>
        <v>0.46202941554571875</v>
      </c>
      <c r="AC37" s="269" t="s">
        <v>206</v>
      </c>
      <c r="AD37" s="278" t="s">
        <v>220</v>
      </c>
      <c r="AF37" s="118">
        <f>AG37+AH37</f>
        <v>-64.322435380656628</v>
      </c>
      <c r="AG37" s="122">
        <f>X37</f>
        <v>165.86356616311124</v>
      </c>
      <c r="AH37" s="122">
        <f>Y37</f>
        <v>-230.18600154376787</v>
      </c>
      <c r="AI37" s="204">
        <f>AF37-O37</f>
        <v>-230.18600154376787</v>
      </c>
      <c r="AJ37" s="96">
        <f t="shared" si="50"/>
        <v>1.3878032823519635</v>
      </c>
      <c r="AK37" s="141">
        <f t="shared" ref="AK37:AK38" si="52">AJ37</f>
        <v>1.3878032823519635</v>
      </c>
    </row>
    <row r="38" spans="1:37" s="4" customFormat="1" ht="16.5" customHeight="1">
      <c r="A38" s="211" t="s">
        <v>31</v>
      </c>
      <c r="B38" s="12" t="s">
        <v>32</v>
      </c>
      <c r="C38" s="211" t="s">
        <v>9</v>
      </c>
      <c r="D38" s="25">
        <f>SUM(F38:K38)</f>
        <v>20478.45736</v>
      </c>
      <c r="E38" s="74">
        <f t="shared" si="6"/>
        <v>4565.7222344581969</v>
      </c>
      <c r="F38" s="25">
        <v>1919.1996443152584</v>
      </c>
      <c r="G38" s="25">
        <v>2646.522590142939</v>
      </c>
      <c r="H38" s="25">
        <v>6032.1943506461594</v>
      </c>
      <c r="I38" s="52">
        <v>2985.6486631307462</v>
      </c>
      <c r="J38" s="33">
        <v>5529.9032578757424</v>
      </c>
      <c r="K38" s="33">
        <v>1364.9888538891528</v>
      </c>
      <c r="M38" s="92">
        <f>N38+O38</f>
        <v>2880.2770262666891</v>
      </c>
      <c r="N38" s="122">
        <f>'Проект ТС-6 усл.свод'!N39</f>
        <v>1097.8266550118349</v>
      </c>
      <c r="O38" s="122">
        <f>'Проект ТС-6 усл.свод'!O39</f>
        <v>1782.450371254854</v>
      </c>
      <c r="P38" s="92">
        <f t="shared" si="9"/>
        <v>1685.4452081915078</v>
      </c>
      <c r="Q38" s="96">
        <f t="shared" si="10"/>
        <v>0.36915193733670382</v>
      </c>
      <c r="R38" s="141">
        <f>Q38</f>
        <v>0.36915193733670382</v>
      </c>
      <c r="V38" s="118">
        <f>W38+X38</f>
        <v>2880.2770262666891</v>
      </c>
      <c r="W38" s="122">
        <f>N38</f>
        <v>1097.8266550118349</v>
      </c>
      <c r="X38" s="122">
        <f>O38</f>
        <v>1782.450371254854</v>
      </c>
      <c r="Y38" s="204">
        <f>V38-E38</f>
        <v>-1685.4452081915078</v>
      </c>
      <c r="Z38" s="96">
        <f t="shared" si="49"/>
        <v>0.36915193733670382</v>
      </c>
      <c r="AA38" s="141">
        <f t="shared" si="51"/>
        <v>0.36915193733670382</v>
      </c>
      <c r="AC38" s="269" t="s">
        <v>206</v>
      </c>
      <c r="AD38" s="278" t="s">
        <v>256</v>
      </c>
      <c r="AF38" s="118">
        <f>AG38+AH38</f>
        <v>97.005163063346117</v>
      </c>
      <c r="AG38" s="122">
        <f>X38</f>
        <v>1782.450371254854</v>
      </c>
      <c r="AH38" s="122">
        <f>Y38</f>
        <v>-1685.4452081915078</v>
      </c>
      <c r="AI38" s="204">
        <f>AF38-O38</f>
        <v>-1685.4452081915078</v>
      </c>
      <c r="AJ38" s="96">
        <f t="shared" si="50"/>
        <v>0.94557763591754085</v>
      </c>
      <c r="AK38" s="141">
        <f t="shared" si="52"/>
        <v>0.94557763591754085</v>
      </c>
    </row>
    <row r="39" spans="1:37" s="4" customFormat="1" ht="16.5" customHeight="1">
      <c r="A39" s="211" t="s">
        <v>33</v>
      </c>
      <c r="B39" s="12" t="s">
        <v>34</v>
      </c>
      <c r="C39" s="260" t="s">
        <v>9</v>
      </c>
      <c r="D39" s="25">
        <f t="shared" si="48"/>
        <v>390838.78575276007</v>
      </c>
      <c r="E39" s="74">
        <f t="shared" si="6"/>
        <v>301489.36515746993</v>
      </c>
      <c r="F39" s="25">
        <f>SUM(F40:F44)</f>
        <v>170983.24303371736</v>
      </c>
      <c r="G39" s="25">
        <f t="shared" ref="G39:K39" si="53">SUM(G40:G44)</f>
        <v>130506.12212375256</v>
      </c>
      <c r="H39" s="25">
        <f t="shared" si="53"/>
        <v>36331.179809635156</v>
      </c>
      <c r="I39" s="25">
        <f t="shared" si="53"/>
        <v>16316.845828581792</v>
      </c>
      <c r="J39" s="25">
        <f t="shared" si="53"/>
        <v>28711.717231572711</v>
      </c>
      <c r="K39" s="25">
        <f t="shared" si="53"/>
        <v>7989.6777255004772</v>
      </c>
      <c r="M39" s="92">
        <f>M40+M41+M42+M43+M44</f>
        <v>245257.82116468908</v>
      </c>
      <c r="N39" s="122">
        <f>'Проект ТС-6 усл.свод'!N40</f>
        <v>143451.66851664681</v>
      </c>
      <c r="O39" s="122">
        <f>'Проект ТС-6 усл.свод'!O40</f>
        <v>101806.1526480422</v>
      </c>
      <c r="P39" s="92">
        <f t="shared" si="9"/>
        <v>56231.543992780847</v>
      </c>
      <c r="Q39" s="96">
        <f t="shared" si="10"/>
        <v>0.18651252910168403</v>
      </c>
      <c r="R39" s="141"/>
      <c r="V39" s="118">
        <f>V40+V41+V42+V43+V44</f>
        <v>245421.7536968101</v>
      </c>
      <c r="W39" s="122">
        <f t="shared" ref="W39:X39" si="54">SUM(W40:W44)</f>
        <v>143449.59693034031</v>
      </c>
      <c r="X39" s="122">
        <f t="shared" si="54"/>
        <v>101972.15676646984</v>
      </c>
      <c r="Y39" s="188"/>
      <c r="Z39" s="96">
        <f t="shared" si="49"/>
        <v>0.18596878676425399</v>
      </c>
      <c r="AA39" s="141"/>
      <c r="AC39" s="269"/>
      <c r="AD39" s="275"/>
      <c r="AF39" s="118">
        <f>AF40+AF41+AF42+AF43+AF44</f>
        <v>49493.519829213139</v>
      </c>
      <c r="AG39" s="122">
        <f t="shared" ref="AG39:AH39" si="55">SUM(AG40:AG44)</f>
        <v>102473.85594535511</v>
      </c>
      <c r="AH39" s="122">
        <f t="shared" si="55"/>
        <v>-52980.336116141996</v>
      </c>
      <c r="AI39" s="188"/>
      <c r="AJ39" s="96">
        <f t="shared" si="50"/>
        <v>0.51384549418816561</v>
      </c>
      <c r="AK39" s="141"/>
    </row>
    <row r="40" spans="1:37" s="4" customFormat="1" ht="16.5" customHeight="1">
      <c r="A40" s="211"/>
      <c r="B40" s="18" t="s">
        <v>148</v>
      </c>
      <c r="C40" s="260" t="s">
        <v>9</v>
      </c>
      <c r="D40" s="25">
        <f t="shared" si="48"/>
        <v>7049.5699300135602</v>
      </c>
      <c r="E40" s="76">
        <f t="shared" si="6"/>
        <v>5485.8817994983538</v>
      </c>
      <c r="F40" s="49">
        <v>3114.8721794794146</v>
      </c>
      <c r="G40" s="49">
        <v>2371.0096200189391</v>
      </c>
      <c r="H40" s="49">
        <v>637.29866913480055</v>
      </c>
      <c r="I40" s="50">
        <v>282.693101018005</v>
      </c>
      <c r="J40" s="50">
        <v>498.24618685075086</v>
      </c>
      <c r="K40" s="50">
        <v>145.45017351165043</v>
      </c>
      <c r="M40" s="93">
        <f>N40+O40</f>
        <v>5331.7470076992668</v>
      </c>
      <c r="N40" s="120">
        <f>'Проект ТС-6 усл.свод'!N41</f>
        <v>3123.4157002076759</v>
      </c>
      <c r="O40" s="120">
        <f>'Проект ТС-6 усл.свод'!O41</f>
        <v>2208.3313074915905</v>
      </c>
      <c r="P40" s="92">
        <f t="shared" si="9"/>
        <v>154.134791799087</v>
      </c>
      <c r="Q40" s="96">
        <f t="shared" si="10"/>
        <v>2.8096630119369581E-2</v>
      </c>
      <c r="R40" s="141"/>
      <c r="V40" s="187">
        <f>W40+X40</f>
        <v>5485.8817994983538</v>
      </c>
      <c r="W40" s="265">
        <v>3114.8721794794146</v>
      </c>
      <c r="X40" s="265">
        <v>2371.0096200189391</v>
      </c>
      <c r="Y40" s="204"/>
      <c r="Z40" s="96">
        <f t="shared" si="49"/>
        <v>0</v>
      </c>
      <c r="AA40" s="141"/>
      <c r="AC40" s="272" t="s">
        <v>210</v>
      </c>
      <c r="AD40" s="278" t="s">
        <v>257</v>
      </c>
      <c r="AF40" s="187">
        <f>AG40+AH40</f>
        <v>5485.8817994983538</v>
      </c>
      <c r="AG40" s="265">
        <v>3114.8721794794146</v>
      </c>
      <c r="AH40" s="265">
        <v>2371.0096200189391</v>
      </c>
      <c r="AI40" s="204"/>
      <c r="AJ40" s="96">
        <f t="shared" si="50"/>
        <v>-1.4841751692275209</v>
      </c>
      <c r="AK40" s="141"/>
    </row>
    <row r="41" spans="1:37" s="4" customFormat="1" ht="16.5" customHeight="1">
      <c r="A41" s="211"/>
      <c r="B41" s="18" t="s">
        <v>97</v>
      </c>
      <c r="C41" s="260" t="s">
        <v>9</v>
      </c>
      <c r="D41" s="25">
        <f t="shared" si="48"/>
        <v>378846.23629857873</v>
      </c>
      <c r="E41" s="76">
        <f t="shared" si="6"/>
        <v>294813.11528954899</v>
      </c>
      <c r="F41" s="49">
        <v>167394.26851031423</v>
      </c>
      <c r="G41" s="49">
        <v>127418.84677923474</v>
      </c>
      <c r="H41" s="49">
        <v>34248.642767821715</v>
      </c>
      <c r="I41" s="50">
        <v>15192.021415700614</v>
      </c>
      <c r="J41" s="50">
        <v>26775.916050550088</v>
      </c>
      <c r="K41" s="50">
        <v>7816.5407749573169</v>
      </c>
      <c r="M41" s="93">
        <f>N41+O41</f>
        <v>238745.5038288892</v>
      </c>
      <c r="N41" s="120">
        <f>'Проект ТС-6 усл.свод'!N42</f>
        <v>139860.62240693718</v>
      </c>
      <c r="O41" s="120">
        <f>'Проект ТС-6 усл.свод'!O42</f>
        <v>98884.881421952014</v>
      </c>
      <c r="P41" s="92">
        <f t="shared" si="9"/>
        <v>56067.611460659798</v>
      </c>
      <c r="Q41" s="96">
        <f t="shared" si="10"/>
        <v>0.19018018043597995</v>
      </c>
      <c r="R41" s="141"/>
      <c r="V41" s="187">
        <f>W41+X41</f>
        <v>238745.5038288892</v>
      </c>
      <c r="W41" s="265">
        <f>N41</f>
        <v>139860.62240693718</v>
      </c>
      <c r="X41" s="265">
        <f>O41</f>
        <v>98884.881421952014</v>
      </c>
      <c r="Y41" s="204">
        <f>V41-E41</f>
        <v>-56067.611460659798</v>
      </c>
      <c r="Z41" s="96">
        <f t="shared" si="49"/>
        <v>0.19018018043597995</v>
      </c>
      <c r="AA41" s="141"/>
      <c r="AC41" s="272" t="s">
        <v>210</v>
      </c>
      <c r="AD41" s="278" t="s">
        <v>241</v>
      </c>
      <c r="AF41" s="187">
        <f>AG41+AH41</f>
        <v>42817.269961292215</v>
      </c>
      <c r="AG41" s="265">
        <f>X41</f>
        <v>98884.881421952014</v>
      </c>
      <c r="AH41" s="265">
        <f>Y41</f>
        <v>-56067.611460659798</v>
      </c>
      <c r="AI41" s="204">
        <f>AF41-O41</f>
        <v>-56067.611460659798</v>
      </c>
      <c r="AJ41" s="96">
        <f t="shared" si="50"/>
        <v>0.56699882382842226</v>
      </c>
      <c r="AK41" s="141"/>
    </row>
    <row r="42" spans="1:37" s="4" customFormat="1" ht="16.5" customHeight="1" outlineLevel="1">
      <c r="A42" s="14"/>
      <c r="B42" s="18" t="s">
        <v>35</v>
      </c>
      <c r="C42" s="260" t="s">
        <v>9</v>
      </c>
      <c r="D42" s="25">
        <f t="shared" si="48"/>
        <v>128.84779999999998</v>
      </c>
      <c r="E42" s="76">
        <f t="shared" si="6"/>
        <v>39.867390930506666</v>
      </c>
      <c r="F42" s="49">
        <v>16.364254279270934</v>
      </c>
      <c r="G42" s="49">
        <v>23.503136651235732</v>
      </c>
      <c r="H42" s="49">
        <v>30.468116405965723</v>
      </c>
      <c r="I42" s="50">
        <v>16.87976098195557</v>
      </c>
      <c r="J42" s="50">
        <v>27.93108550234945</v>
      </c>
      <c r="K42" s="50">
        <v>13.701446179222581</v>
      </c>
      <c r="M42" s="93">
        <f>N42+O42</f>
        <v>36.632203446183688</v>
      </c>
      <c r="N42" s="120">
        <f>'Проект ТС-6 усл.свод'!N43</f>
        <v>14.227238952021755</v>
      </c>
      <c r="O42" s="120">
        <f>'Проект ТС-6 усл.свод'!O43</f>
        <v>22.404964494161934</v>
      </c>
      <c r="P42" s="92">
        <f t="shared" si="9"/>
        <v>3.235187484322978</v>
      </c>
      <c r="Q42" s="96">
        <f t="shared" si="10"/>
        <v>8.1148713492745772E-2</v>
      </c>
      <c r="R42" s="141"/>
      <c r="V42" s="187">
        <f>W42+X42</f>
        <v>39.867390930506666</v>
      </c>
      <c r="W42" s="265">
        <v>16.364254279270934</v>
      </c>
      <c r="X42" s="265">
        <v>23.503136651235732</v>
      </c>
      <c r="Y42" s="188"/>
      <c r="Z42" s="96">
        <f t="shared" si="49"/>
        <v>0</v>
      </c>
      <c r="AA42" s="141"/>
      <c r="AC42" s="269" t="s">
        <v>207</v>
      </c>
      <c r="AD42" s="278" t="s">
        <v>221</v>
      </c>
      <c r="AF42" s="187">
        <f>AG42+AH42</f>
        <v>39.867390930506666</v>
      </c>
      <c r="AG42" s="265">
        <v>16.364254279270934</v>
      </c>
      <c r="AH42" s="265">
        <v>23.503136651235732</v>
      </c>
      <c r="AI42" s="188"/>
      <c r="AJ42" s="96">
        <f t="shared" si="50"/>
        <v>-0.77939987099265085</v>
      </c>
      <c r="AK42" s="141"/>
    </row>
    <row r="43" spans="1:37" s="4" customFormat="1" ht="16.5" customHeight="1" outlineLevel="1">
      <c r="A43" s="62"/>
      <c r="B43" s="56" t="s">
        <v>36</v>
      </c>
      <c r="C43" s="261"/>
      <c r="D43" s="25">
        <f t="shared" si="48"/>
        <v>4655.3017241677644</v>
      </c>
      <c r="E43" s="76">
        <f t="shared" si="6"/>
        <v>1115.0891399064469</v>
      </c>
      <c r="F43" s="49">
        <v>442.85286298169564</v>
      </c>
      <c r="G43" s="49">
        <v>672.23627692475134</v>
      </c>
      <c r="H43" s="49">
        <v>1367.9848264978496</v>
      </c>
      <c r="I43" s="50">
        <v>802.09499329347022</v>
      </c>
      <c r="J43" s="50">
        <v>1366.7342261603294</v>
      </c>
      <c r="K43" s="50">
        <v>3.3985383096677753</v>
      </c>
      <c r="M43" s="93">
        <f>N43+O43</f>
        <v>1113.4943912756485</v>
      </c>
      <c r="N43" s="120">
        <f>'Проект ТС-6 усл.свод'!N44</f>
        <v>441.79944574277499</v>
      </c>
      <c r="O43" s="120">
        <f>'Проект ТС-6 усл.свод'!O44</f>
        <v>671.69494553287348</v>
      </c>
      <c r="P43" s="92">
        <f t="shared" si="9"/>
        <v>1.5947486307984491</v>
      </c>
      <c r="Q43" s="96">
        <f t="shared" si="10"/>
        <v>1.4301534951117745E-3</v>
      </c>
      <c r="R43" s="141"/>
      <c r="V43" s="187">
        <f>W43+X43</f>
        <v>1115.0891399064469</v>
      </c>
      <c r="W43" s="265">
        <v>442.85286298169564</v>
      </c>
      <c r="X43" s="265">
        <v>672.23627692475134</v>
      </c>
      <c r="Y43" s="188"/>
      <c r="Z43" s="96">
        <f t="shared" si="49"/>
        <v>0</v>
      </c>
      <c r="AA43" s="141"/>
      <c r="AC43" s="269" t="s">
        <v>207</v>
      </c>
      <c r="AD43" s="278" t="s">
        <v>222</v>
      </c>
      <c r="AF43" s="187">
        <f>AG43+AH43</f>
        <v>1115.0891399064469</v>
      </c>
      <c r="AG43" s="265">
        <v>442.85286298169564</v>
      </c>
      <c r="AH43" s="265">
        <v>672.23627692475134</v>
      </c>
      <c r="AI43" s="188"/>
      <c r="AJ43" s="96">
        <f t="shared" si="50"/>
        <v>-0.66011244735780616</v>
      </c>
      <c r="AK43" s="141"/>
    </row>
    <row r="44" spans="1:37" s="4" customFormat="1" ht="36.75" customHeight="1" outlineLevel="1">
      <c r="A44" s="62"/>
      <c r="B44" s="56" t="s">
        <v>37</v>
      </c>
      <c r="C44" s="261"/>
      <c r="D44" s="25">
        <f t="shared" si="48"/>
        <v>158.83000000000001</v>
      </c>
      <c r="E44" s="76">
        <f t="shared" si="6"/>
        <v>35.411537585612137</v>
      </c>
      <c r="F44" s="49">
        <v>14.885226662727124</v>
      </c>
      <c r="G44" s="49">
        <v>20.526310922885013</v>
      </c>
      <c r="H44" s="49">
        <v>46.78542977482995</v>
      </c>
      <c r="I44" s="50">
        <v>23.156557587746757</v>
      </c>
      <c r="J44" s="50">
        <v>42.889682509190926</v>
      </c>
      <c r="K44" s="50">
        <v>10.58679254262022</v>
      </c>
      <c r="M44" s="93">
        <f>N44+O44</f>
        <v>30.443733378767082</v>
      </c>
      <c r="N44" s="120">
        <f>'Проект ТС-6 усл.свод'!N45</f>
        <v>11.603724807194787</v>
      </c>
      <c r="O44" s="120">
        <f>'Проект ТС-6 усл.свод'!O45</f>
        <v>18.840008571572294</v>
      </c>
      <c r="P44" s="92">
        <f t="shared" si="9"/>
        <v>4.9678042068450559</v>
      </c>
      <c r="Q44" s="96">
        <f t="shared" si="10"/>
        <v>0.14028772952416213</v>
      </c>
      <c r="R44" s="141"/>
      <c r="V44" s="187">
        <f>W44+X44</f>
        <v>35.411537585612137</v>
      </c>
      <c r="W44" s="265">
        <v>14.885226662727124</v>
      </c>
      <c r="X44" s="265">
        <v>20.526310922885013</v>
      </c>
      <c r="Y44" s="188"/>
      <c r="Z44" s="96">
        <f t="shared" si="49"/>
        <v>0</v>
      </c>
      <c r="AA44" s="141"/>
      <c r="AC44" s="269" t="s">
        <v>206</v>
      </c>
      <c r="AD44" s="278" t="s">
        <v>258</v>
      </c>
      <c r="AF44" s="187">
        <f>AG44+AH44</f>
        <v>35.411537585612137</v>
      </c>
      <c r="AG44" s="265">
        <v>14.885226662727124</v>
      </c>
      <c r="AH44" s="265">
        <v>20.526310922885013</v>
      </c>
      <c r="AI44" s="188"/>
      <c r="AJ44" s="96">
        <f t="shared" si="50"/>
        <v>-0.87959243495486716</v>
      </c>
      <c r="AK44" s="141"/>
    </row>
    <row r="45" spans="1:37" s="4" customFormat="1" ht="17.25" customHeight="1">
      <c r="A45" s="211" t="s">
        <v>38</v>
      </c>
      <c r="B45" s="12" t="s">
        <v>39</v>
      </c>
      <c r="C45" s="260" t="s">
        <v>9</v>
      </c>
      <c r="D45" s="25">
        <f t="shared" si="48"/>
        <v>422232.40846603567</v>
      </c>
      <c r="E45" s="74">
        <f t="shared" si="6"/>
        <v>44401.665552482213</v>
      </c>
      <c r="F45" s="33">
        <f>SUM(F46:F67)</f>
        <v>18500.474236874688</v>
      </c>
      <c r="G45" s="33">
        <f t="shared" ref="G45:K45" si="56">SUM(G46:G67)</f>
        <v>25901.191315607528</v>
      </c>
      <c r="H45" s="33">
        <f t="shared" si="56"/>
        <v>131498.13799513964</v>
      </c>
      <c r="I45" s="33">
        <f t="shared" si="56"/>
        <v>109437.67208880799</v>
      </c>
      <c r="J45" s="33">
        <f t="shared" si="56"/>
        <v>123565.8293360911</v>
      </c>
      <c r="K45" s="33">
        <f t="shared" si="56"/>
        <v>13329.103493514727</v>
      </c>
      <c r="M45" s="100">
        <f>SUM(M46:M67)</f>
        <v>37360.467936003901</v>
      </c>
      <c r="N45" s="125">
        <f>SUM(N46:N67)</f>
        <v>14350.099081205322</v>
      </c>
      <c r="O45" s="125">
        <f>SUM(O46:O67)</f>
        <v>23010.368854798577</v>
      </c>
      <c r="P45" s="92">
        <f t="shared" si="9"/>
        <v>7041.1976164783118</v>
      </c>
      <c r="Q45" s="96">
        <f t="shared" si="10"/>
        <v>0.15857958319504262</v>
      </c>
      <c r="R45" s="141">
        <f>Q45</f>
        <v>0.15857958319504262</v>
      </c>
      <c r="V45" s="125">
        <f>SUM(V46:V67)</f>
        <v>42187.084885732198</v>
      </c>
      <c r="W45" s="125">
        <f>SUM(W46:W67)</f>
        <v>17538.339160122592</v>
      </c>
      <c r="X45" s="125">
        <f>SUM(X46:X67)</f>
        <v>24648.745725609602</v>
      </c>
      <c r="Y45" s="188"/>
      <c r="Z45" s="96">
        <f t="shared" si="49"/>
        <v>4.9876071971498681E-2</v>
      </c>
      <c r="AA45" s="141">
        <f t="shared" ref="AA45" si="57">Z45</f>
        <v>4.9876071971498681E-2</v>
      </c>
      <c r="AC45" s="269"/>
      <c r="AD45" s="275"/>
      <c r="AF45" s="125">
        <f>SUM(AF46:AF67)</f>
        <v>39668.751205721535</v>
      </c>
      <c r="AG45" s="125">
        <f>SUM(AG46:AG67)</f>
        <v>17727.764800144305</v>
      </c>
      <c r="AH45" s="125">
        <f>SUM(AH46:AH67)</f>
        <v>21940.986405577223</v>
      </c>
      <c r="AI45" s="188"/>
      <c r="AJ45" s="96">
        <f t="shared" si="50"/>
        <v>-0.72395112203727341</v>
      </c>
      <c r="AK45" s="141">
        <f t="shared" ref="AK45" si="58">AJ45</f>
        <v>-0.72395112203727341</v>
      </c>
    </row>
    <row r="46" spans="1:37" s="4" customFormat="1" ht="16.5" customHeight="1" outlineLevel="1">
      <c r="A46" s="9"/>
      <c r="B46" s="18" t="s">
        <v>149</v>
      </c>
      <c r="C46" s="260" t="s">
        <v>9</v>
      </c>
      <c r="D46" s="28">
        <f t="shared" si="48"/>
        <v>5683.5645714285702</v>
      </c>
      <c r="E46" s="76">
        <f t="shared" si="6"/>
        <v>1267.1646442195829</v>
      </c>
      <c r="F46" s="29">
        <v>532.65218723137843</v>
      </c>
      <c r="G46" s="29">
        <v>734.51245698820458</v>
      </c>
      <c r="H46" s="29">
        <v>1674.1674187954598</v>
      </c>
      <c r="I46" s="29">
        <v>828.63306870215274</v>
      </c>
      <c r="J46" s="29">
        <v>1534.7621985081987</v>
      </c>
      <c r="K46" s="29">
        <v>378.83724120317623</v>
      </c>
      <c r="M46" s="93">
        <f>N46+O46</f>
        <v>1089.3969933487249</v>
      </c>
      <c r="N46" s="126">
        <f>'Проект ТС-6 усл.свод'!N47</f>
        <v>415.22709318629421</v>
      </c>
      <c r="O46" s="126">
        <f>'Проект ТС-6 усл.свод'!O47</f>
        <v>674.16990016243074</v>
      </c>
      <c r="P46" s="92">
        <f t="shared" si="9"/>
        <v>177.76765087085801</v>
      </c>
      <c r="Q46" s="96">
        <f t="shared" si="10"/>
        <v>0.14028772952416213</v>
      </c>
      <c r="R46" s="141"/>
      <c r="V46" s="187">
        <f>W46+X46</f>
        <v>1267.1646442195829</v>
      </c>
      <c r="W46" s="126">
        <v>532.65218723137843</v>
      </c>
      <c r="X46" s="126">
        <v>734.51245698820458</v>
      </c>
      <c r="Y46" s="188"/>
      <c r="Z46" s="96">
        <f t="shared" si="49"/>
        <v>0</v>
      </c>
      <c r="AA46" s="141"/>
      <c r="AC46" s="269" t="s">
        <v>206</v>
      </c>
      <c r="AD46" s="275"/>
      <c r="AF46" s="187">
        <f>AG46+AH46</f>
        <v>1267.1646442195829</v>
      </c>
      <c r="AG46" s="126">
        <v>532.65218723137843</v>
      </c>
      <c r="AH46" s="126">
        <v>734.51245698820458</v>
      </c>
      <c r="AI46" s="188"/>
      <c r="AJ46" s="96">
        <f t="shared" si="50"/>
        <v>-0.87959243495486716</v>
      </c>
      <c r="AK46" s="141"/>
    </row>
    <row r="47" spans="1:37" s="4" customFormat="1" ht="16.5" hidden="1" customHeight="1" outlineLevel="1">
      <c r="A47" s="9"/>
      <c r="B47" s="18" t="s">
        <v>84</v>
      </c>
      <c r="C47" s="260" t="s">
        <v>9</v>
      </c>
      <c r="D47" s="28">
        <f t="shared" si="48"/>
        <v>0</v>
      </c>
      <c r="E47" s="76">
        <f t="shared" si="6"/>
        <v>0</v>
      </c>
      <c r="F47" s="29">
        <v>0</v>
      </c>
      <c r="G47" s="29">
        <v>0</v>
      </c>
      <c r="H47" s="29"/>
      <c r="I47" s="29"/>
      <c r="J47" s="29"/>
      <c r="K47" s="29">
        <v>0</v>
      </c>
      <c r="M47" s="93">
        <v>0</v>
      </c>
      <c r="N47" s="126">
        <f>'Проект ТС-6 усл.свод'!N48</f>
        <v>0</v>
      </c>
      <c r="O47" s="126">
        <f>'Проект ТС-6 усл.свод'!O48</f>
        <v>0</v>
      </c>
      <c r="P47" s="92">
        <f t="shared" si="9"/>
        <v>0</v>
      </c>
      <c r="Q47" s="96" t="e">
        <f t="shared" si="10"/>
        <v>#DIV/0!</v>
      </c>
      <c r="R47" s="141" t="e">
        <f>Q47</f>
        <v>#DIV/0!</v>
      </c>
      <c r="V47" s="187">
        <v>0</v>
      </c>
      <c r="W47" s="126">
        <v>0</v>
      </c>
      <c r="X47" s="126">
        <v>0</v>
      </c>
      <c r="Y47" s="188" t="e">
        <f>Q47-V47</f>
        <v>#DIV/0!</v>
      </c>
      <c r="Z47" s="96" t="e">
        <f t="shared" si="49"/>
        <v>#DIV/0!</v>
      </c>
      <c r="AA47" s="141" t="e">
        <f t="shared" ref="AA47" si="59">Z47</f>
        <v>#DIV/0!</v>
      </c>
      <c r="AC47" s="269"/>
      <c r="AD47" s="275"/>
      <c r="AF47" s="187">
        <v>0</v>
      </c>
      <c r="AG47" s="126">
        <v>0</v>
      </c>
      <c r="AH47" s="126">
        <v>0</v>
      </c>
      <c r="AI47" s="188" t="e">
        <f>AA47-AF47</f>
        <v>#DIV/0!</v>
      </c>
      <c r="AJ47" s="96" t="e">
        <f t="shared" si="50"/>
        <v>#DIV/0!</v>
      </c>
      <c r="AK47" s="141" t="e">
        <f t="shared" ref="AK47" si="60">AJ47</f>
        <v>#DIV/0!</v>
      </c>
    </row>
    <row r="48" spans="1:37" s="4" customFormat="1" ht="54" customHeight="1" outlineLevel="1">
      <c r="A48" s="9"/>
      <c r="B48" s="18" t="s">
        <v>85</v>
      </c>
      <c r="C48" s="260" t="s">
        <v>9</v>
      </c>
      <c r="D48" s="28">
        <f t="shared" si="48"/>
        <v>11224.196428571428</v>
      </c>
      <c r="E48" s="76">
        <f t="shared" si="6"/>
        <v>6745.1687572289829</v>
      </c>
      <c r="F48" s="29">
        <v>2688.4027686458444</v>
      </c>
      <c r="G48" s="29">
        <v>4056.7659885831386</v>
      </c>
      <c r="H48" s="29">
        <v>631.20627321435245</v>
      </c>
      <c r="I48" s="29">
        <v>983.48565211288519</v>
      </c>
      <c r="J48" s="29">
        <v>578.64674507142752</v>
      </c>
      <c r="K48" s="29">
        <v>2285.6890009437789</v>
      </c>
      <c r="M48" s="93">
        <f>N48+O48</f>
        <v>6678.1455580288712</v>
      </c>
      <c r="N48" s="126">
        <f>'Проект ТС-6 усл.свод'!N49</f>
        <v>2644.130340953177</v>
      </c>
      <c r="O48" s="126">
        <f>'Проект ТС-6 усл.свод'!O49</f>
        <v>4034.0152170756946</v>
      </c>
      <c r="P48" s="92">
        <f t="shared" si="9"/>
        <v>67.023199200111776</v>
      </c>
      <c r="Q48" s="96">
        <f t="shared" si="10"/>
        <v>9.9364747736342407E-3</v>
      </c>
      <c r="R48" s="141"/>
      <c r="V48" s="187">
        <f>W48+X48</f>
        <v>6745.1687572289829</v>
      </c>
      <c r="W48" s="126">
        <v>2688.4027686458444</v>
      </c>
      <c r="X48" s="126">
        <v>4056.7659885831386</v>
      </c>
      <c r="Y48" s="188"/>
      <c r="Z48" s="96">
        <f t="shared" si="49"/>
        <v>0</v>
      </c>
      <c r="AA48" s="141"/>
      <c r="AC48" s="269" t="s">
        <v>207</v>
      </c>
      <c r="AD48" s="278" t="s">
        <v>223</v>
      </c>
      <c r="AF48" s="187">
        <f>AG48+AH48</f>
        <v>6745.1687572289829</v>
      </c>
      <c r="AG48" s="126">
        <v>2688.4027686458444</v>
      </c>
      <c r="AH48" s="126">
        <v>4056.7659885831386</v>
      </c>
      <c r="AI48" s="188"/>
      <c r="AJ48" s="96">
        <f t="shared" si="50"/>
        <v>-0.67207320603977183</v>
      </c>
      <c r="AK48" s="141"/>
    </row>
    <row r="49" spans="1:37" s="4" customFormat="1" ht="16.5" hidden="1" customHeight="1" outlineLevel="1">
      <c r="A49" s="9"/>
      <c r="B49" s="18" t="s">
        <v>86</v>
      </c>
      <c r="C49" s="260" t="s">
        <v>9</v>
      </c>
      <c r="D49" s="28">
        <f t="shared" si="48"/>
        <v>39095.405430428575</v>
      </c>
      <c r="E49" s="76">
        <f t="shared" si="6"/>
        <v>0</v>
      </c>
      <c r="F49" s="29">
        <v>0</v>
      </c>
      <c r="G49" s="29">
        <v>0</v>
      </c>
      <c r="H49" s="29">
        <v>0</v>
      </c>
      <c r="I49" s="29">
        <v>39095.405430428575</v>
      </c>
      <c r="J49" s="29">
        <v>0</v>
      </c>
      <c r="K49" s="29">
        <v>0</v>
      </c>
      <c r="M49" s="93">
        <v>0</v>
      </c>
      <c r="N49" s="126">
        <f>'Проект ТС-6 усл.свод'!N50</f>
        <v>0</v>
      </c>
      <c r="O49" s="126">
        <f>'Проект ТС-6 усл.свод'!O50</f>
        <v>0</v>
      </c>
      <c r="P49" s="92">
        <f t="shared" si="9"/>
        <v>0</v>
      </c>
      <c r="Q49" s="96" t="e">
        <f t="shared" si="10"/>
        <v>#DIV/0!</v>
      </c>
      <c r="R49" s="141" t="e">
        <f>Q49</f>
        <v>#DIV/0!</v>
      </c>
      <c r="V49" s="187">
        <v>0</v>
      </c>
      <c r="W49" s="126">
        <v>0</v>
      </c>
      <c r="X49" s="126">
        <v>0</v>
      </c>
      <c r="Y49" s="188"/>
      <c r="Z49" s="96" t="e">
        <f t="shared" si="49"/>
        <v>#DIV/0!</v>
      </c>
      <c r="AA49" s="141" t="e">
        <f t="shared" ref="AA49:AA52" si="61">Z49</f>
        <v>#DIV/0!</v>
      </c>
      <c r="AC49" s="269"/>
      <c r="AD49" s="275"/>
      <c r="AF49" s="187">
        <v>0</v>
      </c>
      <c r="AG49" s="126">
        <v>0</v>
      </c>
      <c r="AH49" s="126">
        <v>0</v>
      </c>
      <c r="AI49" s="188"/>
      <c r="AJ49" s="96" t="e">
        <f t="shared" si="50"/>
        <v>#DIV/0!</v>
      </c>
      <c r="AK49" s="141" t="e">
        <f t="shared" ref="AK49:AK52" si="62">AJ49</f>
        <v>#DIV/0!</v>
      </c>
    </row>
    <row r="50" spans="1:37" s="4" customFormat="1" ht="16.5" hidden="1" customHeight="1" outlineLevel="1">
      <c r="A50" s="9"/>
      <c r="B50" s="18" t="s">
        <v>87</v>
      </c>
      <c r="C50" s="260" t="s">
        <v>9</v>
      </c>
      <c r="D50" s="28">
        <f t="shared" si="48"/>
        <v>1442.808</v>
      </c>
      <c r="E50" s="76">
        <f t="shared" si="6"/>
        <v>0</v>
      </c>
      <c r="F50" s="29">
        <v>0</v>
      </c>
      <c r="G50" s="29">
        <v>0</v>
      </c>
      <c r="H50" s="29">
        <v>0</v>
      </c>
      <c r="I50" s="29">
        <v>1442.808</v>
      </c>
      <c r="J50" s="29">
        <v>0</v>
      </c>
      <c r="K50" s="29">
        <v>0</v>
      </c>
      <c r="M50" s="93">
        <v>0</v>
      </c>
      <c r="N50" s="126">
        <f>'Проект ТС-6 усл.свод'!N51</f>
        <v>0</v>
      </c>
      <c r="O50" s="126">
        <f>'Проект ТС-6 усл.свод'!O51</f>
        <v>0</v>
      </c>
      <c r="P50" s="92">
        <f t="shared" si="9"/>
        <v>0</v>
      </c>
      <c r="Q50" s="96" t="e">
        <f t="shared" si="10"/>
        <v>#DIV/0!</v>
      </c>
      <c r="R50" s="141" t="e">
        <f>Q50</f>
        <v>#DIV/0!</v>
      </c>
      <c r="V50" s="187">
        <v>0</v>
      </c>
      <c r="W50" s="126">
        <v>0</v>
      </c>
      <c r="X50" s="126">
        <v>0</v>
      </c>
      <c r="Y50" s="188"/>
      <c r="Z50" s="96" t="e">
        <f t="shared" si="49"/>
        <v>#DIV/0!</v>
      </c>
      <c r="AA50" s="141" t="e">
        <f t="shared" si="61"/>
        <v>#DIV/0!</v>
      </c>
      <c r="AC50" s="269"/>
      <c r="AD50" s="275"/>
      <c r="AF50" s="187">
        <v>0</v>
      </c>
      <c r="AG50" s="126">
        <v>0</v>
      </c>
      <c r="AH50" s="126">
        <v>0</v>
      </c>
      <c r="AI50" s="188"/>
      <c r="AJ50" s="96" t="e">
        <f t="shared" si="50"/>
        <v>#DIV/0!</v>
      </c>
      <c r="AK50" s="141" t="e">
        <f t="shared" si="62"/>
        <v>#DIV/0!</v>
      </c>
    </row>
    <row r="51" spans="1:37" s="4" customFormat="1" ht="16.5" hidden="1" customHeight="1" outlineLevel="1">
      <c r="A51" s="9"/>
      <c r="B51" s="18" t="s">
        <v>124</v>
      </c>
      <c r="C51" s="260" t="s">
        <v>9</v>
      </c>
      <c r="D51" s="28">
        <f t="shared" si="48"/>
        <v>2223.2142857142853</v>
      </c>
      <c r="E51" s="76">
        <f t="shared" si="6"/>
        <v>0</v>
      </c>
      <c r="F51" s="29">
        <v>0</v>
      </c>
      <c r="G51" s="29">
        <v>0</v>
      </c>
      <c r="H51" s="29">
        <v>2223.2142857142853</v>
      </c>
      <c r="I51" s="50">
        <v>0</v>
      </c>
      <c r="J51" s="30">
        <v>0</v>
      </c>
      <c r="K51" s="30">
        <v>0</v>
      </c>
      <c r="M51" s="93">
        <v>0</v>
      </c>
      <c r="N51" s="126">
        <f>'Проект ТС-6 усл.свод'!N52</f>
        <v>0</v>
      </c>
      <c r="O51" s="126">
        <f>'Проект ТС-6 усл.свод'!O52</f>
        <v>0</v>
      </c>
      <c r="P51" s="92">
        <f t="shared" si="9"/>
        <v>0</v>
      </c>
      <c r="Q51" s="96" t="e">
        <f t="shared" si="10"/>
        <v>#DIV/0!</v>
      </c>
      <c r="R51" s="141" t="e">
        <f>Q51</f>
        <v>#DIV/0!</v>
      </c>
      <c r="V51" s="187">
        <v>0</v>
      </c>
      <c r="W51" s="126">
        <v>0</v>
      </c>
      <c r="X51" s="126">
        <v>0</v>
      </c>
      <c r="Y51" s="188"/>
      <c r="Z51" s="96" t="e">
        <f t="shared" si="49"/>
        <v>#DIV/0!</v>
      </c>
      <c r="AA51" s="141" t="e">
        <f t="shared" si="61"/>
        <v>#DIV/0!</v>
      </c>
      <c r="AC51" s="269"/>
      <c r="AD51" s="275"/>
      <c r="AF51" s="187">
        <v>0</v>
      </c>
      <c r="AG51" s="126">
        <v>0</v>
      </c>
      <c r="AH51" s="126">
        <v>0</v>
      </c>
      <c r="AI51" s="188"/>
      <c r="AJ51" s="96" t="e">
        <f t="shared" si="50"/>
        <v>#DIV/0!</v>
      </c>
      <c r="AK51" s="141" t="e">
        <f t="shared" si="62"/>
        <v>#DIV/0!</v>
      </c>
    </row>
    <row r="52" spans="1:37" s="4" customFormat="1" ht="16.5" hidden="1" customHeight="1" outlineLevel="1">
      <c r="A52" s="9"/>
      <c r="B52" s="18" t="s">
        <v>150</v>
      </c>
      <c r="C52" s="260" t="s">
        <v>9</v>
      </c>
      <c r="D52" s="28">
        <f t="shared" si="48"/>
        <v>4560</v>
      </c>
      <c r="E52" s="76">
        <f t="shared" si="6"/>
        <v>0</v>
      </c>
      <c r="F52" s="29">
        <v>0</v>
      </c>
      <c r="G52" s="29">
        <v>0</v>
      </c>
      <c r="H52" s="29">
        <v>0</v>
      </c>
      <c r="I52" s="29">
        <v>4560</v>
      </c>
      <c r="J52" s="30">
        <v>0</v>
      </c>
      <c r="K52" s="30">
        <v>0</v>
      </c>
      <c r="M52" s="93">
        <v>0</v>
      </c>
      <c r="N52" s="126">
        <f>'Проект ТС-6 усл.свод'!N53</f>
        <v>0</v>
      </c>
      <c r="O52" s="126">
        <f>'Проект ТС-6 усл.свод'!O53</f>
        <v>0</v>
      </c>
      <c r="P52" s="92">
        <f t="shared" si="9"/>
        <v>0</v>
      </c>
      <c r="Q52" s="96" t="e">
        <f t="shared" si="10"/>
        <v>#DIV/0!</v>
      </c>
      <c r="R52" s="141" t="e">
        <f>Q52</f>
        <v>#DIV/0!</v>
      </c>
      <c r="V52" s="187">
        <v>0</v>
      </c>
      <c r="W52" s="126">
        <v>0</v>
      </c>
      <c r="X52" s="126">
        <v>0</v>
      </c>
      <c r="Y52" s="188"/>
      <c r="Z52" s="96" t="e">
        <f t="shared" si="49"/>
        <v>#DIV/0!</v>
      </c>
      <c r="AA52" s="141" t="e">
        <f t="shared" si="61"/>
        <v>#DIV/0!</v>
      </c>
      <c r="AC52" s="269"/>
      <c r="AD52" s="275"/>
      <c r="AF52" s="187">
        <v>0</v>
      </c>
      <c r="AG52" s="126">
        <v>0</v>
      </c>
      <c r="AH52" s="126">
        <v>0</v>
      </c>
      <c r="AI52" s="188"/>
      <c r="AJ52" s="96" t="e">
        <f t="shared" si="50"/>
        <v>#DIV/0!</v>
      </c>
      <c r="AK52" s="141" t="e">
        <f t="shared" si="62"/>
        <v>#DIV/0!</v>
      </c>
    </row>
    <row r="53" spans="1:37" s="4" customFormat="1" ht="16.5" customHeight="1" outlineLevel="1">
      <c r="A53" s="9"/>
      <c r="B53" s="18" t="s">
        <v>123</v>
      </c>
      <c r="C53" s="260" t="s">
        <v>9</v>
      </c>
      <c r="D53" s="28">
        <f t="shared" si="48"/>
        <v>22552.37260714285</v>
      </c>
      <c r="E53" s="76">
        <f t="shared" si="6"/>
        <v>5028.1067192757582</v>
      </c>
      <c r="F53" s="29">
        <v>2113.5627906541563</v>
      </c>
      <c r="G53" s="29">
        <v>2914.5439286216024</v>
      </c>
      <c r="H53" s="29">
        <v>6643.0928972315087</v>
      </c>
      <c r="I53" s="29">
        <v>3288.0143236014983</v>
      </c>
      <c r="J53" s="30">
        <v>6089.9332679552444</v>
      </c>
      <c r="K53" s="30">
        <v>1503.225399078842</v>
      </c>
      <c r="M53" s="93">
        <f t="shared" ref="M53:M63" si="63">N53+O53</f>
        <v>4322.7250438233787</v>
      </c>
      <c r="N53" s="126">
        <f>'Проект ТС-6 усл.свод'!N54</f>
        <v>1647.6202573984995</v>
      </c>
      <c r="O53" s="126">
        <f>'Проект ТС-6 усл.свод'!O54</f>
        <v>2675.104786424879</v>
      </c>
      <c r="P53" s="92">
        <f t="shared" si="9"/>
        <v>705.38167545237957</v>
      </c>
      <c r="Q53" s="96">
        <f t="shared" si="10"/>
        <v>0.14028772952416213</v>
      </c>
      <c r="R53" s="141"/>
      <c r="V53" s="187">
        <f t="shared" ref="V53:V63" si="64">W53+X53</f>
        <v>5028.1067192757582</v>
      </c>
      <c r="W53" s="126">
        <v>2113.5627906541563</v>
      </c>
      <c r="X53" s="126">
        <v>2914.5439286216024</v>
      </c>
      <c r="Y53" s="188"/>
      <c r="Z53" s="96">
        <f t="shared" si="49"/>
        <v>0</v>
      </c>
      <c r="AA53" s="141"/>
      <c r="AC53" s="269" t="s">
        <v>206</v>
      </c>
      <c r="AD53" s="275"/>
      <c r="AF53" s="187">
        <f t="shared" ref="AF53:AF63" si="65">AG53+AH53</f>
        <v>5028.1067192757582</v>
      </c>
      <c r="AG53" s="126">
        <v>2113.5627906541563</v>
      </c>
      <c r="AH53" s="126">
        <v>2914.5439286216024</v>
      </c>
      <c r="AI53" s="188"/>
      <c r="AJ53" s="96">
        <f t="shared" si="50"/>
        <v>-0.87959243495486716</v>
      </c>
      <c r="AK53" s="141"/>
    </row>
    <row r="54" spans="1:37" s="4" customFormat="1" ht="16.5" customHeight="1" outlineLevel="1">
      <c r="A54" s="9"/>
      <c r="B54" s="18" t="s">
        <v>125</v>
      </c>
      <c r="C54" s="260" t="s">
        <v>9</v>
      </c>
      <c r="D54" s="28">
        <f t="shared" si="48"/>
        <v>719.99999999999989</v>
      </c>
      <c r="E54" s="76">
        <f t="shared" si="6"/>
        <v>160.52576378291721</v>
      </c>
      <c r="F54" s="29">
        <v>67.476945143634893</v>
      </c>
      <c r="G54" s="29">
        <v>93.048818639282317</v>
      </c>
      <c r="H54" s="29">
        <v>212.08530780002241</v>
      </c>
      <c r="I54" s="29">
        <v>104.97211775595079</v>
      </c>
      <c r="J54" s="30">
        <v>194.42530634399967</v>
      </c>
      <c r="K54" s="30">
        <v>47.99150431710985</v>
      </c>
      <c r="M54" s="93">
        <f t="shared" si="63"/>
        <v>138.00596885167974</v>
      </c>
      <c r="N54" s="126">
        <f>'Проект ТС-6 усл.свод'!N55</f>
        <v>52.601409438898479</v>
      </c>
      <c r="O54" s="126">
        <f>'Проект ТС-6 усл.свод'!O55</f>
        <v>85.404559412781268</v>
      </c>
      <c r="P54" s="92">
        <f t="shared" si="9"/>
        <v>22.51979493123747</v>
      </c>
      <c r="Q54" s="96">
        <f t="shared" si="10"/>
        <v>0.14028772952416235</v>
      </c>
      <c r="R54" s="141"/>
      <c r="V54" s="187">
        <f t="shared" si="64"/>
        <v>160.52576378291721</v>
      </c>
      <c r="W54" s="126">
        <v>67.476945143634893</v>
      </c>
      <c r="X54" s="126">
        <v>93.048818639282317</v>
      </c>
      <c r="Y54" s="188"/>
      <c r="Z54" s="96">
        <f t="shared" si="49"/>
        <v>0</v>
      </c>
      <c r="AA54" s="141"/>
      <c r="AC54" s="269" t="s">
        <v>206</v>
      </c>
      <c r="AD54" s="278" t="s">
        <v>259</v>
      </c>
      <c r="AF54" s="187">
        <f t="shared" si="65"/>
        <v>160.52576378291721</v>
      </c>
      <c r="AG54" s="126">
        <v>67.476945143634893</v>
      </c>
      <c r="AH54" s="126">
        <v>93.048818639282317</v>
      </c>
      <c r="AI54" s="188"/>
      <c r="AJ54" s="96">
        <f t="shared" si="50"/>
        <v>-0.87959243495486761</v>
      </c>
      <c r="AK54" s="141"/>
    </row>
    <row r="55" spans="1:37" s="4" customFormat="1" ht="16.5" customHeight="1" outlineLevel="1">
      <c r="A55" s="9"/>
      <c r="B55" s="18" t="s">
        <v>151</v>
      </c>
      <c r="C55" s="260" t="s">
        <v>9</v>
      </c>
      <c r="D55" s="28">
        <f t="shared" si="48"/>
        <v>1347.9985937499998</v>
      </c>
      <c r="E55" s="76">
        <f t="shared" si="6"/>
        <v>351.65104188119449</v>
      </c>
      <c r="F55" s="29">
        <v>143.68574828732955</v>
      </c>
      <c r="G55" s="29">
        <v>207.96529359386497</v>
      </c>
      <c r="H55" s="29">
        <v>563.45530331532257</v>
      </c>
      <c r="I55" s="29">
        <v>145.04426163143057</v>
      </c>
      <c r="J55" s="30">
        <v>235.39429960499737</v>
      </c>
      <c r="K55" s="30">
        <v>52.453687317054701</v>
      </c>
      <c r="M55" s="93">
        <f t="shared" si="63"/>
        <v>327.03738789022793</v>
      </c>
      <c r="N55" s="126">
        <f>'Проект ТС-6 усл.свод'!N56</f>
        <v>127.42710606236093</v>
      </c>
      <c r="O55" s="126">
        <f>'Проект ТС-6 усл.свод'!O56</f>
        <v>199.61028182786703</v>
      </c>
      <c r="P55" s="92">
        <f t="shared" si="9"/>
        <v>24.613653990966554</v>
      </c>
      <c r="Q55" s="96">
        <f t="shared" si="10"/>
        <v>6.9994543054083369E-2</v>
      </c>
      <c r="R55" s="141"/>
      <c r="V55" s="187">
        <f t="shared" si="64"/>
        <v>351.65104188119449</v>
      </c>
      <c r="W55" s="126">
        <v>143.68574828732955</v>
      </c>
      <c r="X55" s="126">
        <v>207.96529359386497</v>
      </c>
      <c r="Y55" s="188"/>
      <c r="Z55" s="96">
        <f t="shared" si="49"/>
        <v>0</v>
      </c>
      <c r="AA55" s="141"/>
      <c r="AC55" s="269" t="s">
        <v>207</v>
      </c>
      <c r="AD55" s="278" t="s">
        <v>224</v>
      </c>
      <c r="AF55" s="187">
        <f t="shared" si="65"/>
        <v>351.65104188119449</v>
      </c>
      <c r="AG55" s="126">
        <v>143.68574828732955</v>
      </c>
      <c r="AH55" s="126">
        <v>207.96529359386497</v>
      </c>
      <c r="AI55" s="188"/>
      <c r="AJ55" s="96">
        <f t="shared" si="50"/>
        <v>-0.76168801857831703</v>
      </c>
      <c r="AK55" s="141"/>
    </row>
    <row r="56" spans="1:37" s="4" customFormat="1" ht="16.5" customHeight="1" outlineLevel="1">
      <c r="A56" s="9"/>
      <c r="B56" s="18" t="s">
        <v>88</v>
      </c>
      <c r="C56" s="260" t="s">
        <v>9</v>
      </c>
      <c r="D56" s="28">
        <f t="shared" si="48"/>
        <v>56063.999999999993</v>
      </c>
      <c r="E56" s="76">
        <f t="shared" si="6"/>
        <v>12499.606139896485</v>
      </c>
      <c r="F56" s="29">
        <v>5254.2047951843697</v>
      </c>
      <c r="G56" s="29">
        <v>7245.401344712116</v>
      </c>
      <c r="H56" s="29">
        <v>16514.375967361746</v>
      </c>
      <c r="I56" s="29">
        <v>8173.8289025967015</v>
      </c>
      <c r="J56" s="30">
        <v>15139.250520652775</v>
      </c>
      <c r="K56" s="30">
        <v>3736.9384694922874</v>
      </c>
      <c r="M56" s="93">
        <f t="shared" si="63"/>
        <v>10746.064774584131</v>
      </c>
      <c r="N56" s="126">
        <f>'Проект ТС-6 усл.свод'!N57</f>
        <v>4095.8964149755616</v>
      </c>
      <c r="O56" s="126">
        <f>'Проект ТС-6 усл.свод'!O57</f>
        <v>6650.1683596085686</v>
      </c>
      <c r="P56" s="92">
        <f t="shared" si="9"/>
        <v>1753.5413653123542</v>
      </c>
      <c r="Q56" s="96">
        <f t="shared" si="10"/>
        <v>0.14028772952416213</v>
      </c>
      <c r="R56" s="141"/>
      <c r="V56" s="187">
        <f t="shared" si="64"/>
        <v>12499.606139896485</v>
      </c>
      <c r="W56" s="126">
        <v>5254.2047951843697</v>
      </c>
      <c r="X56" s="126">
        <v>7245.401344712116</v>
      </c>
      <c r="Y56" s="188"/>
      <c r="Z56" s="96">
        <f t="shared" si="49"/>
        <v>0</v>
      </c>
      <c r="AA56" s="141"/>
      <c r="AC56" s="269" t="s">
        <v>206</v>
      </c>
      <c r="AD56" s="278" t="s">
        <v>225</v>
      </c>
      <c r="AF56" s="187">
        <f t="shared" si="65"/>
        <v>12499.606139896485</v>
      </c>
      <c r="AG56" s="126">
        <v>5254.2047951843697</v>
      </c>
      <c r="AH56" s="126">
        <v>7245.401344712116</v>
      </c>
      <c r="AI56" s="188"/>
      <c r="AJ56" s="96">
        <f t="shared" si="50"/>
        <v>-0.87959243495486716</v>
      </c>
      <c r="AK56" s="141"/>
    </row>
    <row r="57" spans="1:37" s="4" customFormat="1" ht="16.5" customHeight="1" outlineLevel="1">
      <c r="A57" s="9"/>
      <c r="B57" s="18" t="s">
        <v>40</v>
      </c>
      <c r="C57" s="260" t="s">
        <v>9</v>
      </c>
      <c r="D57" s="28">
        <f t="shared" si="48"/>
        <v>599.3850000000001</v>
      </c>
      <c r="E57" s="76">
        <f t="shared" si="6"/>
        <v>541.41432781302763</v>
      </c>
      <c r="F57" s="29">
        <v>214.89098405029395</v>
      </c>
      <c r="G57" s="29">
        <v>326.52334376273365</v>
      </c>
      <c r="H57" s="29">
        <v>0</v>
      </c>
      <c r="I57" s="29">
        <v>57.970672186972457</v>
      </c>
      <c r="J57" s="30">
        <v>0</v>
      </c>
      <c r="K57" s="30">
        <v>0</v>
      </c>
      <c r="M57" s="93">
        <f t="shared" si="63"/>
        <v>541.41432781302763</v>
      </c>
      <c r="N57" s="126">
        <f>'Проект ТС-6 усл.свод'!N58</f>
        <v>214.89098405029398</v>
      </c>
      <c r="O57" s="126">
        <f>'Проект ТС-6 усл.свод'!O58</f>
        <v>326.52334376273365</v>
      </c>
      <c r="P57" s="92">
        <f t="shared" si="9"/>
        <v>0</v>
      </c>
      <c r="Q57" s="96">
        <f t="shared" si="10"/>
        <v>0</v>
      </c>
      <c r="R57" s="141"/>
      <c r="V57" s="187">
        <f t="shared" si="64"/>
        <v>541.41432781302763</v>
      </c>
      <c r="W57" s="126">
        <v>214.89098405029395</v>
      </c>
      <c r="X57" s="126">
        <v>326.52334376273365</v>
      </c>
      <c r="Y57" s="188"/>
      <c r="Z57" s="96">
        <f t="shared" si="49"/>
        <v>0</v>
      </c>
      <c r="AA57" s="141"/>
      <c r="AC57" s="269" t="s">
        <v>208</v>
      </c>
      <c r="AD57" s="278" t="s">
        <v>226</v>
      </c>
      <c r="AF57" s="187">
        <f t="shared" si="65"/>
        <v>541.41432781302763</v>
      </c>
      <c r="AG57" s="126">
        <v>214.89098405029395</v>
      </c>
      <c r="AH57" s="126">
        <v>326.52334376273365</v>
      </c>
      <c r="AI57" s="188"/>
      <c r="AJ57" s="96">
        <f t="shared" si="50"/>
        <v>-0.65811828818720941</v>
      </c>
      <c r="AK57" s="141"/>
    </row>
    <row r="58" spans="1:37" s="4" customFormat="1" ht="16.5" customHeight="1" outlineLevel="1">
      <c r="A58" s="63"/>
      <c r="B58" s="18" t="s">
        <v>166</v>
      </c>
      <c r="C58" s="260" t="s">
        <v>9</v>
      </c>
      <c r="D58" s="28">
        <f t="shared" ref="D58" si="66">SUM(F58:K58)</f>
        <v>1974.2999999999995</v>
      </c>
      <c r="E58" s="76">
        <f t="shared" si="6"/>
        <v>440.17502143974076</v>
      </c>
      <c r="F58" s="58">
        <v>185.0274066626088</v>
      </c>
      <c r="G58" s="58">
        <v>255.14761477713196</v>
      </c>
      <c r="H58" s="58">
        <v>581.55558776331134</v>
      </c>
      <c r="I58" s="58">
        <v>287.84229456329666</v>
      </c>
      <c r="J58" s="64">
        <v>533.13039210410898</v>
      </c>
      <c r="K58" s="64">
        <v>131.59670412954162</v>
      </c>
      <c r="M58" s="93">
        <f t="shared" si="63"/>
        <v>378.42386708871015</v>
      </c>
      <c r="N58" s="126">
        <f>'Проект ТС-6 усл.свод'!N59</f>
        <v>144.23744813224619</v>
      </c>
      <c r="O58" s="126">
        <f>'Проект ТС-6 усл.свод'!O59</f>
        <v>234.18641895646394</v>
      </c>
      <c r="P58" s="92">
        <f t="shared" si="9"/>
        <v>61.751154351030607</v>
      </c>
      <c r="Q58" s="96">
        <f t="shared" si="10"/>
        <v>0.14028772952416213</v>
      </c>
      <c r="R58" s="141"/>
      <c r="V58" s="187">
        <f t="shared" si="64"/>
        <v>440.17502143974076</v>
      </c>
      <c r="W58" s="126">
        <v>185.0274066626088</v>
      </c>
      <c r="X58" s="126">
        <v>255.14761477713196</v>
      </c>
      <c r="Y58" s="188"/>
      <c r="Z58" s="96">
        <f t="shared" si="49"/>
        <v>0</v>
      </c>
      <c r="AA58" s="141"/>
      <c r="AC58" s="269" t="s">
        <v>206</v>
      </c>
      <c r="AD58" s="283" t="s">
        <v>260</v>
      </c>
      <c r="AF58" s="187">
        <f t="shared" si="65"/>
        <v>440.17502143974076</v>
      </c>
      <c r="AG58" s="126">
        <v>185.0274066626088</v>
      </c>
      <c r="AH58" s="126">
        <v>255.14761477713196</v>
      </c>
      <c r="AI58" s="188"/>
      <c r="AJ58" s="96">
        <f t="shared" si="50"/>
        <v>-0.87959243495486739</v>
      </c>
      <c r="AK58" s="141"/>
    </row>
    <row r="59" spans="1:37" s="4" customFormat="1" ht="16.5" customHeight="1" outlineLevel="1">
      <c r="A59" s="9"/>
      <c r="B59" s="18" t="s">
        <v>115</v>
      </c>
      <c r="C59" s="260" t="s">
        <v>9</v>
      </c>
      <c r="D59" s="28">
        <f t="shared" si="48"/>
        <v>9240</v>
      </c>
      <c r="E59" s="76">
        <f t="shared" si="6"/>
        <v>2060.0806352141039</v>
      </c>
      <c r="F59" s="29">
        <v>865.95412934331443</v>
      </c>
      <c r="G59" s="29">
        <v>1194.1265058707895</v>
      </c>
      <c r="H59" s="29">
        <v>2721.7614501002877</v>
      </c>
      <c r="I59" s="29">
        <v>1347.1421778680351</v>
      </c>
      <c r="J59" s="30">
        <v>2495.1247647479959</v>
      </c>
      <c r="K59" s="30">
        <v>615.89097206957649</v>
      </c>
      <c r="M59" s="93">
        <f t="shared" si="63"/>
        <v>1771.0766002632236</v>
      </c>
      <c r="N59" s="126">
        <f>'Проект ТС-6 усл.свод'!N60</f>
        <v>675.05142113253055</v>
      </c>
      <c r="O59" s="126">
        <f>'Проект ТС-6 усл.свод'!O60</f>
        <v>1096.025179130693</v>
      </c>
      <c r="P59" s="92">
        <f t="shared" si="9"/>
        <v>289.0040349508804</v>
      </c>
      <c r="Q59" s="96">
        <f t="shared" si="10"/>
        <v>0.14028772952416213</v>
      </c>
      <c r="R59" s="141"/>
      <c r="V59" s="187">
        <f t="shared" si="64"/>
        <v>2060.0806352141039</v>
      </c>
      <c r="W59" s="126">
        <v>865.95412934331443</v>
      </c>
      <c r="X59" s="126">
        <v>1194.1265058707895</v>
      </c>
      <c r="Y59" s="188"/>
      <c r="Z59" s="96">
        <f t="shared" si="49"/>
        <v>0</v>
      </c>
      <c r="AA59" s="141"/>
      <c r="AC59" s="269" t="s">
        <v>206</v>
      </c>
      <c r="AD59" s="278" t="s">
        <v>227</v>
      </c>
      <c r="AF59" s="187">
        <f t="shared" si="65"/>
        <v>2060.0806352141039</v>
      </c>
      <c r="AG59" s="126">
        <v>865.95412934331443</v>
      </c>
      <c r="AH59" s="126">
        <v>1194.1265058707895</v>
      </c>
      <c r="AI59" s="188"/>
      <c r="AJ59" s="96">
        <f t="shared" si="50"/>
        <v>-0.87959243495486739</v>
      </c>
      <c r="AK59" s="141"/>
    </row>
    <row r="60" spans="1:37" s="4" customFormat="1" ht="16.5" customHeight="1" outlineLevel="1">
      <c r="A60" s="9"/>
      <c r="B60" s="18" t="s">
        <v>116</v>
      </c>
      <c r="C60" s="260" t="s">
        <v>9</v>
      </c>
      <c r="D60" s="28">
        <f t="shared" si="48"/>
        <v>10183.257142857141</v>
      </c>
      <c r="E60" s="76">
        <f t="shared" si="6"/>
        <v>2270.3821259097081</v>
      </c>
      <c r="F60" s="29">
        <v>954.35428279458267</v>
      </c>
      <c r="G60" s="29">
        <v>1316.0278431151253</v>
      </c>
      <c r="H60" s="29">
        <v>2999.610035485603</v>
      </c>
      <c r="I60" s="29">
        <v>1484.6639832487874</v>
      </c>
      <c r="J60" s="30">
        <v>2749.8373466385033</v>
      </c>
      <c r="K60" s="30">
        <v>678.76365157453927</v>
      </c>
      <c r="M60" s="93">
        <f t="shared" si="63"/>
        <v>1951.8753723135942</v>
      </c>
      <c r="N60" s="126">
        <f>'Проект ТС-6 усл.свод'!N61</f>
        <v>743.96344221252218</v>
      </c>
      <c r="O60" s="126">
        <f>'Проект ТС-6 усл.свод'!O61</f>
        <v>1207.9119301010721</v>
      </c>
      <c r="P60" s="92">
        <f t="shared" si="9"/>
        <v>318.50675359611387</v>
      </c>
      <c r="Q60" s="96">
        <f t="shared" si="10"/>
        <v>0.14028772952416235</v>
      </c>
      <c r="R60" s="141"/>
      <c r="V60" s="187">
        <f t="shared" si="64"/>
        <v>2270.3821259097081</v>
      </c>
      <c r="W60" s="126">
        <v>954.35428279458267</v>
      </c>
      <c r="X60" s="126">
        <v>1316.0278431151253</v>
      </c>
      <c r="Y60" s="188"/>
      <c r="Z60" s="96">
        <f t="shared" si="49"/>
        <v>0</v>
      </c>
      <c r="AA60" s="141"/>
      <c r="AC60" s="269" t="s">
        <v>206</v>
      </c>
      <c r="AD60" s="278" t="s">
        <v>228</v>
      </c>
      <c r="AF60" s="187">
        <f t="shared" si="65"/>
        <v>2270.3821259097081</v>
      </c>
      <c r="AG60" s="126">
        <v>954.35428279458267</v>
      </c>
      <c r="AH60" s="126">
        <v>1316.0278431151253</v>
      </c>
      <c r="AI60" s="188"/>
      <c r="AJ60" s="96">
        <f t="shared" si="50"/>
        <v>-0.87959243495486761</v>
      </c>
      <c r="AK60" s="141"/>
    </row>
    <row r="61" spans="1:37" s="4" customFormat="1" ht="35.25" customHeight="1" outlineLevel="1">
      <c r="A61" s="9"/>
      <c r="B61" s="18" t="s">
        <v>152</v>
      </c>
      <c r="C61" s="260" t="s">
        <v>9</v>
      </c>
      <c r="D61" s="28">
        <f t="shared" si="48"/>
        <v>375.28928571428565</v>
      </c>
      <c r="E61" s="76">
        <f t="shared" si="6"/>
        <v>83.67166559559881</v>
      </c>
      <c r="F61" s="29">
        <v>35.171353534912186</v>
      </c>
      <c r="G61" s="29">
        <v>48.500312060686625</v>
      </c>
      <c r="H61" s="29">
        <v>110.54631065939562</v>
      </c>
      <c r="I61" s="29">
        <v>54.715154295203689</v>
      </c>
      <c r="J61" s="29">
        <v>101.34129769808446</v>
      </c>
      <c r="K61" s="29">
        <v>25.014857466003075</v>
      </c>
      <c r="M61" s="93">
        <f t="shared" si="63"/>
        <v>71.933557603687291</v>
      </c>
      <c r="N61" s="126">
        <f>'Проект ТС-6 усл.свод'!N62</f>
        <v>27.417701910956797</v>
      </c>
      <c r="O61" s="126">
        <f>'Проект ТС-6 усл.свод'!O62</f>
        <v>44.515855692730497</v>
      </c>
      <c r="P61" s="92">
        <f t="shared" si="9"/>
        <v>11.738107991911519</v>
      </c>
      <c r="Q61" s="96">
        <f t="shared" si="10"/>
        <v>0.14028772952416224</v>
      </c>
      <c r="R61" s="141"/>
      <c r="V61" s="187">
        <f t="shared" si="64"/>
        <v>83.67166559559881</v>
      </c>
      <c r="W61" s="126">
        <v>35.171353534912186</v>
      </c>
      <c r="X61" s="126">
        <v>48.500312060686625</v>
      </c>
      <c r="Y61" s="188"/>
      <c r="Z61" s="96">
        <f t="shared" si="49"/>
        <v>0</v>
      </c>
      <c r="AA61" s="141"/>
      <c r="AC61" s="269" t="s">
        <v>206</v>
      </c>
      <c r="AD61" s="275"/>
      <c r="AF61" s="187">
        <f t="shared" si="65"/>
        <v>83.67166559559881</v>
      </c>
      <c r="AG61" s="126">
        <v>35.171353534912186</v>
      </c>
      <c r="AH61" s="126">
        <v>48.500312060686625</v>
      </c>
      <c r="AI61" s="188"/>
      <c r="AJ61" s="96">
        <f t="shared" si="50"/>
        <v>-0.87959243495486739</v>
      </c>
      <c r="AK61" s="141"/>
    </row>
    <row r="62" spans="1:37" s="4" customFormat="1" ht="36.75" customHeight="1" outlineLevel="1">
      <c r="A62" s="63"/>
      <c r="B62" s="56" t="s">
        <v>126</v>
      </c>
      <c r="C62" s="261"/>
      <c r="D62" s="28">
        <f t="shared" si="48"/>
        <v>41712.393750000003</v>
      </c>
      <c r="E62" s="76">
        <f t="shared" si="6"/>
        <v>9299.880369350738</v>
      </c>
      <c r="F62" s="58">
        <v>3909.2012567756233</v>
      </c>
      <c r="G62" s="58">
        <v>5390.6791125751151</v>
      </c>
      <c r="H62" s="58">
        <v>12286.924816034003</v>
      </c>
      <c r="I62" s="58">
        <v>6081.4420952883138</v>
      </c>
      <c r="J62" s="58">
        <v>11263.812407201787</v>
      </c>
      <c r="K62" s="58">
        <v>2780.3340621251541</v>
      </c>
      <c r="M62" s="93">
        <f t="shared" si="63"/>
        <v>7995.2212674881957</v>
      </c>
      <c r="N62" s="126">
        <f>'Проект ТС-6 усл.свод'!N63</f>
        <v>3047.4037532226384</v>
      </c>
      <c r="O62" s="126">
        <f>'Проект ТС-6 усл.свод'!O63</f>
        <v>4947.8175142655573</v>
      </c>
      <c r="P62" s="92">
        <f t="shared" si="9"/>
        <v>1304.6591018625422</v>
      </c>
      <c r="Q62" s="96">
        <f t="shared" si="10"/>
        <v>0.14028772952416224</v>
      </c>
      <c r="R62" s="141"/>
      <c r="V62" s="187">
        <f t="shared" si="64"/>
        <v>9299.880369350738</v>
      </c>
      <c r="W62" s="126">
        <v>3909.2012567756233</v>
      </c>
      <c r="X62" s="126">
        <v>5390.6791125751151</v>
      </c>
      <c r="Y62" s="188"/>
      <c r="Z62" s="96">
        <f t="shared" si="49"/>
        <v>0</v>
      </c>
      <c r="AA62" s="141"/>
      <c r="AC62" s="269" t="s">
        <v>206</v>
      </c>
      <c r="AD62" s="278" t="s">
        <v>229</v>
      </c>
      <c r="AF62" s="187">
        <f t="shared" si="65"/>
        <v>9299.880369350738</v>
      </c>
      <c r="AG62" s="126">
        <v>3909.2012567756233</v>
      </c>
      <c r="AH62" s="126">
        <v>5390.6791125751151</v>
      </c>
      <c r="AI62" s="188"/>
      <c r="AJ62" s="96">
        <f t="shared" si="50"/>
        <v>-0.87959243495486739</v>
      </c>
      <c r="AK62" s="141"/>
    </row>
    <row r="63" spans="1:37" s="4" customFormat="1" ht="38.25" customHeight="1" outlineLevel="1">
      <c r="A63" s="63"/>
      <c r="B63" s="56" t="s">
        <v>153</v>
      </c>
      <c r="C63" s="261"/>
      <c r="D63" s="28">
        <f t="shared" si="48"/>
        <v>13507.419798999999</v>
      </c>
      <c r="E63" s="76">
        <f t="shared" si="6"/>
        <v>3011.5123332930179</v>
      </c>
      <c r="F63" s="58">
        <v>1265.8880900127374</v>
      </c>
      <c r="G63" s="58">
        <v>1745.6242432802806</v>
      </c>
      <c r="H63" s="58">
        <v>3978.7851189653225</v>
      </c>
      <c r="I63" s="58">
        <v>1969.3089746106796</v>
      </c>
      <c r="J63" s="58">
        <v>3647.4781004688634</v>
      </c>
      <c r="K63" s="58">
        <v>900.33527166211616</v>
      </c>
      <c r="M63" s="93">
        <f t="shared" si="63"/>
        <v>796.93166654299353</v>
      </c>
      <c r="N63" s="126">
        <f>'Проект ТС-6 усл.свод'!N64</f>
        <v>303.7530132606397</v>
      </c>
      <c r="O63" s="126">
        <f>'Проект ТС-6 усл.свод'!O64</f>
        <v>493.17865328235376</v>
      </c>
      <c r="P63" s="92">
        <f t="shared" si="9"/>
        <v>2214.5806667500246</v>
      </c>
      <c r="Q63" s="96">
        <f t="shared" si="10"/>
        <v>0.7353716079018785</v>
      </c>
      <c r="R63" s="141">
        <f>Q63</f>
        <v>0.7353716079018785</v>
      </c>
      <c r="V63" s="187">
        <f t="shared" si="64"/>
        <v>796.93166654299353</v>
      </c>
      <c r="W63" s="126">
        <f>N63</f>
        <v>303.7530132606397</v>
      </c>
      <c r="X63" s="126">
        <f>O63</f>
        <v>493.17865328235376</v>
      </c>
      <c r="Y63" s="204">
        <f>V63-E63</f>
        <v>-2214.5806667500246</v>
      </c>
      <c r="Z63" s="96">
        <f t="shared" si="49"/>
        <v>0.7353716079018785</v>
      </c>
      <c r="AA63" s="141">
        <f>Z63</f>
        <v>0.7353716079018785</v>
      </c>
      <c r="AC63" s="269" t="s">
        <v>206</v>
      </c>
      <c r="AD63" s="278" t="s">
        <v>230</v>
      </c>
      <c r="AF63" s="187">
        <f t="shared" si="65"/>
        <v>-1721.4020134676709</v>
      </c>
      <c r="AG63" s="126">
        <f>X63</f>
        <v>493.17865328235376</v>
      </c>
      <c r="AH63" s="126">
        <f>Y63</f>
        <v>-2214.5806667500246</v>
      </c>
      <c r="AI63" s="204">
        <f>AF63-O63</f>
        <v>-2214.5806667500246</v>
      </c>
      <c r="AJ63" s="96">
        <f t="shared" si="50"/>
        <v>4.4904227950882882</v>
      </c>
      <c r="AK63" s="141">
        <f>AJ63</f>
        <v>4.4904227950882882</v>
      </c>
    </row>
    <row r="64" spans="1:37" s="4" customFormat="1" ht="16.5" hidden="1" customHeight="1" outlineLevel="1">
      <c r="A64" s="63"/>
      <c r="B64" s="56" t="s">
        <v>118</v>
      </c>
      <c r="C64" s="261"/>
      <c r="D64" s="28">
        <f t="shared" si="48"/>
        <v>0</v>
      </c>
      <c r="E64" s="76">
        <f t="shared" si="6"/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M64" s="93">
        <v>0</v>
      </c>
      <c r="N64" s="126">
        <f>'Проект ТС-6 усл.свод'!N65</f>
        <v>0</v>
      </c>
      <c r="O64" s="126">
        <f>'Проект ТС-6 усл.свод'!O65</f>
        <v>0</v>
      </c>
      <c r="P64" s="92">
        <f t="shared" si="9"/>
        <v>0</v>
      </c>
      <c r="Q64" s="96" t="e">
        <f t="shared" si="10"/>
        <v>#DIV/0!</v>
      </c>
      <c r="R64" s="141" t="e">
        <f>Q64</f>
        <v>#DIV/0!</v>
      </c>
      <c r="V64" s="187">
        <v>0</v>
      </c>
      <c r="W64" s="126">
        <v>0</v>
      </c>
      <c r="X64" s="126">
        <v>0</v>
      </c>
      <c r="Y64" s="188" t="e">
        <f>Q64-V64</f>
        <v>#DIV/0!</v>
      </c>
      <c r="Z64" s="96" t="e">
        <f t="shared" si="49"/>
        <v>#DIV/0!</v>
      </c>
      <c r="AA64" s="141" t="e">
        <f t="shared" ref="AA64" si="67">Z64</f>
        <v>#DIV/0!</v>
      </c>
      <c r="AC64" s="269"/>
      <c r="AD64" s="275"/>
      <c r="AF64" s="187">
        <v>0</v>
      </c>
      <c r="AG64" s="126">
        <v>0</v>
      </c>
      <c r="AH64" s="126">
        <v>0</v>
      </c>
      <c r="AI64" s="188" t="e">
        <f>AA64-AF64</f>
        <v>#DIV/0!</v>
      </c>
      <c r="AJ64" s="96" t="e">
        <f t="shared" si="50"/>
        <v>#DIV/0!</v>
      </c>
      <c r="AK64" s="141" t="e">
        <f t="shared" ref="AK64" si="68">AJ64</f>
        <v>#DIV/0!</v>
      </c>
    </row>
    <row r="65" spans="1:37" s="4" customFormat="1" ht="16.5" customHeight="1" outlineLevel="1">
      <c r="A65" s="63"/>
      <c r="B65" s="56" t="s">
        <v>93</v>
      </c>
      <c r="C65" s="261"/>
      <c r="D65" s="28">
        <f t="shared" si="48"/>
        <v>2880.9999999999995</v>
      </c>
      <c r="E65" s="76">
        <f t="shared" si="6"/>
        <v>642.32600758136732</v>
      </c>
      <c r="F65" s="58">
        <v>270.00149855390572</v>
      </c>
      <c r="G65" s="58">
        <v>372.3245090274616</v>
      </c>
      <c r="H65" s="58">
        <v>848.63579412758975</v>
      </c>
      <c r="I65" s="58">
        <v>420.03426563179755</v>
      </c>
      <c r="J65" s="58">
        <v>777.97126052369867</v>
      </c>
      <c r="K65" s="58">
        <v>192.03267213554651</v>
      </c>
      <c r="M65" s="93">
        <f>N65+O65</f>
        <v>552.2155503634574</v>
      </c>
      <c r="N65" s="126">
        <f>'Проект ТС-6 усл.свод'!N66</f>
        <v>210.47869526870346</v>
      </c>
      <c r="O65" s="126">
        <f>'Проект ТС-6 усл.свод'!O66</f>
        <v>341.73685509475393</v>
      </c>
      <c r="P65" s="92">
        <f t="shared" si="9"/>
        <v>90.110457217909925</v>
      </c>
      <c r="Q65" s="96">
        <f t="shared" si="10"/>
        <v>0.14028772952416235</v>
      </c>
      <c r="R65" s="141"/>
      <c r="V65" s="187">
        <f>W65+X65</f>
        <v>642.32600758136732</v>
      </c>
      <c r="W65" s="126">
        <v>270.00149855390572</v>
      </c>
      <c r="X65" s="126">
        <v>372.3245090274616</v>
      </c>
      <c r="Y65" s="188"/>
      <c r="Z65" s="96">
        <f t="shared" si="49"/>
        <v>0</v>
      </c>
      <c r="AA65" s="141"/>
      <c r="AC65" s="269" t="s">
        <v>206</v>
      </c>
      <c r="AD65" s="284" t="s">
        <v>265</v>
      </c>
      <c r="AF65" s="187">
        <f>AG65+AH65</f>
        <v>642.32600758136732</v>
      </c>
      <c r="AG65" s="126">
        <v>270.00149855390572</v>
      </c>
      <c r="AH65" s="126">
        <v>372.3245090274616</v>
      </c>
      <c r="AI65" s="188"/>
      <c r="AJ65" s="96">
        <f t="shared" si="50"/>
        <v>-0.87959243495486761</v>
      </c>
      <c r="AK65" s="141"/>
    </row>
    <row r="66" spans="1:37" s="4" customFormat="1" ht="16.5" hidden="1" customHeight="1" outlineLevel="1">
      <c r="A66" s="63"/>
      <c r="B66" s="56" t="s">
        <v>154</v>
      </c>
      <c r="C66" s="261"/>
      <c r="D66" s="28">
        <f t="shared" si="48"/>
        <v>1284</v>
      </c>
      <c r="E66" s="70">
        <f t="shared" si="6"/>
        <v>0</v>
      </c>
      <c r="F66" s="58">
        <v>0</v>
      </c>
      <c r="G66" s="58">
        <v>0</v>
      </c>
      <c r="H66" s="58">
        <v>1284</v>
      </c>
      <c r="I66" s="58">
        <v>0</v>
      </c>
      <c r="J66" s="58">
        <v>0</v>
      </c>
      <c r="K66" s="58">
        <v>0</v>
      </c>
      <c r="M66" s="93">
        <v>0</v>
      </c>
      <c r="N66" s="126">
        <f>'Проект ТС-6 усл.свод'!N67</f>
        <v>0</v>
      </c>
      <c r="O66" s="126">
        <f>'Проект ТС-6 усл.свод'!O67</f>
        <v>0</v>
      </c>
      <c r="P66" s="92">
        <f t="shared" si="9"/>
        <v>0</v>
      </c>
      <c r="Q66" s="96" t="e">
        <f t="shared" si="10"/>
        <v>#DIV/0!</v>
      </c>
      <c r="R66" s="141" t="e">
        <f>Q66</f>
        <v>#DIV/0!</v>
      </c>
      <c r="V66" s="187">
        <v>0</v>
      </c>
      <c r="W66" s="126">
        <f>'Проект ТС-6 усл.свод'!AA67</f>
        <v>0</v>
      </c>
      <c r="X66" s="126">
        <f>'Проект ТС-6 усл.свод'!AB67</f>
        <v>0</v>
      </c>
      <c r="Y66" s="188"/>
      <c r="Z66" s="96" t="e">
        <f t="shared" si="49"/>
        <v>#DIV/0!</v>
      </c>
      <c r="AA66" s="141" t="e">
        <f t="shared" ref="AA66:AA67" si="69">Z66</f>
        <v>#DIV/0!</v>
      </c>
      <c r="AC66" s="269"/>
      <c r="AD66" s="275"/>
      <c r="AF66" s="187">
        <v>0</v>
      </c>
      <c r="AG66" s="126">
        <f>'Проект ТС-6 усл.свод'!AK67</f>
        <v>0</v>
      </c>
      <c r="AH66" s="126">
        <f>'Проект ТС-6 усл.свод'!AL67</f>
        <v>0</v>
      </c>
      <c r="AI66" s="188"/>
      <c r="AJ66" s="96" t="e">
        <f t="shared" si="50"/>
        <v>#DIV/0!</v>
      </c>
      <c r="AK66" s="141" t="e">
        <f t="shared" ref="AK66:AK67" si="70">AJ66</f>
        <v>#DIV/0!</v>
      </c>
    </row>
    <row r="67" spans="1:37" s="4" customFormat="1" ht="16.5" hidden="1" customHeight="1" outlineLevel="1">
      <c r="A67" s="63"/>
      <c r="B67" s="56" t="s">
        <v>127</v>
      </c>
      <c r="C67" s="261"/>
      <c r="D67" s="28">
        <f t="shared" si="48"/>
        <v>195561.80357142852</v>
      </c>
      <c r="E67" s="70">
        <f t="shared" si="6"/>
        <v>0</v>
      </c>
      <c r="F67" s="58">
        <v>0</v>
      </c>
      <c r="G67" s="58">
        <v>0</v>
      </c>
      <c r="H67" s="58">
        <v>78224.721428571414</v>
      </c>
      <c r="I67" s="58">
        <v>39112.360714285707</v>
      </c>
      <c r="J67" s="58">
        <v>78224.721428571414</v>
      </c>
      <c r="K67" s="58">
        <v>0</v>
      </c>
      <c r="M67" s="93">
        <v>0</v>
      </c>
      <c r="N67" s="126">
        <f>'Проект ТС-6 усл.свод'!N68</f>
        <v>0</v>
      </c>
      <c r="O67" s="126">
        <f>'Проект ТС-6 усл.свод'!O68</f>
        <v>0</v>
      </c>
      <c r="P67" s="92">
        <f t="shared" si="9"/>
        <v>0</v>
      </c>
      <c r="Q67" s="96" t="e">
        <f t="shared" si="10"/>
        <v>#DIV/0!</v>
      </c>
      <c r="R67" s="141" t="e">
        <f>Q67</f>
        <v>#DIV/0!</v>
      </c>
      <c r="V67" s="187">
        <v>0</v>
      </c>
      <c r="W67" s="126">
        <f>'Проект ТС-6 усл.свод'!AA68</f>
        <v>0</v>
      </c>
      <c r="X67" s="126">
        <f>'Проект ТС-6 усл.свод'!AB68</f>
        <v>0</v>
      </c>
      <c r="Y67" s="188"/>
      <c r="Z67" s="96" t="e">
        <f t="shared" si="49"/>
        <v>#DIV/0!</v>
      </c>
      <c r="AA67" s="141" t="e">
        <f t="shared" si="69"/>
        <v>#DIV/0!</v>
      </c>
      <c r="AC67" s="269"/>
      <c r="AD67" s="275"/>
      <c r="AF67" s="187">
        <v>0</v>
      </c>
      <c r="AG67" s="126">
        <f>'Проект ТС-6 усл.свод'!AK68</f>
        <v>0</v>
      </c>
      <c r="AH67" s="126">
        <f>'Проект ТС-6 усл.свод'!AL68</f>
        <v>0</v>
      </c>
      <c r="AI67" s="188"/>
      <c r="AJ67" s="96" t="e">
        <f t="shared" si="50"/>
        <v>#DIV/0!</v>
      </c>
      <c r="AK67" s="141" t="e">
        <f t="shared" si="70"/>
        <v>#DIV/0!</v>
      </c>
    </row>
    <row r="68" spans="1:37" s="4" customFormat="1" ht="39" customHeight="1" collapsed="1">
      <c r="A68" s="16" t="s">
        <v>41</v>
      </c>
      <c r="B68" s="12" t="s">
        <v>108</v>
      </c>
      <c r="C68" s="260" t="s">
        <v>9</v>
      </c>
      <c r="D68" s="25">
        <f t="shared" si="48"/>
        <v>24630.262846479996</v>
      </c>
      <c r="E68" s="74">
        <f t="shared" si="6"/>
        <v>5491.3774383405689</v>
      </c>
      <c r="F68" s="33">
        <f t="shared" ref="F68:K68" si="71">F69</f>
        <v>2308.298465229499</v>
      </c>
      <c r="G68" s="33">
        <f t="shared" si="71"/>
        <v>3183.0789731110704</v>
      </c>
      <c r="H68" s="33">
        <f t="shared" si="71"/>
        <v>7255.1623291543983</v>
      </c>
      <c r="I68" s="33">
        <f>I69</f>
        <v>3590.9595165009973</v>
      </c>
      <c r="J68" s="33">
        <f t="shared" si="71"/>
        <v>6651.036665639037</v>
      </c>
      <c r="K68" s="33">
        <f t="shared" si="71"/>
        <v>1641.7268968449932</v>
      </c>
      <c r="M68" s="92">
        <f>M69</f>
        <v>4721.0045655555605</v>
      </c>
      <c r="N68" s="126">
        <f>'Проект ТС-6 усл.свод'!N69</f>
        <v>1799.4257507991438</v>
      </c>
      <c r="O68" s="126">
        <f>'Проект ТС-6 усл.свод'!O69</f>
        <v>2921.5788147564167</v>
      </c>
      <c r="P68" s="92">
        <f t="shared" si="9"/>
        <v>770.37287278500844</v>
      </c>
      <c r="Q68" s="96">
        <f t="shared" si="10"/>
        <v>0.14028772952416224</v>
      </c>
      <c r="R68" s="141"/>
      <c r="V68" s="118">
        <f>V69</f>
        <v>5491.3774383405689</v>
      </c>
      <c r="W68" s="125">
        <f t="shared" ref="W68:X68" si="72">W69</f>
        <v>2308.298465229499</v>
      </c>
      <c r="X68" s="125">
        <f t="shared" si="72"/>
        <v>3183.0789731110704</v>
      </c>
      <c r="Y68" s="188"/>
      <c r="Z68" s="96">
        <f t="shared" ref="Z68:Z91" si="73">100%-(V68/E68)</f>
        <v>0</v>
      </c>
      <c r="AA68" s="141"/>
      <c r="AC68" s="269"/>
      <c r="AD68" s="275"/>
      <c r="AF68" s="118">
        <f>AF69</f>
        <v>5491.3774383405689</v>
      </c>
      <c r="AG68" s="125">
        <f t="shared" ref="AG68:AH68" si="74">AG69</f>
        <v>2308.298465229499</v>
      </c>
      <c r="AH68" s="125">
        <f t="shared" si="74"/>
        <v>3183.0789731110704</v>
      </c>
      <c r="AI68" s="188"/>
      <c r="AJ68" s="96">
        <f t="shared" ref="AJ68:AJ91" si="75">100%-(AF68/O68)</f>
        <v>-0.87959243495486739</v>
      </c>
      <c r="AK68" s="141"/>
    </row>
    <row r="69" spans="1:37" s="4" customFormat="1" ht="16.5" customHeight="1" outlineLevel="1">
      <c r="A69" s="211"/>
      <c r="B69" s="18" t="s">
        <v>168</v>
      </c>
      <c r="C69" s="260" t="s">
        <v>9</v>
      </c>
      <c r="D69" s="28">
        <f t="shared" si="48"/>
        <v>24630.262846479996</v>
      </c>
      <c r="E69" s="76">
        <f t="shared" si="6"/>
        <v>5491.3774383405689</v>
      </c>
      <c r="F69" s="29">
        <v>2308.298465229499</v>
      </c>
      <c r="G69" s="29">
        <v>3183.0789731110704</v>
      </c>
      <c r="H69" s="29">
        <v>7255.1623291543983</v>
      </c>
      <c r="I69" s="66">
        <v>3590.9595165009973</v>
      </c>
      <c r="J69" s="30">
        <v>6651.036665639037</v>
      </c>
      <c r="K69" s="30">
        <v>1641.7268968449932</v>
      </c>
      <c r="M69" s="93">
        <f>N69+O69</f>
        <v>4721.0045655555605</v>
      </c>
      <c r="N69" s="126">
        <f>'Проект ТС-6 усл.свод'!N70</f>
        <v>1799.4257507991438</v>
      </c>
      <c r="O69" s="126">
        <f>'Проект ТС-6 усл.свод'!O70</f>
        <v>2921.5788147564167</v>
      </c>
      <c r="P69" s="92">
        <f t="shared" si="9"/>
        <v>770.37287278500844</v>
      </c>
      <c r="Q69" s="96">
        <f t="shared" si="10"/>
        <v>0.14028772952416224</v>
      </c>
      <c r="R69" s="141"/>
      <c r="V69" s="187">
        <f>W69+X69</f>
        <v>5491.3774383405689</v>
      </c>
      <c r="W69" s="126">
        <v>2308.298465229499</v>
      </c>
      <c r="X69" s="126">
        <v>3183.0789731110704</v>
      </c>
      <c r="Y69" s="188"/>
      <c r="Z69" s="96">
        <f t="shared" si="73"/>
        <v>0</v>
      </c>
      <c r="AA69" s="141"/>
      <c r="AC69" s="269" t="s">
        <v>206</v>
      </c>
      <c r="AD69" s="278" t="s">
        <v>231</v>
      </c>
      <c r="AF69" s="187">
        <f>AG69+AH69</f>
        <v>5491.3774383405689</v>
      </c>
      <c r="AG69" s="126">
        <v>2308.298465229499</v>
      </c>
      <c r="AH69" s="126">
        <v>3183.0789731110704</v>
      </c>
      <c r="AI69" s="188"/>
      <c r="AJ69" s="96">
        <f t="shared" si="75"/>
        <v>-0.87959243495486739</v>
      </c>
      <c r="AK69" s="141"/>
    </row>
    <row r="70" spans="1:37" s="4" customFormat="1" ht="16.5" customHeight="1" outlineLevel="1">
      <c r="A70" s="259" t="s">
        <v>43</v>
      </c>
      <c r="B70" s="65" t="s">
        <v>160</v>
      </c>
      <c r="C70" s="261"/>
      <c r="D70" s="25">
        <f t="shared" si="48"/>
        <v>5755.7888171200002</v>
      </c>
      <c r="E70" s="74">
        <f t="shared" si="6"/>
        <v>1356.7431421639915</v>
      </c>
      <c r="F70" s="58">
        <f>SUM(F71:F74)</f>
        <v>567.51610114249934</v>
      </c>
      <c r="G70" s="58">
        <f t="shared" ref="G70:K70" si="76">SUM(G71:G74)</f>
        <v>789.22704102149214</v>
      </c>
      <c r="H70" s="58">
        <f t="shared" si="76"/>
        <v>1635.2583214322565</v>
      </c>
      <c r="I70" s="58">
        <f t="shared" si="76"/>
        <v>822.11961822090677</v>
      </c>
      <c r="J70" s="58">
        <f t="shared" si="76"/>
        <v>1499.0929989163894</v>
      </c>
      <c r="K70" s="58">
        <f t="shared" si="76"/>
        <v>442.57473638645547</v>
      </c>
      <c r="M70" s="92">
        <f>SUM(M71:M74)</f>
        <v>1183.1069650980285</v>
      </c>
      <c r="N70" s="126">
        <f>'Проект ТС-6 усл.свод'!N71</f>
        <v>452.82006774319626</v>
      </c>
      <c r="O70" s="126">
        <f>'Проект ТС-6 усл.свод'!O71</f>
        <v>730.28689735483226</v>
      </c>
      <c r="P70" s="92">
        <f t="shared" si="9"/>
        <v>173.63617706596301</v>
      </c>
      <c r="Q70" s="96">
        <f t="shared" si="10"/>
        <v>0.12798013984357792</v>
      </c>
      <c r="R70" s="141"/>
      <c r="V70" s="118">
        <f>SUM(V71:V74)</f>
        <v>1356.7431421639915</v>
      </c>
      <c r="W70" s="127">
        <f t="shared" ref="W70:X70" si="77">SUM(W71:W74)</f>
        <v>567.51610114249934</v>
      </c>
      <c r="X70" s="127">
        <f t="shared" si="77"/>
        <v>789.22704102149214</v>
      </c>
      <c r="Y70" s="188"/>
      <c r="Z70" s="96">
        <f t="shared" si="73"/>
        <v>0</v>
      </c>
      <c r="AA70" s="141"/>
      <c r="AC70" s="269"/>
      <c r="AD70" s="275"/>
      <c r="AF70" s="118">
        <f>SUM(AF71:AF74)</f>
        <v>1356.7431421639915</v>
      </c>
      <c r="AG70" s="127">
        <f t="shared" ref="AG70:AH70" si="78">SUM(AG71:AG74)</f>
        <v>567.51610114249934</v>
      </c>
      <c r="AH70" s="127">
        <f t="shared" si="78"/>
        <v>789.22704102149214</v>
      </c>
      <c r="AI70" s="188"/>
      <c r="AJ70" s="96">
        <f t="shared" si="75"/>
        <v>-0.85782210673400083</v>
      </c>
      <c r="AK70" s="141"/>
    </row>
    <row r="71" spans="1:37" s="4" customFormat="1" ht="57" customHeight="1" outlineLevel="1">
      <c r="A71" s="259"/>
      <c r="B71" s="56" t="s">
        <v>90</v>
      </c>
      <c r="C71" s="261"/>
      <c r="D71" s="25">
        <f t="shared" si="48"/>
        <v>228.50450973599993</v>
      </c>
      <c r="E71" s="76">
        <f t="shared" si="6"/>
        <v>88.62683963672572</v>
      </c>
      <c r="F71" s="58">
        <v>36.081415530352459</v>
      </c>
      <c r="G71" s="58">
        <v>52.545424106373261</v>
      </c>
      <c r="H71" s="58">
        <v>50.994118711623408</v>
      </c>
      <c r="I71" s="66">
        <v>30.596479318510326</v>
      </c>
      <c r="J71" s="64">
        <v>46.747920707445708</v>
      </c>
      <c r="K71" s="64">
        <v>11.539151361694788</v>
      </c>
      <c r="M71" s="93">
        <f>N71+O71</f>
        <v>83.212145389410139</v>
      </c>
      <c r="N71" s="126">
        <f>'Проект ТС-6 усл.свод'!N72</f>
        <v>32.504718768587239</v>
      </c>
      <c r="O71" s="126">
        <f>'Проект ТС-6 усл.свод'!O72</f>
        <v>50.707426620822901</v>
      </c>
      <c r="P71" s="92">
        <f t="shared" si="9"/>
        <v>5.4146942473155804</v>
      </c>
      <c r="Q71" s="96">
        <f t="shared" si="10"/>
        <v>6.109542289344827E-2</v>
      </c>
      <c r="R71" s="141"/>
      <c r="V71" s="187">
        <f>W71+X71</f>
        <v>88.62683963672572</v>
      </c>
      <c r="W71" s="126">
        <v>36.081415530352459</v>
      </c>
      <c r="X71" s="126">
        <v>52.545424106373261</v>
      </c>
      <c r="Y71" s="188"/>
      <c r="Z71" s="96">
        <f t="shared" si="73"/>
        <v>0</v>
      </c>
      <c r="AA71" s="141"/>
      <c r="AC71" s="269" t="s">
        <v>207</v>
      </c>
      <c r="AD71" s="278" t="s">
        <v>232</v>
      </c>
      <c r="AF71" s="187">
        <f>AG71+AH71</f>
        <v>88.62683963672572</v>
      </c>
      <c r="AG71" s="126">
        <v>36.081415530352459</v>
      </c>
      <c r="AH71" s="126">
        <v>52.545424106373261</v>
      </c>
      <c r="AI71" s="188"/>
      <c r="AJ71" s="96">
        <f t="shared" si="75"/>
        <v>-0.74780787633839996</v>
      </c>
      <c r="AK71" s="141"/>
    </row>
    <row r="72" spans="1:37" s="4" customFormat="1" ht="57.75" customHeight="1" outlineLevel="1">
      <c r="A72" s="259"/>
      <c r="B72" s="56" t="s">
        <v>105</v>
      </c>
      <c r="C72" s="261"/>
      <c r="D72" s="25">
        <f t="shared" si="48"/>
        <v>148.92859858399999</v>
      </c>
      <c r="E72" s="76">
        <f t="shared" ref="E72:E135" si="79">F72+G72</f>
        <v>68.998721900414452</v>
      </c>
      <c r="F72" s="58">
        <v>27.386056270961983</v>
      </c>
      <c r="G72" s="58">
        <v>41.612665629452472</v>
      </c>
      <c r="H72" s="58">
        <v>0</v>
      </c>
      <c r="I72" s="66">
        <v>7.3878766835855387</v>
      </c>
      <c r="J72" s="64">
        <v>0</v>
      </c>
      <c r="K72" s="64">
        <v>72.542000000000002</v>
      </c>
      <c r="M72" s="93">
        <f>N72+O72</f>
        <v>68.998721900414452</v>
      </c>
      <c r="N72" s="126">
        <f>'Проект ТС-6 усл.свод'!N73</f>
        <v>27.386056270961983</v>
      </c>
      <c r="O72" s="126">
        <f>'Проект ТС-6 усл.свод'!O73</f>
        <v>41.612665629452472</v>
      </c>
      <c r="P72" s="92">
        <f t="shared" ref="P72:P135" si="80">E72-M72</f>
        <v>0</v>
      </c>
      <c r="Q72" s="96">
        <f t="shared" ref="Q72:Q132" si="81">100%-(M72/E72)</f>
        <v>0</v>
      </c>
      <c r="R72" s="141"/>
      <c r="V72" s="187">
        <f>W72+X72</f>
        <v>68.998721900414452</v>
      </c>
      <c r="W72" s="126">
        <v>27.386056270961983</v>
      </c>
      <c r="X72" s="126">
        <v>41.612665629452472</v>
      </c>
      <c r="Y72" s="188"/>
      <c r="Z72" s="96">
        <f t="shared" si="73"/>
        <v>0</v>
      </c>
      <c r="AA72" s="141"/>
      <c r="AC72" s="269" t="s">
        <v>207</v>
      </c>
      <c r="AD72" s="278" t="s">
        <v>232</v>
      </c>
      <c r="AF72" s="187">
        <f>AG72+AH72</f>
        <v>68.998721900414452</v>
      </c>
      <c r="AG72" s="126">
        <v>27.386056270961983</v>
      </c>
      <c r="AH72" s="126">
        <v>41.612665629452472</v>
      </c>
      <c r="AI72" s="188"/>
      <c r="AJ72" s="96">
        <f t="shared" si="75"/>
        <v>-0.65811828818720919</v>
      </c>
      <c r="AK72" s="141"/>
    </row>
    <row r="73" spans="1:37" s="4" customFormat="1" ht="16.5" customHeight="1" outlineLevel="1">
      <c r="A73" s="259"/>
      <c r="B73" s="56" t="s">
        <v>91</v>
      </c>
      <c r="C73" s="261"/>
      <c r="D73" s="25">
        <f t="shared" si="48"/>
        <v>4257.4697087999994</v>
      </c>
      <c r="E73" s="76">
        <f t="shared" si="79"/>
        <v>949.21330109410292</v>
      </c>
      <c r="F73" s="58">
        <v>399.00145832136781</v>
      </c>
      <c r="G73" s="58">
        <v>550.21184277273505</v>
      </c>
      <c r="H73" s="58">
        <v>1254.0927411668331</v>
      </c>
      <c r="I73" s="66">
        <v>620.71612724242664</v>
      </c>
      <c r="J73" s="64">
        <v>1149.6664616440821</v>
      </c>
      <c r="K73" s="64">
        <v>283.7810776525551</v>
      </c>
      <c r="M73" s="93">
        <f>N73+O73</f>
        <v>816.05032224947627</v>
      </c>
      <c r="N73" s="126">
        <f>'Проект ТС-6 усл.свод'!N74</f>
        <v>311.04014906430098</v>
      </c>
      <c r="O73" s="126">
        <f>'Проект ТС-6 усл.свод'!O74</f>
        <v>505.01017318517529</v>
      </c>
      <c r="P73" s="92">
        <f t="shared" si="80"/>
        <v>133.16297884462665</v>
      </c>
      <c r="Q73" s="96">
        <f t="shared" si="81"/>
        <v>0.14028772952416224</v>
      </c>
      <c r="R73" s="141"/>
      <c r="V73" s="187">
        <f>W73+X73</f>
        <v>949.21330109410292</v>
      </c>
      <c r="W73" s="126">
        <v>399.00145832136781</v>
      </c>
      <c r="X73" s="126">
        <v>550.21184277273505</v>
      </c>
      <c r="Y73" s="188"/>
      <c r="Z73" s="96">
        <f t="shared" si="73"/>
        <v>0</v>
      </c>
      <c r="AA73" s="141"/>
      <c r="AC73" s="269" t="s">
        <v>206</v>
      </c>
      <c r="AD73" s="278" t="s">
        <v>233</v>
      </c>
      <c r="AF73" s="187">
        <f>AG73+AH73</f>
        <v>949.21330109410292</v>
      </c>
      <c r="AG73" s="126">
        <v>399.00145832136781</v>
      </c>
      <c r="AH73" s="126">
        <v>550.21184277273505</v>
      </c>
      <c r="AI73" s="188"/>
      <c r="AJ73" s="96">
        <f t="shared" si="75"/>
        <v>-0.87959243495486739</v>
      </c>
      <c r="AK73" s="141"/>
    </row>
    <row r="74" spans="1:37" s="4" customFormat="1" ht="16.5" customHeight="1" outlineLevel="1">
      <c r="A74" s="259"/>
      <c r="B74" s="56" t="s">
        <v>129</v>
      </c>
      <c r="C74" s="261"/>
      <c r="D74" s="25">
        <f t="shared" si="48"/>
        <v>1120.886</v>
      </c>
      <c r="E74" s="76">
        <f t="shared" si="79"/>
        <v>249.90427953274849</v>
      </c>
      <c r="F74" s="58">
        <v>105.04717101981713</v>
      </c>
      <c r="G74" s="58">
        <v>144.85710851293135</v>
      </c>
      <c r="H74" s="58">
        <v>330.17146155379993</v>
      </c>
      <c r="I74" s="66">
        <v>163.41913497638427</v>
      </c>
      <c r="J74" s="64">
        <v>302.67861656486167</v>
      </c>
      <c r="K74" s="64">
        <v>74.71250737220555</v>
      </c>
      <c r="M74" s="93">
        <f>N74+O74</f>
        <v>214.84577555872767</v>
      </c>
      <c r="N74" s="126">
        <f>'Проект ТС-6 усл.свод'!N75</f>
        <v>81.889143639346059</v>
      </c>
      <c r="O74" s="126">
        <f>'Проект ТС-6 усл.свод'!O75</f>
        <v>132.95663191938161</v>
      </c>
      <c r="P74" s="92">
        <f t="shared" si="80"/>
        <v>35.058503974020823</v>
      </c>
      <c r="Q74" s="96">
        <f t="shared" si="81"/>
        <v>0.14028772952416213</v>
      </c>
      <c r="R74" s="141"/>
      <c r="V74" s="187">
        <f>W74+X74</f>
        <v>249.90427953274849</v>
      </c>
      <c r="W74" s="126">
        <v>105.04717101981713</v>
      </c>
      <c r="X74" s="126">
        <v>144.85710851293135</v>
      </c>
      <c r="Y74" s="188"/>
      <c r="Z74" s="96">
        <f t="shared" si="73"/>
        <v>0</v>
      </c>
      <c r="AA74" s="141"/>
      <c r="AC74" s="269" t="s">
        <v>206</v>
      </c>
      <c r="AD74" s="275"/>
      <c r="AF74" s="187">
        <f>AG74+AH74</f>
        <v>249.90427953274849</v>
      </c>
      <c r="AG74" s="126">
        <v>105.04717101981713</v>
      </c>
      <c r="AH74" s="126">
        <v>144.85710851293135</v>
      </c>
      <c r="AI74" s="188"/>
      <c r="AJ74" s="96">
        <f t="shared" si="75"/>
        <v>-0.87959243495486716</v>
      </c>
      <c r="AK74" s="141"/>
    </row>
    <row r="75" spans="1:37" s="4" customFormat="1" ht="19.5" customHeight="1">
      <c r="A75" s="211" t="s">
        <v>159</v>
      </c>
      <c r="B75" s="12" t="s">
        <v>44</v>
      </c>
      <c r="C75" s="260" t="s">
        <v>9</v>
      </c>
      <c r="D75" s="25">
        <f t="shared" ref="D75:K75" si="82">SUM(D76:D89)</f>
        <v>42918.220302243899</v>
      </c>
      <c r="E75" s="74">
        <f t="shared" si="79"/>
        <v>9584.6333426833207</v>
      </c>
      <c r="F75" s="25">
        <f t="shared" si="82"/>
        <v>4028.4018268738014</v>
      </c>
      <c r="G75" s="25">
        <f t="shared" si="82"/>
        <v>5556.2315158095189</v>
      </c>
      <c r="H75" s="25">
        <f t="shared" si="82"/>
        <v>12635.227630054374</v>
      </c>
      <c r="I75" s="25">
        <f t="shared" si="82"/>
        <v>6256.0973179243392</v>
      </c>
      <c r="J75" s="25">
        <f t="shared" si="82"/>
        <v>11583.112607761841</v>
      </c>
      <c r="K75" s="25">
        <f t="shared" si="82"/>
        <v>2859.1494038200231</v>
      </c>
      <c r="L75" s="15"/>
      <c r="M75" s="92">
        <f>SUM(M76:M89)</f>
        <v>7940.8354404402098</v>
      </c>
      <c r="N75" s="118">
        <f>SUM(N76:N89)</f>
        <v>3027.0072215393811</v>
      </c>
      <c r="O75" s="118">
        <f>SUM(O76:O89)</f>
        <v>4913.8282189008278</v>
      </c>
      <c r="P75" s="92">
        <f t="shared" si="80"/>
        <v>1643.7979022431109</v>
      </c>
      <c r="Q75" s="96">
        <f t="shared" si="81"/>
        <v>0.17150347263914345</v>
      </c>
      <c r="R75" s="141">
        <f>Q75</f>
        <v>0.17150347263914345</v>
      </c>
      <c r="S75" s="15"/>
      <c r="T75" s="15"/>
      <c r="U75" s="15"/>
      <c r="V75" s="118">
        <f>SUM(V76:V89)</f>
        <v>8959.2668355415681</v>
      </c>
      <c r="W75" s="118">
        <f>SUM(W76:W89)</f>
        <v>3699.7359309665021</v>
      </c>
      <c r="X75" s="118">
        <f>SUM(X76:X89)</f>
        <v>5259.5309045750664</v>
      </c>
      <c r="Y75" s="188"/>
      <c r="Z75" s="96">
        <f t="shared" si="73"/>
        <v>6.5246784596005747E-2</v>
      </c>
      <c r="AA75" s="141">
        <f t="shared" ref="AA75" si="83">Z75</f>
        <v>6.5246784596005747E-2</v>
      </c>
      <c r="AB75" s="15"/>
      <c r="AC75" s="273"/>
      <c r="AD75" s="279"/>
      <c r="AE75" s="15"/>
      <c r="AF75" s="118">
        <f>SUM(AF76:AF89)</f>
        <v>7694.1150838805179</v>
      </c>
      <c r="AG75" s="118">
        <f>SUM(AG76:AG89)</f>
        <v>4098.7170904242585</v>
      </c>
      <c r="AH75" s="118">
        <f>SUM(AH76:AH89)</f>
        <v>3595.3979934562594</v>
      </c>
      <c r="AI75" s="188"/>
      <c r="AJ75" s="96">
        <f t="shared" si="75"/>
        <v>-0.56580872206428312</v>
      </c>
      <c r="AK75" s="141">
        <f t="shared" ref="AK75" si="84">AJ75</f>
        <v>-0.56580872206428312</v>
      </c>
    </row>
    <row r="76" spans="1:37" s="4" customFormat="1" ht="39.75" customHeight="1">
      <c r="A76" s="211"/>
      <c r="B76" s="138" t="s">
        <v>182</v>
      </c>
      <c r="C76" s="260" t="s">
        <v>9</v>
      </c>
      <c r="D76" s="28">
        <f t="shared" si="48"/>
        <v>1946.9999999999998</v>
      </c>
      <c r="E76" s="76">
        <f t="shared" si="79"/>
        <v>434.08841956297192</v>
      </c>
      <c r="F76" s="28">
        <v>182.46890582591269</v>
      </c>
      <c r="G76" s="28">
        <v>251.61951373705924</v>
      </c>
      <c r="H76" s="49">
        <v>573.51401984256063</v>
      </c>
      <c r="I76" s="50">
        <v>283.86210176505028</v>
      </c>
      <c r="J76" s="50">
        <v>525.75843257189911</v>
      </c>
      <c r="K76" s="50">
        <v>129.77702625751789</v>
      </c>
      <c r="M76" s="93">
        <f t="shared" ref="M76:M82" si="85">N76+O76</f>
        <v>373.19114076975075</v>
      </c>
      <c r="N76" s="120">
        <f>'Проект ТС-6 усл.свод'!N77</f>
        <v>142.24297802435467</v>
      </c>
      <c r="O76" s="120">
        <f>'Проект ТС-6 усл.свод'!O77</f>
        <v>230.94816274539605</v>
      </c>
      <c r="P76" s="92">
        <f t="shared" si="80"/>
        <v>60.897278793221176</v>
      </c>
      <c r="Q76" s="96">
        <f t="shared" si="81"/>
        <v>0.14028772952416202</v>
      </c>
      <c r="R76" s="141"/>
      <c r="V76" s="187">
        <f t="shared" ref="V76:V82" si="86">W76+X76</f>
        <v>434.08841956297192</v>
      </c>
      <c r="W76" s="120">
        <v>182.46890582591269</v>
      </c>
      <c r="X76" s="120">
        <v>251.61951373705924</v>
      </c>
      <c r="Y76" s="188"/>
      <c r="Z76" s="96">
        <f t="shared" si="73"/>
        <v>0</v>
      </c>
      <c r="AA76" s="141"/>
      <c r="AC76" s="269" t="s">
        <v>206</v>
      </c>
      <c r="AD76" s="281" t="s">
        <v>234</v>
      </c>
      <c r="AF76" s="187">
        <f t="shared" ref="AF76:AF82" si="87">AG76+AH76</f>
        <v>434.08841956297192</v>
      </c>
      <c r="AG76" s="120">
        <v>182.46890582591269</v>
      </c>
      <c r="AH76" s="120">
        <v>251.61951373705924</v>
      </c>
      <c r="AI76" s="188"/>
      <c r="AJ76" s="96">
        <f t="shared" si="75"/>
        <v>-0.87959243495486739</v>
      </c>
      <c r="AK76" s="141"/>
    </row>
    <row r="77" spans="1:37" s="4" customFormat="1" ht="38.25" customHeight="1">
      <c r="A77" s="211"/>
      <c r="B77" s="18" t="s">
        <v>104</v>
      </c>
      <c r="C77" s="260" t="s">
        <v>9</v>
      </c>
      <c r="D77" s="28">
        <f t="shared" si="48"/>
        <v>1455</v>
      </c>
      <c r="E77" s="76">
        <f t="shared" si="79"/>
        <v>324.39581431131182</v>
      </c>
      <c r="F77" s="49">
        <v>136.35965997776216</v>
      </c>
      <c r="G77" s="49">
        <v>188.03615433354966</v>
      </c>
      <c r="H77" s="49">
        <v>428.58905951254536</v>
      </c>
      <c r="I77" s="50">
        <v>212.13115463181722</v>
      </c>
      <c r="J77" s="50">
        <v>392.90113990349931</v>
      </c>
      <c r="K77" s="50">
        <v>96.982831640826163</v>
      </c>
      <c r="M77" s="93">
        <f t="shared" si="85"/>
        <v>278.88706205443617</v>
      </c>
      <c r="N77" s="120">
        <f>'Проект ТС-6 усл.свод'!N78</f>
        <v>106.29868157444068</v>
      </c>
      <c r="O77" s="120">
        <f>'Проект ТС-6 усл.свод'!O78</f>
        <v>172.58838047999549</v>
      </c>
      <c r="P77" s="92">
        <f t="shared" si="80"/>
        <v>45.508752256875653</v>
      </c>
      <c r="Q77" s="96">
        <f t="shared" si="81"/>
        <v>0.14028772952416213</v>
      </c>
      <c r="R77" s="141"/>
      <c r="V77" s="187">
        <f t="shared" si="86"/>
        <v>324.39581431131182</v>
      </c>
      <c r="W77" s="120">
        <v>136.35965997776216</v>
      </c>
      <c r="X77" s="120">
        <v>188.03615433354966</v>
      </c>
      <c r="Y77" s="188"/>
      <c r="Z77" s="96">
        <f t="shared" si="73"/>
        <v>0</v>
      </c>
      <c r="AA77" s="141"/>
      <c r="AC77" s="269" t="s">
        <v>206</v>
      </c>
      <c r="AD77" s="281" t="s">
        <v>235</v>
      </c>
      <c r="AF77" s="187">
        <f t="shared" si="87"/>
        <v>324.39581431131182</v>
      </c>
      <c r="AG77" s="120">
        <v>136.35965997776216</v>
      </c>
      <c r="AH77" s="120">
        <v>188.03615433354966</v>
      </c>
      <c r="AI77" s="188"/>
      <c r="AJ77" s="96">
        <f t="shared" si="75"/>
        <v>-0.87959243495486739</v>
      </c>
      <c r="AK77" s="141"/>
    </row>
    <row r="78" spans="1:37" s="4" customFormat="1" ht="16.5" customHeight="1">
      <c r="A78" s="211"/>
      <c r="B78" s="18" t="s">
        <v>117</v>
      </c>
      <c r="C78" s="260" t="s">
        <v>9</v>
      </c>
      <c r="D78" s="28">
        <f t="shared" si="48"/>
        <v>1079.6035714285713</v>
      </c>
      <c r="E78" s="76">
        <f t="shared" si="79"/>
        <v>240.70026095324531</v>
      </c>
      <c r="F78" s="49">
        <v>101.17826523077503</v>
      </c>
      <c r="G78" s="49">
        <v>139.52199572247028</v>
      </c>
      <c r="H78" s="49">
        <v>318.01118853948901</v>
      </c>
      <c r="I78" s="50">
        <v>157.40037948575699</v>
      </c>
      <c r="J78" s="50">
        <v>291.53090986816125</v>
      </c>
      <c r="K78" s="50">
        <v>71.960832581918751</v>
      </c>
      <c r="M78" s="93">
        <f t="shared" si="85"/>
        <v>206.93296784824116</v>
      </c>
      <c r="N78" s="120">
        <f>'Проект ТС-6 усл.свод'!N79</f>
        <v>78.873152072793559</v>
      </c>
      <c r="O78" s="120">
        <f>'Проект ТС-6 усл.свод'!O79</f>
        <v>128.05981577544759</v>
      </c>
      <c r="P78" s="92">
        <f t="shared" si="80"/>
        <v>33.767293105004143</v>
      </c>
      <c r="Q78" s="96">
        <f t="shared" si="81"/>
        <v>0.14028772952416224</v>
      </c>
      <c r="R78" s="141"/>
      <c r="V78" s="187">
        <f t="shared" si="86"/>
        <v>240.70026095324531</v>
      </c>
      <c r="W78" s="120">
        <v>101.17826523077503</v>
      </c>
      <c r="X78" s="120">
        <v>139.52199572247028</v>
      </c>
      <c r="Y78" s="188"/>
      <c r="Z78" s="96">
        <f t="shared" si="73"/>
        <v>0</v>
      </c>
      <c r="AA78" s="141"/>
      <c r="AC78" s="269" t="s">
        <v>206</v>
      </c>
      <c r="AD78" s="281" t="s">
        <v>236</v>
      </c>
      <c r="AF78" s="187">
        <f t="shared" si="87"/>
        <v>240.70026095324531</v>
      </c>
      <c r="AG78" s="120">
        <v>101.17826523077503</v>
      </c>
      <c r="AH78" s="120">
        <v>139.52199572247028</v>
      </c>
      <c r="AI78" s="188"/>
      <c r="AJ78" s="96">
        <f t="shared" si="75"/>
        <v>-0.87959243495486761</v>
      </c>
      <c r="AK78" s="141"/>
    </row>
    <row r="79" spans="1:37" s="4" customFormat="1" ht="16.5" customHeight="1">
      <c r="A79" s="211"/>
      <c r="B79" s="18" t="s">
        <v>155</v>
      </c>
      <c r="C79" s="260" t="s">
        <v>9</v>
      </c>
      <c r="D79" s="28">
        <f t="shared" si="48"/>
        <v>319.07734806629833</v>
      </c>
      <c r="E79" s="76">
        <f t="shared" si="79"/>
        <v>71.139076394680913</v>
      </c>
      <c r="F79" s="49">
        <v>29.903284322286265</v>
      </c>
      <c r="G79" s="49">
        <v>41.235792072394652</v>
      </c>
      <c r="H79" s="49">
        <v>93.988357745355245</v>
      </c>
      <c r="I79" s="50">
        <v>46.519756881211066</v>
      </c>
      <c r="J79" s="50">
        <v>86.162098812807031</v>
      </c>
      <c r="K79" s="50">
        <v>21.268058232244059</v>
      </c>
      <c r="M79" s="93">
        <f t="shared" si="85"/>
        <v>61.159136886825216</v>
      </c>
      <c r="N79" s="120">
        <f>'Проект ТС-6 усл.свод'!N80</f>
        <v>23.310997539324006</v>
      </c>
      <c r="O79" s="120">
        <f>'Проект ТС-6 усл.свод'!O80</f>
        <v>37.84813934750121</v>
      </c>
      <c r="P79" s="92">
        <f t="shared" si="80"/>
        <v>9.9799395078556969</v>
      </c>
      <c r="Q79" s="96">
        <f t="shared" si="81"/>
        <v>0.14028772952416202</v>
      </c>
      <c r="R79" s="141"/>
      <c r="V79" s="187">
        <f t="shared" si="86"/>
        <v>71.139076394680913</v>
      </c>
      <c r="W79" s="120">
        <v>29.903284322286265</v>
      </c>
      <c r="X79" s="120">
        <v>41.235792072394652</v>
      </c>
      <c r="Y79" s="188"/>
      <c r="Z79" s="96">
        <f t="shared" si="73"/>
        <v>0</v>
      </c>
      <c r="AA79" s="141"/>
      <c r="AC79" s="269" t="s">
        <v>206</v>
      </c>
      <c r="AD79" s="275"/>
      <c r="AF79" s="187">
        <f t="shared" si="87"/>
        <v>71.139076394680913</v>
      </c>
      <c r="AG79" s="120">
        <v>29.903284322286265</v>
      </c>
      <c r="AH79" s="120">
        <v>41.235792072394652</v>
      </c>
      <c r="AI79" s="188"/>
      <c r="AJ79" s="96">
        <f t="shared" si="75"/>
        <v>-0.87959243495486716</v>
      </c>
      <c r="AK79" s="141"/>
    </row>
    <row r="80" spans="1:37" s="4" customFormat="1" ht="37.5" customHeight="1">
      <c r="A80" s="211"/>
      <c r="B80" s="18" t="s">
        <v>156</v>
      </c>
      <c r="C80" s="260" t="s">
        <v>9</v>
      </c>
      <c r="D80" s="28">
        <f t="shared" si="48"/>
        <v>53.805714285714274</v>
      </c>
      <c r="E80" s="76">
        <f t="shared" si="79"/>
        <v>27.907105406090263</v>
      </c>
      <c r="F80" s="49">
        <v>11.235504977027016</v>
      </c>
      <c r="G80" s="49">
        <v>16.671600429063247</v>
      </c>
      <c r="H80" s="49">
        <v>8.9601834503688043</v>
      </c>
      <c r="I80" s="50">
        <v>6.6967961645587692</v>
      </c>
      <c r="J80" s="50">
        <v>8.2140834285372719</v>
      </c>
      <c r="K80" s="50">
        <v>2.0275458361591667</v>
      </c>
      <c r="M80" s="93">
        <f t="shared" si="85"/>
        <v>26.955688752378286</v>
      </c>
      <c r="N80" s="120">
        <f>'Проект ТС-6 усл.свод'!N81</f>
        <v>10.6070431084537</v>
      </c>
      <c r="O80" s="120">
        <f>'Проект ТС-6 усл.свод'!O81</f>
        <v>16.348645643924584</v>
      </c>
      <c r="P80" s="92">
        <f t="shared" si="80"/>
        <v>0.95141665371197703</v>
      </c>
      <c r="Q80" s="96">
        <f t="shared" si="81"/>
        <v>3.4092272912845556E-2</v>
      </c>
      <c r="R80" s="141"/>
      <c r="V80" s="187">
        <f t="shared" si="86"/>
        <v>27.907105406090263</v>
      </c>
      <c r="W80" s="120">
        <v>11.235504977027016</v>
      </c>
      <c r="X80" s="120">
        <v>16.671600429063247</v>
      </c>
      <c r="Y80" s="188"/>
      <c r="Z80" s="96">
        <f t="shared" si="73"/>
        <v>0</v>
      </c>
      <c r="AA80" s="141"/>
      <c r="AC80" s="269" t="s">
        <v>207</v>
      </c>
      <c r="AD80" s="283" t="str">
        <f>AD48</f>
        <v xml:space="preserve">Техническое обслуживание проводится по пробегу или моточасам. </v>
      </c>
      <c r="AF80" s="187">
        <f t="shared" si="87"/>
        <v>27.907105406090263</v>
      </c>
      <c r="AG80" s="120">
        <v>11.235504977027016</v>
      </c>
      <c r="AH80" s="120">
        <v>16.671600429063247</v>
      </c>
      <c r="AI80" s="188"/>
      <c r="AJ80" s="96">
        <f t="shared" si="75"/>
        <v>-0.70699799933953456</v>
      </c>
      <c r="AK80" s="141"/>
    </row>
    <row r="81" spans="1:37" s="4" customFormat="1" ht="16.5" customHeight="1">
      <c r="A81" s="211"/>
      <c r="B81" s="18" t="s">
        <v>128</v>
      </c>
      <c r="C81" s="260" t="s">
        <v>9</v>
      </c>
      <c r="D81" s="28">
        <f t="shared" si="48"/>
        <v>3363.9782603333329</v>
      </c>
      <c r="E81" s="76">
        <f t="shared" si="79"/>
        <v>750.00719387380195</v>
      </c>
      <c r="F81" s="49">
        <v>315.26524519012867</v>
      </c>
      <c r="G81" s="49">
        <v>434.74194868367323</v>
      </c>
      <c r="H81" s="49">
        <v>990.90328441024849</v>
      </c>
      <c r="I81" s="50">
        <v>490.4498917669016</v>
      </c>
      <c r="J81" s="50">
        <v>908.3923663886992</v>
      </c>
      <c r="K81" s="50">
        <v>224.22552389368172</v>
      </c>
      <c r="M81" s="93">
        <f t="shared" si="85"/>
        <v>644.79038751845803</v>
      </c>
      <c r="N81" s="120">
        <f>'Проект ТС-6 усл.свод'!N82</f>
        <v>245.76388585464869</v>
      </c>
      <c r="O81" s="120">
        <f>'Проект ТС-6 усл.свод'!O82</f>
        <v>399.02650166380931</v>
      </c>
      <c r="P81" s="92">
        <f t="shared" si="80"/>
        <v>105.21680635534392</v>
      </c>
      <c r="Q81" s="96">
        <f t="shared" si="81"/>
        <v>0.14028772952416235</v>
      </c>
      <c r="R81" s="141"/>
      <c r="V81" s="187">
        <f t="shared" si="86"/>
        <v>750.00719387380195</v>
      </c>
      <c r="W81" s="120">
        <v>315.26524519012867</v>
      </c>
      <c r="X81" s="120">
        <v>434.74194868367323</v>
      </c>
      <c r="Y81" s="188"/>
      <c r="Z81" s="96">
        <f t="shared" si="73"/>
        <v>0</v>
      </c>
      <c r="AA81" s="141"/>
      <c r="AC81" s="269" t="s">
        <v>206</v>
      </c>
      <c r="AD81" s="278" t="s">
        <v>261</v>
      </c>
      <c r="AF81" s="187">
        <f t="shared" si="87"/>
        <v>750.00719387380195</v>
      </c>
      <c r="AG81" s="120">
        <v>315.26524519012867</v>
      </c>
      <c r="AH81" s="120">
        <v>434.74194868367323</v>
      </c>
      <c r="AI81" s="188"/>
      <c r="AJ81" s="96">
        <f t="shared" si="75"/>
        <v>-0.87959243495486783</v>
      </c>
      <c r="AK81" s="141"/>
    </row>
    <row r="82" spans="1:37" s="4" customFormat="1" ht="16.5" customHeight="1">
      <c r="A82" s="211"/>
      <c r="B82" s="18" t="s">
        <v>121</v>
      </c>
      <c r="C82" s="260" t="s">
        <v>9</v>
      </c>
      <c r="D82" s="28">
        <f t="shared" si="48"/>
        <v>5638.1570000000002</v>
      </c>
      <c r="E82" s="76">
        <f t="shared" si="79"/>
        <v>1257.0409149347238</v>
      </c>
      <c r="F82" s="34">
        <v>528.39668138916818</v>
      </c>
      <c r="G82" s="34">
        <v>728.64423354555561</v>
      </c>
      <c r="H82" s="34">
        <v>1660.792031624793</v>
      </c>
      <c r="I82" s="29">
        <v>822.01288962574756</v>
      </c>
      <c r="J82" s="30">
        <v>1522.5005582507863</v>
      </c>
      <c r="K82" s="30">
        <v>375.8106055639488</v>
      </c>
      <c r="M82" s="93">
        <f t="shared" si="85"/>
        <v>1080.693499059556</v>
      </c>
      <c r="N82" s="120">
        <f>'Проект ТС-6 усл.свод'!N83</f>
        <v>411.90972894137718</v>
      </c>
      <c r="O82" s="120">
        <f>'Проект ТС-6 усл.свод'!O83</f>
        <v>668.78377011817872</v>
      </c>
      <c r="P82" s="92">
        <f t="shared" si="80"/>
        <v>176.34741587516783</v>
      </c>
      <c r="Q82" s="96">
        <f t="shared" si="81"/>
        <v>0.14028772952416213</v>
      </c>
      <c r="R82" s="141"/>
      <c r="V82" s="187">
        <f t="shared" si="86"/>
        <v>1257.0409149347238</v>
      </c>
      <c r="W82" s="120">
        <v>528.39668138916818</v>
      </c>
      <c r="X82" s="120">
        <v>728.64423354555561</v>
      </c>
      <c r="Y82" s="188"/>
      <c r="Z82" s="96">
        <f t="shared" si="73"/>
        <v>0</v>
      </c>
      <c r="AA82" s="141"/>
      <c r="AC82" s="269" t="s">
        <v>206</v>
      </c>
      <c r="AD82" s="278" t="s">
        <v>244</v>
      </c>
      <c r="AF82" s="187">
        <f t="shared" si="87"/>
        <v>1257.0409149347238</v>
      </c>
      <c r="AG82" s="120">
        <v>528.39668138916818</v>
      </c>
      <c r="AH82" s="120">
        <v>728.64423354555561</v>
      </c>
      <c r="AI82" s="188"/>
      <c r="AJ82" s="96">
        <f t="shared" si="75"/>
        <v>-0.87959243495486739</v>
      </c>
      <c r="AK82" s="141"/>
    </row>
    <row r="83" spans="1:37" s="4" customFormat="1" ht="16.5" hidden="1" customHeight="1">
      <c r="A83" s="211"/>
      <c r="B83" s="18" t="s">
        <v>114</v>
      </c>
      <c r="C83" s="260" t="s">
        <v>9</v>
      </c>
      <c r="D83" s="28">
        <f t="shared" si="48"/>
        <v>0</v>
      </c>
      <c r="E83" s="76">
        <f t="shared" si="79"/>
        <v>0</v>
      </c>
      <c r="F83" s="34">
        <v>0</v>
      </c>
      <c r="G83" s="34">
        <v>0</v>
      </c>
      <c r="H83" s="34">
        <v>0</v>
      </c>
      <c r="I83" s="29">
        <v>0</v>
      </c>
      <c r="J83" s="30">
        <v>0</v>
      </c>
      <c r="K83" s="30">
        <v>0</v>
      </c>
      <c r="M83" s="93">
        <v>0</v>
      </c>
      <c r="N83" s="120">
        <f>'Проект ТС-6 усл.свод'!N84</f>
        <v>0</v>
      </c>
      <c r="O83" s="120">
        <f>'Проект ТС-6 усл.свод'!O84</f>
        <v>0</v>
      </c>
      <c r="P83" s="92">
        <f t="shared" si="80"/>
        <v>0</v>
      </c>
      <c r="Q83" s="96" t="e">
        <f t="shared" si="81"/>
        <v>#DIV/0!</v>
      </c>
      <c r="R83" s="141" t="e">
        <f>Q83</f>
        <v>#DIV/0!</v>
      </c>
      <c r="V83" s="187">
        <v>0</v>
      </c>
      <c r="W83" s="120">
        <v>0</v>
      </c>
      <c r="X83" s="120">
        <v>0</v>
      </c>
      <c r="Y83" s="188"/>
      <c r="Z83" s="96" t="e">
        <f t="shared" si="73"/>
        <v>#DIV/0!</v>
      </c>
      <c r="AA83" s="141" t="e">
        <f t="shared" ref="AA83" si="88">Z83</f>
        <v>#DIV/0!</v>
      </c>
      <c r="AC83" s="269"/>
      <c r="AD83" s="275"/>
      <c r="AF83" s="187">
        <v>0</v>
      </c>
      <c r="AG83" s="120">
        <v>0</v>
      </c>
      <c r="AH83" s="120">
        <v>0</v>
      </c>
      <c r="AI83" s="188"/>
      <c r="AJ83" s="96" t="e">
        <f t="shared" si="75"/>
        <v>#DIV/0!</v>
      </c>
      <c r="AK83" s="141" t="e">
        <f t="shared" ref="AK83" si="89">AJ83</f>
        <v>#DIV/0!</v>
      </c>
    </row>
    <row r="84" spans="1:37" s="4" customFormat="1" ht="16.5" customHeight="1">
      <c r="A84" s="211"/>
      <c r="B84" s="18" t="s">
        <v>119</v>
      </c>
      <c r="C84" s="260" t="s">
        <v>9</v>
      </c>
      <c r="D84" s="28">
        <f t="shared" si="48"/>
        <v>7555.9349999999995</v>
      </c>
      <c r="E84" s="76">
        <f t="shared" si="79"/>
        <v>1684.6142180126062</v>
      </c>
      <c r="F84" s="34">
        <v>708.12696042204288</v>
      </c>
      <c r="G84" s="34">
        <v>976.48725759056322</v>
      </c>
      <c r="H84" s="34">
        <v>2225.698333599948</v>
      </c>
      <c r="I84" s="29">
        <v>1101.6145813559863</v>
      </c>
      <c r="J84" s="30">
        <v>2040.3680237365961</v>
      </c>
      <c r="K84" s="30">
        <v>503.63984329486311</v>
      </c>
      <c r="M84" s="93">
        <f t="shared" ref="M84:M89" si="90">N84+O84</f>
        <v>1448.2835142434956</v>
      </c>
      <c r="N84" s="120">
        <f>'Проект ТС-6 усл.свод'!N85</f>
        <v>552.01782031764355</v>
      </c>
      <c r="O84" s="120">
        <f>'Проект ТС-6 усл.свод'!O85</f>
        <v>896.26569392585202</v>
      </c>
      <c r="P84" s="92">
        <f t="shared" si="80"/>
        <v>236.33070376911064</v>
      </c>
      <c r="Q84" s="96">
        <f t="shared" si="81"/>
        <v>0.14028772952416224</v>
      </c>
      <c r="R84" s="141"/>
      <c r="V84" s="187">
        <f t="shared" ref="V84:V89" si="91">W84+X84</f>
        <v>1684.6142180126062</v>
      </c>
      <c r="W84" s="120">
        <v>708.12696042204288</v>
      </c>
      <c r="X84" s="120">
        <v>976.48725759056322</v>
      </c>
      <c r="Y84" s="188"/>
      <c r="Z84" s="96">
        <f t="shared" si="73"/>
        <v>0</v>
      </c>
      <c r="AA84" s="141"/>
      <c r="AC84" s="269" t="s">
        <v>206</v>
      </c>
      <c r="AD84" s="278" t="s">
        <v>238</v>
      </c>
      <c r="AF84" s="187">
        <f t="shared" ref="AF84:AF89" si="92">AG84+AH84</f>
        <v>1684.6142180126062</v>
      </c>
      <c r="AG84" s="120">
        <v>708.12696042204288</v>
      </c>
      <c r="AH84" s="120">
        <v>976.48725759056322</v>
      </c>
      <c r="AI84" s="188"/>
      <c r="AJ84" s="96">
        <f t="shared" si="75"/>
        <v>-0.87959243495486761</v>
      </c>
      <c r="AK84" s="141"/>
    </row>
    <row r="85" spans="1:37" s="4" customFormat="1" ht="16.5" customHeight="1">
      <c r="A85" s="211"/>
      <c r="B85" s="18" t="s">
        <v>176</v>
      </c>
      <c r="C85" s="260"/>
      <c r="D85" s="28">
        <f t="shared" si="48"/>
        <v>10333.674999999999</v>
      </c>
      <c r="E85" s="76">
        <f t="shared" si="79"/>
        <v>2303.9181556381068</v>
      </c>
      <c r="F85" s="34">
        <v>968.45114042659895</v>
      </c>
      <c r="G85" s="34">
        <v>1335.4670152115077</v>
      </c>
      <c r="H85" s="34">
        <v>3043.9175598338843</v>
      </c>
      <c r="I85" s="29">
        <v>1506.5940957662845</v>
      </c>
      <c r="J85" s="30">
        <v>2790.4554549087929</v>
      </c>
      <c r="K85" s="30">
        <v>688.78973385293079</v>
      </c>
      <c r="M85" s="93">
        <f t="shared" si="90"/>
        <v>1678.551648496355</v>
      </c>
      <c r="N85" s="120">
        <f>'Проект ТС-6 усл.свод'!N86</f>
        <v>639.78524451929957</v>
      </c>
      <c r="O85" s="120">
        <f>'Проект ТС-6 усл.свод'!O86</f>
        <v>1038.7664039770555</v>
      </c>
      <c r="P85" s="92">
        <f t="shared" si="80"/>
        <v>625.36650714175175</v>
      </c>
      <c r="Q85" s="96">
        <f t="shared" si="81"/>
        <v>0.27143607754093446</v>
      </c>
      <c r="R85" s="141">
        <f>Q85</f>
        <v>0.27143607754093446</v>
      </c>
      <c r="V85" s="187">
        <f t="shared" si="91"/>
        <v>1678.551648496355</v>
      </c>
      <c r="W85" s="120">
        <f>N85</f>
        <v>639.78524451929957</v>
      </c>
      <c r="X85" s="120">
        <f>O85</f>
        <v>1038.7664039770555</v>
      </c>
      <c r="Y85" s="204">
        <f>V85-E85</f>
        <v>-625.36650714175175</v>
      </c>
      <c r="Z85" s="96">
        <f t="shared" si="73"/>
        <v>0.27143607754093446</v>
      </c>
      <c r="AA85" s="141">
        <f t="shared" ref="AA85" si="93">Z85</f>
        <v>0.27143607754093446</v>
      </c>
      <c r="AC85" s="269" t="s">
        <v>206</v>
      </c>
      <c r="AD85" s="278" t="s">
        <v>264</v>
      </c>
      <c r="AF85" s="187">
        <f t="shared" si="92"/>
        <v>413.39989683530371</v>
      </c>
      <c r="AG85" s="120">
        <f>X85</f>
        <v>1038.7664039770555</v>
      </c>
      <c r="AH85" s="120">
        <f>Y85</f>
        <v>-625.36650714175175</v>
      </c>
      <c r="AI85" s="204">
        <f>AF85-O85</f>
        <v>-625.36650714175175</v>
      </c>
      <c r="AJ85" s="96">
        <f t="shared" si="75"/>
        <v>0.6020280447533275</v>
      </c>
      <c r="AK85" s="141">
        <f t="shared" ref="AK85" si="94">AJ85</f>
        <v>0.6020280447533275</v>
      </c>
    </row>
    <row r="86" spans="1:37" s="4" customFormat="1" ht="16.5" customHeight="1">
      <c r="A86" s="259"/>
      <c r="B86" s="18" t="s">
        <v>167</v>
      </c>
      <c r="C86" s="260"/>
      <c r="D86" s="28">
        <f t="shared" ref="D86" si="95">SUM(F86:K86)</f>
        <v>871.19999999999993</v>
      </c>
      <c r="E86" s="76">
        <f t="shared" si="79"/>
        <v>194.23617417732981</v>
      </c>
      <c r="F86" s="69">
        <v>81.647103623798216</v>
      </c>
      <c r="G86" s="69">
        <v>112.5890705535316</v>
      </c>
      <c r="H86" s="69">
        <v>256.62322243802714</v>
      </c>
      <c r="I86" s="58">
        <v>127.01626248470046</v>
      </c>
      <c r="J86" s="64">
        <v>235.2546206762396</v>
      </c>
      <c r="K86" s="64">
        <v>58.069720223702923</v>
      </c>
      <c r="M86" s="93">
        <f t="shared" si="90"/>
        <v>166.9872223105325</v>
      </c>
      <c r="N86" s="120">
        <f>'Проект ТС-6 усл.свод'!N87</f>
        <v>63.647705421067165</v>
      </c>
      <c r="O86" s="120">
        <f>'Проект ТС-6 усл.свод'!O87</f>
        <v>103.33951688946534</v>
      </c>
      <c r="P86" s="92">
        <f t="shared" si="80"/>
        <v>27.248951866797313</v>
      </c>
      <c r="Q86" s="96">
        <f t="shared" si="81"/>
        <v>0.14028772952416224</v>
      </c>
      <c r="R86" s="141"/>
      <c r="V86" s="187">
        <f t="shared" si="91"/>
        <v>194.23617417732981</v>
      </c>
      <c r="W86" s="120">
        <v>81.647103623798216</v>
      </c>
      <c r="X86" s="120">
        <v>112.5890705535316</v>
      </c>
      <c r="Y86" s="188"/>
      <c r="Z86" s="96">
        <f t="shared" si="73"/>
        <v>0</v>
      </c>
      <c r="AA86" s="141"/>
      <c r="AC86" s="269" t="s">
        <v>206</v>
      </c>
      <c r="AD86" s="275"/>
      <c r="AF86" s="187">
        <f t="shared" si="92"/>
        <v>194.23617417732981</v>
      </c>
      <c r="AG86" s="120">
        <v>81.647103623798216</v>
      </c>
      <c r="AH86" s="120">
        <v>112.5890705535316</v>
      </c>
      <c r="AI86" s="188"/>
      <c r="AJ86" s="96">
        <f t="shared" si="75"/>
        <v>-0.87959243495486739</v>
      </c>
      <c r="AK86" s="141"/>
    </row>
    <row r="87" spans="1:37" s="4" customFormat="1" ht="16.5" customHeight="1">
      <c r="A87" s="211"/>
      <c r="B87" s="18" t="s">
        <v>94</v>
      </c>
      <c r="C87" s="260" t="s">
        <v>9</v>
      </c>
      <c r="D87" s="28">
        <f t="shared" si="48"/>
        <v>3605.5003167014129</v>
      </c>
      <c r="E87" s="76">
        <f t="shared" si="79"/>
        <v>803.85512799728349</v>
      </c>
      <c r="F87" s="49">
        <v>337.90020428530477</v>
      </c>
      <c r="G87" s="49">
        <v>465.95492371197872</v>
      </c>
      <c r="H87" s="53">
        <v>1062.0467283898577</v>
      </c>
      <c r="I87" s="53">
        <v>525.66250529708134</v>
      </c>
      <c r="J87" s="53">
        <v>973.61181055286113</v>
      </c>
      <c r="K87" s="53">
        <v>240.3241444643289</v>
      </c>
      <c r="M87" s="93">
        <f t="shared" si="90"/>
        <v>691.08411722418987</v>
      </c>
      <c r="N87" s="120">
        <f>'Проект ТС-6 усл.свод'!N88</f>
        <v>263.40888665401275</v>
      </c>
      <c r="O87" s="120">
        <f>'Проект ТС-6 усл.свод'!O88</f>
        <v>427.67523057017712</v>
      </c>
      <c r="P87" s="92">
        <f t="shared" si="80"/>
        <v>112.77101077309362</v>
      </c>
      <c r="Q87" s="96">
        <f t="shared" si="81"/>
        <v>0.14028772952416213</v>
      </c>
      <c r="R87" s="141"/>
      <c r="V87" s="187">
        <f t="shared" si="91"/>
        <v>803.85512799728349</v>
      </c>
      <c r="W87" s="120">
        <v>337.90020428530477</v>
      </c>
      <c r="X87" s="120">
        <v>465.95492371197872</v>
      </c>
      <c r="Y87" s="188"/>
      <c r="Z87" s="96">
        <f t="shared" si="73"/>
        <v>0</v>
      </c>
      <c r="AA87" s="141"/>
      <c r="AC87" s="269" t="s">
        <v>206</v>
      </c>
      <c r="AD87" s="278" t="s">
        <v>262</v>
      </c>
      <c r="AF87" s="187">
        <f t="shared" si="92"/>
        <v>803.85512799728349</v>
      </c>
      <c r="AG87" s="120">
        <v>337.90020428530477</v>
      </c>
      <c r="AH87" s="120">
        <v>465.95492371197872</v>
      </c>
      <c r="AI87" s="188"/>
      <c r="AJ87" s="96">
        <f t="shared" si="75"/>
        <v>-0.87959243495486716</v>
      </c>
      <c r="AK87" s="141"/>
    </row>
    <row r="88" spans="1:37" s="4" customFormat="1" ht="39" customHeight="1">
      <c r="A88" s="211"/>
      <c r="B88" s="18" t="s">
        <v>157</v>
      </c>
      <c r="C88" s="260" t="s">
        <v>9</v>
      </c>
      <c r="D88" s="28">
        <f t="shared" si="48"/>
        <v>6382.8595199999991</v>
      </c>
      <c r="E88" s="76">
        <f t="shared" si="79"/>
        <v>1423.0741660653671</v>
      </c>
      <c r="F88" s="49">
        <v>598.18869679245518</v>
      </c>
      <c r="G88" s="49">
        <v>824.88546927291179</v>
      </c>
      <c r="H88" s="49">
        <v>1880.1537860326437</v>
      </c>
      <c r="I88" s="50">
        <v>930.58650160157151</v>
      </c>
      <c r="J88" s="50">
        <v>1723.596413231548</v>
      </c>
      <c r="K88" s="50">
        <v>425.44865306886902</v>
      </c>
      <c r="M88" s="93">
        <f t="shared" si="90"/>
        <v>1223.4343223635658</v>
      </c>
      <c r="N88" s="120">
        <f>'Проект ТС-6 усл.свод'!N89</f>
        <v>466.31584305901521</v>
      </c>
      <c r="O88" s="120">
        <f>'Проект ТС-6 усл.свод'!O89</f>
        <v>757.11847930455053</v>
      </c>
      <c r="P88" s="92">
        <f t="shared" si="80"/>
        <v>199.63984370180128</v>
      </c>
      <c r="Q88" s="96">
        <f t="shared" si="81"/>
        <v>0.14028772952416246</v>
      </c>
      <c r="R88" s="141"/>
      <c r="V88" s="187">
        <f t="shared" si="91"/>
        <v>1423.0741660653671</v>
      </c>
      <c r="W88" s="120">
        <v>598.18869679245518</v>
      </c>
      <c r="X88" s="120">
        <v>824.88546927291179</v>
      </c>
      <c r="Y88" s="188"/>
      <c r="Z88" s="96">
        <f t="shared" si="73"/>
        <v>0</v>
      </c>
      <c r="AA88" s="141"/>
      <c r="AC88" s="269" t="s">
        <v>206</v>
      </c>
      <c r="AD88" s="281" t="s">
        <v>239</v>
      </c>
      <c r="AF88" s="187">
        <f t="shared" si="92"/>
        <v>1423.0741660653671</v>
      </c>
      <c r="AG88" s="120">
        <v>598.18869679245518</v>
      </c>
      <c r="AH88" s="120">
        <v>824.88546927291179</v>
      </c>
      <c r="AI88" s="188"/>
      <c r="AJ88" s="96">
        <f t="shared" si="75"/>
        <v>-0.87959243495486805</v>
      </c>
      <c r="AK88" s="141"/>
    </row>
    <row r="89" spans="1:37" s="4" customFormat="1" ht="16.5" customHeight="1">
      <c r="A89" s="211"/>
      <c r="B89" s="18" t="s">
        <v>158</v>
      </c>
      <c r="C89" s="260" t="s">
        <v>9</v>
      </c>
      <c r="D89" s="28">
        <f t="shared" si="48"/>
        <v>312.42857142857139</v>
      </c>
      <c r="E89" s="76">
        <f t="shared" si="79"/>
        <v>69.656715355801566</v>
      </c>
      <c r="F89" s="49">
        <v>29.280174410541569</v>
      </c>
      <c r="G89" s="49">
        <v>40.376540945260004</v>
      </c>
      <c r="H89" s="49">
        <v>92.0298746346526</v>
      </c>
      <c r="I89" s="50">
        <v>45.550401097671518</v>
      </c>
      <c r="J89" s="50">
        <v>84.366695431414144</v>
      </c>
      <c r="K89" s="50">
        <v>20.824884909031599</v>
      </c>
      <c r="M89" s="93">
        <f t="shared" si="90"/>
        <v>59.884732912425321</v>
      </c>
      <c r="N89" s="120">
        <f>'Проект ТС-6 усл.свод'!N90</f>
        <v>22.825254452950592</v>
      </c>
      <c r="O89" s="120">
        <f>'Проект ТС-6 усл.свод'!O90</f>
        <v>37.059478459474732</v>
      </c>
      <c r="P89" s="92">
        <f t="shared" si="80"/>
        <v>9.7719824433762454</v>
      </c>
      <c r="Q89" s="96">
        <f t="shared" si="81"/>
        <v>0.14028772952416224</v>
      </c>
      <c r="R89" s="141"/>
      <c r="V89" s="187">
        <f t="shared" si="91"/>
        <v>69.656715355801566</v>
      </c>
      <c r="W89" s="120">
        <v>29.280174410541569</v>
      </c>
      <c r="X89" s="120">
        <v>40.376540945260004</v>
      </c>
      <c r="Y89" s="188"/>
      <c r="Z89" s="96">
        <f t="shared" si="73"/>
        <v>0</v>
      </c>
      <c r="AA89" s="141"/>
      <c r="AC89" s="269" t="s">
        <v>206</v>
      </c>
      <c r="AD89" s="275"/>
      <c r="AF89" s="187">
        <f t="shared" si="92"/>
        <v>69.656715355801566</v>
      </c>
      <c r="AG89" s="120">
        <v>29.280174410541569</v>
      </c>
      <c r="AH89" s="120">
        <v>40.376540945260004</v>
      </c>
      <c r="AI89" s="188"/>
      <c r="AJ89" s="96">
        <f t="shared" si="75"/>
        <v>-0.87959243495486739</v>
      </c>
      <c r="AK89" s="141"/>
    </row>
    <row r="90" spans="1:37" s="4" customFormat="1" ht="27.75" customHeight="1">
      <c r="A90" s="260" t="s">
        <v>45</v>
      </c>
      <c r="B90" s="17" t="s">
        <v>274</v>
      </c>
      <c r="C90" s="211" t="s">
        <v>9</v>
      </c>
      <c r="D90" s="27">
        <f>D91+D131</f>
        <v>3278689.6052555027</v>
      </c>
      <c r="E90" s="70">
        <f t="shared" si="79"/>
        <v>2433207.8870612094</v>
      </c>
      <c r="F90" s="27">
        <f t="shared" ref="F90:K90" si="96">F91+F131</f>
        <v>1374586.8400986097</v>
      </c>
      <c r="G90" s="27">
        <f t="shared" si="96"/>
        <v>1058621.0469626</v>
      </c>
      <c r="H90" s="27">
        <f t="shared" si="96"/>
        <v>339871.08715074527</v>
      </c>
      <c r="I90" s="27">
        <f t="shared" si="96"/>
        <v>154033.10949344462</v>
      </c>
      <c r="J90" s="27">
        <f t="shared" si="96"/>
        <v>274197.97328432929</v>
      </c>
      <c r="K90" s="27">
        <f t="shared" si="96"/>
        <v>77379.548265773759</v>
      </c>
      <c r="M90" s="99">
        <f>M91+M131</f>
        <v>2357127.8528250577</v>
      </c>
      <c r="N90" s="117">
        <f>N91+N131</f>
        <v>1373029.7971164044</v>
      </c>
      <c r="O90" s="117">
        <f>O91+O131</f>
        <v>984098.05570865329</v>
      </c>
      <c r="P90" s="92">
        <f t="shared" si="80"/>
        <v>76080.034236151725</v>
      </c>
      <c r="Q90" s="96">
        <f t="shared" si="81"/>
        <v>3.1267379429728903E-2</v>
      </c>
      <c r="R90" s="141"/>
      <c r="V90" s="117">
        <f>V91+V131</f>
        <v>2429583.4960259199</v>
      </c>
      <c r="W90" s="117">
        <f>W91+W131</f>
        <v>1372975.2822515918</v>
      </c>
      <c r="X90" s="117">
        <f>X91+X131</f>
        <v>1056608.2137743281</v>
      </c>
      <c r="Y90" s="205"/>
      <c r="Z90" s="96">
        <f t="shared" si="73"/>
        <v>1.489552559221341E-3</v>
      </c>
      <c r="AA90" s="141"/>
      <c r="AC90" s="269"/>
      <c r="AD90" s="275"/>
      <c r="AF90" s="117">
        <f>AF91+AF131</f>
        <v>107732.61121926471</v>
      </c>
      <c r="AG90" s="117">
        <f>AG91+AG131</f>
        <v>87771.5420657707</v>
      </c>
      <c r="AH90" s="117">
        <f>AH91+AH131</f>
        <v>19961.06915349402</v>
      </c>
      <c r="AI90" s="205"/>
      <c r="AJ90" s="96">
        <f t="shared" si="75"/>
        <v>0.89052654804638753</v>
      </c>
      <c r="AK90" s="141"/>
    </row>
    <row r="91" spans="1:37" s="4" customFormat="1" ht="42.75" customHeight="1">
      <c r="A91" s="260" t="s">
        <v>46</v>
      </c>
      <c r="B91" s="17" t="s">
        <v>47</v>
      </c>
      <c r="C91" s="211" t="s">
        <v>9</v>
      </c>
      <c r="D91" s="27">
        <f>D93+D94+D95+D96+D97+D103+D104+D105+D108+D109+D110+D113</f>
        <v>218490.58824175212</v>
      </c>
      <c r="E91" s="70">
        <f t="shared" si="79"/>
        <v>51801.608813794148</v>
      </c>
      <c r="F91" s="27">
        <f t="shared" ref="F91:K91" si="97">F93+F94+F95+F96+F97+F103+F104+F105+F108+F109+F110+F113</f>
        <v>22429.350152546129</v>
      </c>
      <c r="G91" s="27">
        <f t="shared" si="97"/>
        <v>29372.258661248019</v>
      </c>
      <c r="H91" s="27">
        <f t="shared" si="97"/>
        <v>63221.478707647468</v>
      </c>
      <c r="I91" s="27">
        <f t="shared" si="97"/>
        <v>31316.807869325017</v>
      </c>
      <c r="J91" s="27">
        <f t="shared" si="97"/>
        <v>57910.666914054804</v>
      </c>
      <c r="K91" s="27">
        <f t="shared" si="97"/>
        <v>14240.025936930659</v>
      </c>
      <c r="M91" s="99">
        <f>M93+M94+M95+M96+M97+M103+M104+M105+M108+M109+M110+M113</f>
        <v>42490.498728364837</v>
      </c>
      <c r="N91" s="117">
        <f>N93+N94+N95+N96+N97+N103+N104+N105+N108+N109+N110+N113</f>
        <v>17081.2418618218</v>
      </c>
      <c r="O91" s="117">
        <f>O93+O94+O95+O96+O97+O103+O104+O105+O108+O109+O110+O113</f>
        <v>25409.256866543037</v>
      </c>
      <c r="P91" s="92">
        <f t="shared" si="80"/>
        <v>9311.1100854293109</v>
      </c>
      <c r="Q91" s="96">
        <f t="shared" si="81"/>
        <v>0.17974557737963293</v>
      </c>
      <c r="R91" s="141">
        <f>Q91</f>
        <v>0.17974557737963293</v>
      </c>
      <c r="V91" s="117">
        <f>V93+V94+V95+V96+V97+V103+V104+V105+V108+V109+V110+V113</f>
        <v>48177.217778504324</v>
      </c>
      <c r="W91" s="117">
        <f>W93+W94+W95+W96+W97+W103+W104+W105+W108+W109+W110+W113</f>
        <v>20817.792305528139</v>
      </c>
      <c r="X91" s="117">
        <f>X93+X94+X95+X96+X97+X103+X104+X105+X108+X109+X110+X113</f>
        <v>27359.425472976196</v>
      </c>
      <c r="Y91" s="205"/>
      <c r="Z91" s="96">
        <f t="shared" si="73"/>
        <v>6.996676586470596E-2</v>
      </c>
      <c r="AA91" s="141">
        <f t="shared" ref="AA91" si="98">Z91</f>
        <v>6.996676586470596E-2</v>
      </c>
      <c r="AC91" s="269"/>
      <c r="AD91" s="275"/>
      <c r="AF91" s="117">
        <f>AF93+AF94+AF95+AF96+AF97+AF103+AF104+AF105+AF108+AF109+AF110+AF113</f>
        <v>40963.659030939009</v>
      </c>
      <c r="AG91" s="117">
        <f>AG93+AG94+AG95+AG96+AG97+AG103+AG104+AG105+AG108+AG109+AG110+AG113</f>
        <v>21002.617915048137</v>
      </c>
      <c r="AH91" s="117">
        <f>AH93+AH94+AH95+AH96+AH97+AH103+AH104+AH105+AH108+AH109+AH110+AH113</f>
        <v>19961.041115890876</v>
      </c>
      <c r="AI91" s="205"/>
      <c r="AJ91" s="96">
        <f t="shared" si="75"/>
        <v>-0.61215494203912812</v>
      </c>
      <c r="AK91" s="141">
        <f t="shared" ref="AK91" si="99">AJ91</f>
        <v>-0.61215494203912812</v>
      </c>
    </row>
    <row r="92" spans="1:37" s="4" customFormat="1" ht="16.5" customHeight="1">
      <c r="A92" s="211"/>
      <c r="B92" s="12" t="s">
        <v>7</v>
      </c>
      <c r="C92" s="211"/>
      <c r="D92" s="25"/>
      <c r="E92" s="70"/>
      <c r="F92" s="25"/>
      <c r="G92" s="25"/>
      <c r="H92" s="25"/>
      <c r="I92" s="32"/>
      <c r="J92" s="33"/>
      <c r="K92" s="33"/>
      <c r="M92" s="92"/>
      <c r="N92" s="122"/>
      <c r="O92" s="122"/>
      <c r="P92" s="92"/>
      <c r="Q92" s="96"/>
      <c r="R92" s="141"/>
      <c r="V92" s="118"/>
      <c r="W92" s="122"/>
      <c r="X92" s="122"/>
      <c r="Y92" s="205"/>
      <c r="Z92" s="96"/>
      <c r="AA92" s="141"/>
      <c r="AC92" s="269"/>
      <c r="AD92" s="275"/>
      <c r="AF92" s="118"/>
      <c r="AG92" s="122"/>
      <c r="AH92" s="122"/>
      <c r="AI92" s="205"/>
      <c r="AJ92" s="96"/>
      <c r="AK92" s="141"/>
    </row>
    <row r="93" spans="1:37" s="4" customFormat="1" ht="41.25" customHeight="1">
      <c r="A93" s="211" t="s">
        <v>49</v>
      </c>
      <c r="B93" s="12" t="s">
        <v>48</v>
      </c>
      <c r="C93" s="211" t="s">
        <v>9</v>
      </c>
      <c r="D93" s="25">
        <f t="shared" ref="D93:D95" si="100">SUM(F93:K93)</f>
        <v>131547.80799999999</v>
      </c>
      <c r="E93" s="74">
        <f t="shared" si="79"/>
        <v>29328.906046067423</v>
      </c>
      <c r="F93" s="25">
        <v>12328.394755807522</v>
      </c>
      <c r="G93" s="25">
        <v>17000.511290259903</v>
      </c>
      <c r="H93" s="33">
        <v>38749.10743069202</v>
      </c>
      <c r="I93" s="33">
        <v>19178.961099879452</v>
      </c>
      <c r="J93" s="33">
        <v>35522.53176289118</v>
      </c>
      <c r="K93" s="33">
        <v>8768.3016604699133</v>
      </c>
      <c r="M93" s="92">
        <f>N93+O93</f>
        <v>25213.18142051679</v>
      </c>
      <c r="N93" s="122">
        <f>'Проект ТС-6 усл.свод'!N98</f>
        <v>9610.0834637319313</v>
      </c>
      <c r="O93" s="122">
        <f>'Проект ТС-6 усл.свод'!O98</f>
        <v>15603.097956784859</v>
      </c>
      <c r="P93" s="92">
        <f t="shared" si="80"/>
        <v>4115.7246255506325</v>
      </c>
      <c r="Q93" s="96">
        <f t="shared" si="81"/>
        <v>0.14032997409061188</v>
      </c>
      <c r="R93" s="141">
        <f>Q93</f>
        <v>0.14032997409061188</v>
      </c>
      <c r="V93" s="118">
        <f>W93+X93</f>
        <v>29328.906046067423</v>
      </c>
      <c r="W93" s="122">
        <v>12328.394755807522</v>
      </c>
      <c r="X93" s="122">
        <v>17000.511290259903</v>
      </c>
      <c r="Y93" s="204"/>
      <c r="Z93" s="96">
        <f t="shared" ref="Z93:Z107" si="101">100%-(V93/E93)</f>
        <v>0</v>
      </c>
      <c r="AA93" s="141">
        <f t="shared" ref="AA93:AA95" si="102">Z93</f>
        <v>0</v>
      </c>
      <c r="AC93" s="269" t="s">
        <v>206</v>
      </c>
      <c r="AD93" s="283" t="str">
        <f>AD28</f>
        <v>Положение об оплаты труда работников ТОО "РТИ-АНПЗ"</v>
      </c>
      <c r="AF93" s="118">
        <f>AG93+AH93</f>
        <v>29328.906046067423</v>
      </c>
      <c r="AG93" s="122">
        <v>12328.394755807522</v>
      </c>
      <c r="AH93" s="122">
        <v>17000.511290259903</v>
      </c>
      <c r="AI93" s="204"/>
      <c r="AJ93" s="96">
        <f t="shared" ref="AJ93:AJ107" si="103">100%-(AF93/O93)</f>
        <v>-0.87968479896096707</v>
      </c>
      <c r="AK93" s="141">
        <f t="shared" ref="AK93:AK95" si="104">AJ93</f>
        <v>-0.87968479896096707</v>
      </c>
    </row>
    <row r="94" spans="1:37" s="4" customFormat="1" ht="16.5" customHeight="1">
      <c r="A94" s="211" t="s">
        <v>50</v>
      </c>
      <c r="B94" s="12" t="s">
        <v>20</v>
      </c>
      <c r="C94" s="211" t="s">
        <v>9</v>
      </c>
      <c r="D94" s="25">
        <f t="shared" si="100"/>
        <v>13023.232991999999</v>
      </c>
      <c r="E94" s="74">
        <f t="shared" si="79"/>
        <v>2903.5616985606748</v>
      </c>
      <c r="F94" s="25">
        <v>1220.5110808249447</v>
      </c>
      <c r="G94" s="25">
        <v>1683.0506177357304</v>
      </c>
      <c r="H94" s="25">
        <v>3836.1616356385102</v>
      </c>
      <c r="I94" s="32">
        <v>1898.7171488880656</v>
      </c>
      <c r="J94" s="33">
        <v>3516.7306445262266</v>
      </c>
      <c r="K94" s="33">
        <v>868.06186438652139</v>
      </c>
      <c r="M94" s="92">
        <f>N94+O94</f>
        <v>2496.1049606311626</v>
      </c>
      <c r="N94" s="122">
        <f>'Проект ТС-6 усл.свод'!N99</f>
        <v>951.39826290946144</v>
      </c>
      <c r="O94" s="122">
        <f>'Проект ТС-6 усл.свод'!O99</f>
        <v>1544.7066977217012</v>
      </c>
      <c r="P94" s="92">
        <f t="shared" si="80"/>
        <v>407.4567379295122</v>
      </c>
      <c r="Q94" s="96">
        <f t="shared" si="81"/>
        <v>0.14032997409061176</v>
      </c>
      <c r="R94" s="141">
        <f>Q94</f>
        <v>0.14032997409061176</v>
      </c>
      <c r="V94" s="118">
        <f>W94+X94</f>
        <v>2903.5616985606748</v>
      </c>
      <c r="W94" s="122">
        <v>1220.5110808249447</v>
      </c>
      <c r="X94" s="122">
        <v>1683.0506177357304</v>
      </c>
      <c r="Y94" s="204"/>
      <c r="Z94" s="96">
        <f t="shared" si="101"/>
        <v>0</v>
      </c>
      <c r="AA94" s="141">
        <f t="shared" si="102"/>
        <v>0</v>
      </c>
      <c r="AC94" s="269" t="s">
        <v>206</v>
      </c>
      <c r="AD94" s="275"/>
      <c r="AF94" s="118">
        <f>AG94+AH94</f>
        <v>2903.5616985606748</v>
      </c>
      <c r="AG94" s="122">
        <v>1220.5110808249447</v>
      </c>
      <c r="AH94" s="122">
        <v>1683.0506177357304</v>
      </c>
      <c r="AI94" s="204"/>
      <c r="AJ94" s="96">
        <f t="shared" si="103"/>
        <v>-0.87968479896096685</v>
      </c>
      <c r="AK94" s="141">
        <f t="shared" si="104"/>
        <v>-0.87968479896096685</v>
      </c>
    </row>
    <row r="95" spans="1:37" s="4" customFormat="1" ht="16.5" customHeight="1">
      <c r="A95" s="259" t="s">
        <v>51</v>
      </c>
      <c r="B95" s="59" t="s">
        <v>161</v>
      </c>
      <c r="C95" s="259"/>
      <c r="D95" s="25">
        <f t="shared" si="100"/>
        <v>1246.3063199999999</v>
      </c>
      <c r="E95" s="74">
        <f t="shared" si="79"/>
        <v>277.86704711871778</v>
      </c>
      <c r="F95" s="60">
        <v>116.80130998167428</v>
      </c>
      <c r="G95" s="60">
        <v>161.06573713704353</v>
      </c>
      <c r="H95" s="60">
        <v>367.11563818099069</v>
      </c>
      <c r="I95" s="67">
        <v>181.70474136531345</v>
      </c>
      <c r="J95" s="61">
        <v>336.54651120064284</v>
      </c>
      <c r="K95" s="61">
        <v>83.072382134335129</v>
      </c>
      <c r="M95" s="92">
        <f>N95+O95</f>
        <v>119.44285498442474</v>
      </c>
      <c r="N95" s="122">
        <f>'Проект ТС-6 усл.свод'!N100</f>
        <v>45.526020155976973</v>
      </c>
      <c r="O95" s="122">
        <f>'Проект ТС-6 усл.свод'!O100</f>
        <v>73.916834828447776</v>
      </c>
      <c r="P95" s="92">
        <f t="shared" si="80"/>
        <v>158.42419213429304</v>
      </c>
      <c r="Q95" s="96">
        <f t="shared" si="81"/>
        <v>0.57014386476208112</v>
      </c>
      <c r="R95" s="141">
        <f>Q95</f>
        <v>0.57014386476208112</v>
      </c>
      <c r="V95" s="118">
        <f>W95+X95</f>
        <v>119.44285498442474</v>
      </c>
      <c r="W95" s="122">
        <f>N95</f>
        <v>45.526020155976973</v>
      </c>
      <c r="X95" s="122">
        <f>O95</f>
        <v>73.916834828447776</v>
      </c>
      <c r="Y95" s="204">
        <f>V95-E95</f>
        <v>-158.42419213429304</v>
      </c>
      <c r="Z95" s="96">
        <f t="shared" si="101"/>
        <v>0.57014386476208112</v>
      </c>
      <c r="AA95" s="141">
        <f t="shared" si="102"/>
        <v>0.57014386476208112</v>
      </c>
      <c r="AC95" s="269" t="s">
        <v>206</v>
      </c>
      <c r="AD95" s="275"/>
      <c r="AF95" s="118">
        <f>AG95+AH95</f>
        <v>-84.507357305845261</v>
      </c>
      <c r="AG95" s="122">
        <f>X95</f>
        <v>73.916834828447776</v>
      </c>
      <c r="AH95" s="122">
        <f>Y95</f>
        <v>-158.42419213429304</v>
      </c>
      <c r="AI95" s="204">
        <f>AF95-O95</f>
        <v>-158.42419213429304</v>
      </c>
      <c r="AJ95" s="96">
        <f t="shared" si="103"/>
        <v>2.1432761900854769</v>
      </c>
      <c r="AK95" s="141">
        <f t="shared" si="104"/>
        <v>2.1432761900854769</v>
      </c>
    </row>
    <row r="96" spans="1:37" s="4" customFormat="1" ht="45.75" customHeight="1">
      <c r="A96" s="211" t="s">
        <v>51</v>
      </c>
      <c r="B96" s="12" t="s">
        <v>22</v>
      </c>
      <c r="C96" s="43" t="s">
        <v>9</v>
      </c>
      <c r="D96" s="25">
        <f>SUM(F96:K96)</f>
        <v>5232.032573499996</v>
      </c>
      <c r="E96" s="74">
        <f t="shared" si="79"/>
        <v>4071.4983402244161</v>
      </c>
      <c r="F96" s="35">
        <v>2311.7882178798213</v>
      </c>
      <c r="G96" s="35">
        <v>1759.710122344595</v>
      </c>
      <c r="H96" s="35">
        <v>472.98876797652525</v>
      </c>
      <c r="I96" s="35">
        <v>209.80847449045478</v>
      </c>
      <c r="J96" s="35">
        <v>369.78713667718449</v>
      </c>
      <c r="K96" s="35">
        <v>107.94985413141616</v>
      </c>
      <c r="M96" s="92">
        <f>N96+O96</f>
        <v>3957.1029346454479</v>
      </c>
      <c r="N96" s="122">
        <f>'Проект ТС-6 усл.свод'!N101</f>
        <v>2318.1290139163707</v>
      </c>
      <c r="O96" s="122">
        <f>'Проект ТС-6 усл.свод'!O101</f>
        <v>1638.9739207290772</v>
      </c>
      <c r="P96" s="92">
        <f t="shared" si="80"/>
        <v>114.39540557896817</v>
      </c>
      <c r="Q96" s="96">
        <f t="shared" si="81"/>
        <v>2.8096635690305294E-2</v>
      </c>
      <c r="R96" s="141"/>
      <c r="V96" s="118">
        <f>W96+X96</f>
        <v>3957.1029346454479</v>
      </c>
      <c r="W96" s="122">
        <f>N96</f>
        <v>2318.1290139163707</v>
      </c>
      <c r="X96" s="122">
        <f>O96</f>
        <v>1638.9739207290772</v>
      </c>
      <c r="Y96" s="188"/>
      <c r="Z96" s="96">
        <f t="shared" si="101"/>
        <v>2.8096635690305294E-2</v>
      </c>
      <c r="AA96" s="141"/>
      <c r="AC96" s="272" t="s">
        <v>210</v>
      </c>
      <c r="AD96" s="283" t="str">
        <f>AD32</f>
        <v xml:space="preserve">Налоговый кодекс РК, статья 120, МСФО (IAS) 16 «Основные средства». </v>
      </c>
      <c r="AF96" s="118">
        <f>AG96+AH96</f>
        <v>1638.9739207290772</v>
      </c>
      <c r="AG96" s="122">
        <f>X96</f>
        <v>1638.9739207290772</v>
      </c>
      <c r="AH96" s="122">
        <f>Y96</f>
        <v>0</v>
      </c>
      <c r="AI96" s="188"/>
      <c r="AJ96" s="96">
        <f t="shared" si="103"/>
        <v>0</v>
      </c>
      <c r="AK96" s="141"/>
    </row>
    <row r="97" spans="1:37" s="4" customFormat="1" ht="16.5" customHeight="1">
      <c r="A97" s="211" t="s">
        <v>54</v>
      </c>
      <c r="B97" s="12" t="s">
        <v>39</v>
      </c>
      <c r="C97" s="211" t="s">
        <v>9</v>
      </c>
      <c r="D97" s="25">
        <f>SUM(D99:D102)</f>
        <v>25588.812061714285</v>
      </c>
      <c r="E97" s="74">
        <f t="shared" si="79"/>
        <v>5705.0883340336259</v>
      </c>
      <c r="F97" s="25">
        <f t="shared" ref="F97:K97" si="105">SUM(F99:F102)</f>
        <v>2398.131760804275</v>
      </c>
      <c r="G97" s="25">
        <f t="shared" si="105"/>
        <v>3306.9565732293504</v>
      </c>
      <c r="H97" s="25">
        <f t="shared" si="105"/>
        <v>7537.5153921466699</v>
      </c>
      <c r="I97" s="25">
        <f t="shared" si="105"/>
        <v>3730.7108235793976</v>
      </c>
      <c r="J97" s="25">
        <f t="shared" si="105"/>
        <v>6909.8786445525466</v>
      </c>
      <c r="K97" s="25">
        <f t="shared" si="105"/>
        <v>1705.618867402047</v>
      </c>
      <c r="M97" s="101">
        <f t="shared" ref="M97" si="106">SUM(M99:M102)</f>
        <v>4904.7344449172633</v>
      </c>
      <c r="N97" s="122">
        <f>SUM(N99:N102)</f>
        <v>1869.4549726573016</v>
      </c>
      <c r="O97" s="122">
        <f>SUM(O99:O102)</f>
        <v>3035.2794722599615</v>
      </c>
      <c r="P97" s="92">
        <f t="shared" si="80"/>
        <v>800.35388911636255</v>
      </c>
      <c r="Q97" s="96">
        <f t="shared" si="81"/>
        <v>0.14028772952416224</v>
      </c>
      <c r="R97" s="141"/>
      <c r="V97" s="122">
        <f t="shared" ref="V97" si="107">SUM(V99:V102)</f>
        <v>5705.088334033625</v>
      </c>
      <c r="W97" s="122">
        <f>SUM(W99:W102)</f>
        <v>2398.131760804275</v>
      </c>
      <c r="X97" s="122">
        <f>SUM(X99:X102)</f>
        <v>3306.9565732293504</v>
      </c>
      <c r="Y97" s="188"/>
      <c r="Z97" s="96">
        <f t="shared" si="101"/>
        <v>0</v>
      </c>
      <c r="AA97" s="141"/>
      <c r="AC97" s="269"/>
      <c r="AD97" s="275"/>
      <c r="AF97" s="122">
        <f t="shared" ref="AF97" si="108">SUM(AF99:AF102)</f>
        <v>5705.088334033625</v>
      </c>
      <c r="AG97" s="122">
        <f>SUM(AG99:AG102)</f>
        <v>2398.131760804275</v>
      </c>
      <c r="AH97" s="122">
        <f>SUM(AH99:AH102)</f>
        <v>3306.9565732293504</v>
      </c>
      <c r="AI97" s="188"/>
      <c r="AJ97" s="96">
        <f t="shared" si="103"/>
        <v>-0.87959243495486716</v>
      </c>
      <c r="AK97" s="141"/>
    </row>
    <row r="98" spans="1:37" s="4" customFormat="1" ht="16.5" customHeight="1">
      <c r="A98" s="211"/>
      <c r="B98" s="12" t="s">
        <v>7</v>
      </c>
      <c r="C98" s="211"/>
      <c r="D98" s="25"/>
      <c r="E98" s="70"/>
      <c r="F98" s="25"/>
      <c r="G98" s="25"/>
      <c r="H98" s="25"/>
      <c r="I98" s="32"/>
      <c r="J98" s="33"/>
      <c r="K98" s="33"/>
      <c r="M98" s="92"/>
      <c r="N98" s="122"/>
      <c r="O98" s="122"/>
      <c r="P98" s="92">
        <f t="shared" si="80"/>
        <v>0</v>
      </c>
      <c r="Q98" s="96"/>
      <c r="R98" s="141"/>
      <c r="V98" s="118"/>
      <c r="W98" s="122"/>
      <c r="X98" s="122"/>
      <c r="Y98" s="188"/>
      <c r="Z98" s="96" t="e">
        <f t="shared" si="101"/>
        <v>#DIV/0!</v>
      </c>
      <c r="AA98" s="141"/>
      <c r="AC98" s="269"/>
      <c r="AD98" s="275"/>
      <c r="AF98" s="118"/>
      <c r="AG98" s="122"/>
      <c r="AH98" s="122"/>
      <c r="AI98" s="188"/>
      <c r="AJ98" s="96" t="e">
        <f t="shared" si="103"/>
        <v>#DIV/0!</v>
      </c>
      <c r="AK98" s="141"/>
    </row>
    <row r="99" spans="1:37" s="4" customFormat="1" ht="38.25" customHeight="1">
      <c r="A99" s="8"/>
      <c r="B99" s="18" t="s">
        <v>52</v>
      </c>
      <c r="C99" s="9" t="s">
        <v>9</v>
      </c>
      <c r="D99" s="28">
        <f t="shared" ref="D99:D109" si="109">SUM(F99:K99)</f>
        <v>18023.565714285716</v>
      </c>
      <c r="E99" s="76">
        <f t="shared" si="79"/>
        <v>4018.3981283018252</v>
      </c>
      <c r="F99" s="28">
        <v>1689.13215971605</v>
      </c>
      <c r="G99" s="28">
        <v>2329.2659685857752</v>
      </c>
      <c r="H99" s="28">
        <v>5309.074280789192</v>
      </c>
      <c r="I99" s="29">
        <v>2627.7386979751632</v>
      </c>
      <c r="J99" s="29">
        <v>4866.9962297377906</v>
      </c>
      <c r="K99" s="29">
        <v>1201.3583774817446</v>
      </c>
      <c r="M99" s="93">
        <f>N99+O99</f>
        <v>3454.6661785582191</v>
      </c>
      <c r="N99" s="120">
        <f>'Проект ТС-6 усл.свод'!N104</f>
        <v>1316.7568884528273</v>
      </c>
      <c r="O99" s="120">
        <f>'Проект ТС-6 усл.свод'!O104</f>
        <v>2137.9092901053918</v>
      </c>
      <c r="P99" s="92">
        <f t="shared" si="80"/>
        <v>563.73194974360604</v>
      </c>
      <c r="Q99" s="96">
        <f t="shared" si="81"/>
        <v>0.14028772952416224</v>
      </c>
      <c r="R99" s="141"/>
      <c r="V99" s="187">
        <f>W99+X99</f>
        <v>4018.3981283018252</v>
      </c>
      <c r="W99" s="120">
        <v>1689.13215971605</v>
      </c>
      <c r="X99" s="120">
        <v>2329.2659685857752</v>
      </c>
      <c r="Y99" s="188"/>
      <c r="Z99" s="96">
        <f t="shared" si="101"/>
        <v>0</v>
      </c>
      <c r="AA99" s="141"/>
      <c r="AC99" s="269" t="s">
        <v>206</v>
      </c>
      <c r="AD99" s="275"/>
      <c r="AF99" s="187">
        <f>AG99+AH99</f>
        <v>4018.3981283018252</v>
      </c>
      <c r="AG99" s="120">
        <v>1689.13215971605</v>
      </c>
      <c r="AH99" s="120">
        <v>2329.2659685857752</v>
      </c>
      <c r="AI99" s="188"/>
      <c r="AJ99" s="96">
        <f t="shared" si="103"/>
        <v>-0.87959243495486716</v>
      </c>
      <c r="AK99" s="141"/>
    </row>
    <row r="100" spans="1:37" s="4" customFormat="1" ht="16.5" customHeight="1">
      <c r="A100" s="8"/>
      <c r="B100" s="18" t="s">
        <v>53</v>
      </c>
      <c r="C100" s="9" t="s">
        <v>9</v>
      </c>
      <c r="D100" s="28">
        <f t="shared" si="109"/>
        <v>4719.9199999999992</v>
      </c>
      <c r="E100" s="76">
        <f t="shared" si="79"/>
        <v>1052.3177263809257</v>
      </c>
      <c r="F100" s="28">
        <v>442.34136516992385</v>
      </c>
      <c r="G100" s="28">
        <v>609.97636121100174</v>
      </c>
      <c r="H100" s="28">
        <v>1390.313452765947</v>
      </c>
      <c r="I100" s="29">
        <v>688.13888616481552</v>
      </c>
      <c r="J100" s="29">
        <v>1274.5442943321816</v>
      </c>
      <c r="K100" s="29">
        <v>314.6056403561293</v>
      </c>
      <c r="M100" s="93">
        <f>N100+O100</f>
        <v>904.69046180891712</v>
      </c>
      <c r="N100" s="120">
        <f>'Проект ТС-6 усл.свод'!N105</f>
        <v>344.82561727617463</v>
      </c>
      <c r="O100" s="120">
        <f>'Проект ТС-6 усл.свод'!O105</f>
        <v>559.8648445327425</v>
      </c>
      <c r="P100" s="92">
        <f t="shared" si="80"/>
        <v>147.62726457200858</v>
      </c>
      <c r="Q100" s="96">
        <f t="shared" si="81"/>
        <v>0.14028772952416213</v>
      </c>
      <c r="R100" s="141"/>
      <c r="V100" s="187">
        <f>W100+X100</f>
        <v>1052.3177263809257</v>
      </c>
      <c r="W100" s="120">
        <v>442.34136516992385</v>
      </c>
      <c r="X100" s="120">
        <v>609.97636121100174</v>
      </c>
      <c r="Y100" s="188"/>
      <c r="Z100" s="96">
        <f t="shared" si="101"/>
        <v>0</v>
      </c>
      <c r="AA100" s="141"/>
      <c r="AC100" s="269" t="s">
        <v>206</v>
      </c>
      <c r="AD100" s="275"/>
      <c r="AF100" s="187">
        <f>AG100+AH100</f>
        <v>1052.3177263809257</v>
      </c>
      <c r="AG100" s="120">
        <v>442.34136516992385</v>
      </c>
      <c r="AH100" s="120">
        <v>609.97636121100174</v>
      </c>
      <c r="AI100" s="188"/>
      <c r="AJ100" s="96">
        <f t="shared" si="103"/>
        <v>-0.87959243495486739</v>
      </c>
      <c r="AK100" s="141"/>
    </row>
    <row r="101" spans="1:37" s="4" customFormat="1" ht="16.5" hidden="1" customHeight="1">
      <c r="A101" s="8"/>
      <c r="B101" s="18" t="s">
        <v>42</v>
      </c>
      <c r="C101" s="9" t="s">
        <v>9</v>
      </c>
      <c r="D101" s="28">
        <f t="shared" si="109"/>
        <v>0</v>
      </c>
      <c r="E101" s="76">
        <f t="shared" si="79"/>
        <v>0</v>
      </c>
      <c r="F101" s="28">
        <v>0</v>
      </c>
      <c r="G101" s="28">
        <v>0</v>
      </c>
      <c r="H101" s="28">
        <v>0</v>
      </c>
      <c r="I101" s="29">
        <v>0</v>
      </c>
      <c r="J101" s="29">
        <v>0</v>
      </c>
      <c r="K101" s="29">
        <v>0</v>
      </c>
      <c r="M101" s="93">
        <f>N101+O101</f>
        <v>0</v>
      </c>
      <c r="N101" s="120">
        <f>'Проект ТС-6 усл.свод'!N106</f>
        <v>0</v>
      </c>
      <c r="O101" s="120">
        <f>'Проект ТС-6 усл.свод'!O106</f>
        <v>0</v>
      </c>
      <c r="P101" s="92">
        <f t="shared" si="80"/>
        <v>0</v>
      </c>
      <c r="Q101" s="96" t="e">
        <f t="shared" si="81"/>
        <v>#DIV/0!</v>
      </c>
      <c r="R101" s="141" t="e">
        <f>Q101</f>
        <v>#DIV/0!</v>
      </c>
      <c r="V101" s="187">
        <f>W101+X101</f>
        <v>0</v>
      </c>
      <c r="W101" s="120">
        <v>0</v>
      </c>
      <c r="X101" s="120">
        <v>0</v>
      </c>
      <c r="Y101" s="188"/>
      <c r="Z101" s="96" t="e">
        <f t="shared" si="101"/>
        <v>#DIV/0!</v>
      </c>
      <c r="AA101" s="141" t="e">
        <f t="shared" ref="AA101" si="110">Z101</f>
        <v>#DIV/0!</v>
      </c>
      <c r="AC101" s="269"/>
      <c r="AD101" s="275"/>
      <c r="AF101" s="187">
        <f>AG101+AH101</f>
        <v>0</v>
      </c>
      <c r="AG101" s="120">
        <v>0</v>
      </c>
      <c r="AH101" s="120">
        <v>0</v>
      </c>
      <c r="AI101" s="188"/>
      <c r="AJ101" s="96" t="e">
        <f t="shared" si="103"/>
        <v>#DIV/0!</v>
      </c>
      <c r="AK101" s="141" t="e">
        <f t="shared" ref="AK101" si="111">AJ101</f>
        <v>#DIV/0!</v>
      </c>
    </row>
    <row r="102" spans="1:37" s="4" customFormat="1" ht="16.5" customHeight="1">
      <c r="A102" s="8"/>
      <c r="B102" s="18" t="s">
        <v>28</v>
      </c>
      <c r="C102" s="9" t="s">
        <v>9</v>
      </c>
      <c r="D102" s="28">
        <f t="shared" si="109"/>
        <v>2845.3263474285714</v>
      </c>
      <c r="E102" s="76">
        <f t="shared" si="79"/>
        <v>634.3724793508743</v>
      </c>
      <c r="F102" s="28">
        <v>266.65823591830105</v>
      </c>
      <c r="G102" s="28">
        <v>367.7142434325732</v>
      </c>
      <c r="H102" s="28">
        <v>838.12765859153092</v>
      </c>
      <c r="I102" s="29">
        <v>414.83323943941855</v>
      </c>
      <c r="J102" s="29">
        <v>768.33812048257448</v>
      </c>
      <c r="K102" s="29">
        <v>189.65484956417319</v>
      </c>
      <c r="M102" s="93">
        <f>N102+O102</f>
        <v>545.37780455012671</v>
      </c>
      <c r="N102" s="120">
        <f>'Проект ТС-6 усл.свод'!N107</f>
        <v>207.87246692829976</v>
      </c>
      <c r="O102" s="120">
        <f>'Проект ТС-6 усл.свод'!O107</f>
        <v>337.50533762182692</v>
      </c>
      <c r="P102" s="92">
        <f t="shared" si="80"/>
        <v>88.994674800747589</v>
      </c>
      <c r="Q102" s="96">
        <f t="shared" si="81"/>
        <v>0.14028772952416213</v>
      </c>
      <c r="R102" s="141"/>
      <c r="V102" s="187">
        <f>W102+X102</f>
        <v>634.3724793508743</v>
      </c>
      <c r="W102" s="120">
        <v>266.65823591830105</v>
      </c>
      <c r="X102" s="120">
        <v>367.7142434325732</v>
      </c>
      <c r="Y102" s="188"/>
      <c r="Z102" s="96">
        <f t="shared" si="101"/>
        <v>0</v>
      </c>
      <c r="AA102" s="141"/>
      <c r="AC102" s="269" t="s">
        <v>206</v>
      </c>
      <c r="AD102" s="275"/>
      <c r="AF102" s="187">
        <f>AG102+AH102</f>
        <v>634.3724793508743</v>
      </c>
      <c r="AG102" s="120">
        <v>266.65823591830105</v>
      </c>
      <c r="AH102" s="120">
        <v>367.7142434325732</v>
      </c>
      <c r="AI102" s="188"/>
      <c r="AJ102" s="96">
        <f t="shared" si="103"/>
        <v>-0.87959243495486739</v>
      </c>
      <c r="AK102" s="141"/>
    </row>
    <row r="103" spans="1:37" s="4" customFormat="1" ht="16.5" customHeight="1">
      <c r="A103" s="211" t="s">
        <v>55</v>
      </c>
      <c r="B103" s="12" t="s">
        <v>32</v>
      </c>
      <c r="C103" s="211" t="s">
        <v>9</v>
      </c>
      <c r="D103" s="25">
        <f t="shared" si="109"/>
        <v>22641.260000000002</v>
      </c>
      <c r="E103" s="74">
        <f t="shared" si="79"/>
        <v>5047.9243812605728</v>
      </c>
      <c r="F103" s="25">
        <v>2121.8931375038546</v>
      </c>
      <c r="G103" s="25">
        <v>2926.0312437567181</v>
      </c>
      <c r="H103" s="25">
        <v>6669.2758278893571</v>
      </c>
      <c r="I103" s="33">
        <v>3300.9736261987482</v>
      </c>
      <c r="J103" s="33">
        <v>6113.9359882140916</v>
      </c>
      <c r="K103" s="33">
        <v>1509.1501764372315</v>
      </c>
      <c r="M103" s="92">
        <f>N103+O103</f>
        <v>2187.1157192370706</v>
      </c>
      <c r="N103" s="120">
        <f>'Проект ТС-6 усл.свод'!N108</f>
        <v>833.62604092496679</v>
      </c>
      <c r="O103" s="120">
        <f>'Проект ТС-6 усл.свод'!O108</f>
        <v>1353.4896783121037</v>
      </c>
      <c r="P103" s="92">
        <f t="shared" si="80"/>
        <v>2860.8086620235022</v>
      </c>
      <c r="Q103" s="96">
        <f t="shared" si="81"/>
        <v>0.56672969837735532</v>
      </c>
      <c r="R103" s="141">
        <f>Q103</f>
        <v>0.56672969837735532</v>
      </c>
      <c r="V103" s="118">
        <f>W103+X103</f>
        <v>2187.1157192370706</v>
      </c>
      <c r="W103" s="120">
        <f>N103</f>
        <v>833.62604092496679</v>
      </c>
      <c r="X103" s="120">
        <f>O103</f>
        <v>1353.4896783121037</v>
      </c>
      <c r="Y103" s="204">
        <f>V103-E103</f>
        <v>-2860.8086620235022</v>
      </c>
      <c r="Z103" s="96">
        <f t="shared" si="101"/>
        <v>0.56672969837735532</v>
      </c>
      <c r="AA103" s="141">
        <f t="shared" ref="AA103:AA104" si="112">Z103</f>
        <v>0.56672969837735532</v>
      </c>
      <c r="AC103" s="269" t="s">
        <v>206</v>
      </c>
      <c r="AD103" s="278" t="s">
        <v>240</v>
      </c>
      <c r="AF103" s="118">
        <f>AG103+AH103</f>
        <v>-1507.3189837113985</v>
      </c>
      <c r="AG103" s="120">
        <f>X103</f>
        <v>1353.4896783121037</v>
      </c>
      <c r="AH103" s="120">
        <f>Y103</f>
        <v>-2860.8086620235022</v>
      </c>
      <c r="AI103" s="204">
        <f>AF103-O103</f>
        <v>-2860.8086620235022</v>
      </c>
      <c r="AJ103" s="96">
        <f t="shared" si="103"/>
        <v>2.1136538444763988</v>
      </c>
      <c r="AK103" s="141">
        <f t="shared" ref="AK103:AK104" si="113">AJ103</f>
        <v>2.1136538444763988</v>
      </c>
    </row>
    <row r="104" spans="1:37" s="4" customFormat="1" ht="16.5" hidden="1" customHeight="1">
      <c r="A104" s="211" t="s">
        <v>57</v>
      </c>
      <c r="B104" s="12" t="s">
        <v>56</v>
      </c>
      <c r="C104" s="211" t="s">
        <v>9</v>
      </c>
      <c r="D104" s="25">
        <f t="shared" si="109"/>
        <v>0</v>
      </c>
      <c r="E104" s="74"/>
      <c r="F104" s="25">
        <v>0</v>
      </c>
      <c r="G104" s="25">
        <v>0</v>
      </c>
      <c r="H104" s="25">
        <v>0</v>
      </c>
      <c r="I104" s="33">
        <v>0</v>
      </c>
      <c r="J104" s="33">
        <v>0</v>
      </c>
      <c r="K104" s="33">
        <v>0</v>
      </c>
      <c r="M104" s="92">
        <v>0</v>
      </c>
      <c r="N104" s="120">
        <f>'Проект ТС-6 усл.свод'!N109</f>
        <v>0</v>
      </c>
      <c r="O104" s="120">
        <f>'Проект ТС-6 усл.свод'!O109</f>
        <v>0</v>
      </c>
      <c r="P104" s="92">
        <f t="shared" si="80"/>
        <v>0</v>
      </c>
      <c r="Q104" s="96" t="e">
        <f t="shared" si="81"/>
        <v>#DIV/0!</v>
      </c>
      <c r="R104" s="141" t="e">
        <f>Q104</f>
        <v>#DIV/0!</v>
      </c>
      <c r="V104" s="118">
        <v>0</v>
      </c>
      <c r="W104" s="120">
        <f>'Проект ТС-6 усл.свод'!AA109</f>
        <v>0</v>
      </c>
      <c r="X104" s="120">
        <f>'Проект ТС-6 усл.свод'!AB109</f>
        <v>0</v>
      </c>
      <c r="Y104" s="188" t="e">
        <f>Q104-V104</f>
        <v>#DIV/0!</v>
      </c>
      <c r="Z104" s="96" t="e">
        <f t="shared" si="101"/>
        <v>#DIV/0!</v>
      </c>
      <c r="AA104" s="141" t="e">
        <f t="shared" si="112"/>
        <v>#DIV/0!</v>
      </c>
      <c r="AC104" s="269"/>
      <c r="AD104" s="275"/>
      <c r="AF104" s="118">
        <v>0</v>
      </c>
      <c r="AG104" s="120">
        <f>'Проект ТС-6 усл.свод'!AK109</f>
        <v>0</v>
      </c>
      <c r="AH104" s="120">
        <f>'Проект ТС-6 усл.свод'!AL109</f>
        <v>0</v>
      </c>
      <c r="AI104" s="188" t="e">
        <f>AA104-AF104</f>
        <v>#DIV/0!</v>
      </c>
      <c r="AJ104" s="96" t="e">
        <f t="shared" si="103"/>
        <v>#DIV/0!</v>
      </c>
      <c r="AK104" s="141" t="e">
        <f t="shared" si="113"/>
        <v>#DIV/0!</v>
      </c>
    </row>
    <row r="105" spans="1:37" s="4" customFormat="1" ht="16.5" customHeight="1">
      <c r="A105" s="211" t="s">
        <v>109</v>
      </c>
      <c r="B105" s="12" t="s">
        <v>34</v>
      </c>
      <c r="C105" s="211" t="s">
        <v>9</v>
      </c>
      <c r="D105" s="25">
        <f t="shared" si="109"/>
        <v>14.456618799999996</v>
      </c>
      <c r="E105" s="74">
        <f t="shared" si="79"/>
        <v>11.249948967745491</v>
      </c>
      <c r="F105" s="25">
        <f t="shared" ref="F105:K105" si="114">SUM(F106:F107)</f>
        <v>6.3876974278588996</v>
      </c>
      <c r="G105" s="25">
        <f t="shared" si="114"/>
        <v>4.8622515398865911</v>
      </c>
      <c r="H105" s="25">
        <f t="shared" si="114"/>
        <v>1.3069143242630989</v>
      </c>
      <c r="I105" s="25">
        <f t="shared" si="114"/>
        <v>0.57972137866278706</v>
      </c>
      <c r="J105" s="25">
        <f t="shared" si="114"/>
        <v>1.0217581020351718</v>
      </c>
      <c r="K105" s="25">
        <f t="shared" si="114"/>
        <v>0.29827602729344682</v>
      </c>
      <c r="M105" s="92">
        <f>N105+O105</f>
        <v>10.933863312757996</v>
      </c>
      <c r="N105" s="122">
        <f>SUM(N106:N107)</f>
        <v>6.4052177055058239</v>
      </c>
      <c r="O105" s="122">
        <f>SUM(O106:O107)</f>
        <v>4.528645607252173</v>
      </c>
      <c r="P105" s="92">
        <f t="shared" si="80"/>
        <v>0.31608565498749464</v>
      </c>
      <c r="Q105" s="96">
        <f t="shared" si="81"/>
        <v>2.8096630117499855E-2</v>
      </c>
      <c r="R105" s="141"/>
      <c r="V105" s="118">
        <f>W105+X105</f>
        <v>11.249948967745491</v>
      </c>
      <c r="W105" s="122">
        <f>SUM(W106:W107)</f>
        <v>6.3876974278588996</v>
      </c>
      <c r="X105" s="122">
        <f>SUM(X106:X107)</f>
        <v>4.8622515398865911</v>
      </c>
      <c r="Y105" s="188"/>
      <c r="Z105" s="96">
        <f t="shared" si="101"/>
        <v>0</v>
      </c>
      <c r="AA105" s="141"/>
      <c r="AC105" s="269"/>
      <c r="AD105" s="275"/>
      <c r="AF105" s="118">
        <f>AG105+AH105</f>
        <v>11.249948967745491</v>
      </c>
      <c r="AG105" s="122">
        <f>SUM(AG106:AG107)</f>
        <v>6.3876974278588996</v>
      </c>
      <c r="AH105" s="122">
        <f>SUM(AH106:AH107)</f>
        <v>4.8622515398865911</v>
      </c>
      <c r="AI105" s="188"/>
      <c r="AJ105" s="96">
        <f t="shared" si="103"/>
        <v>-1.4841751692227412</v>
      </c>
      <c r="AK105" s="141"/>
    </row>
    <row r="106" spans="1:37" s="4" customFormat="1" ht="16.5" customHeight="1" outlineLevel="1">
      <c r="A106" s="14"/>
      <c r="B106" s="18" t="s">
        <v>112</v>
      </c>
      <c r="C106" s="260" t="s">
        <v>9</v>
      </c>
      <c r="D106" s="28">
        <f t="shared" si="109"/>
        <v>6.3196187999999971</v>
      </c>
      <c r="E106" s="75">
        <f t="shared" si="79"/>
        <v>4.9178435136994132</v>
      </c>
      <c r="F106" s="44">
        <v>2.7923412322256671</v>
      </c>
      <c r="G106" s="44">
        <v>2.1255022814737456</v>
      </c>
      <c r="H106" s="44">
        <v>0.5713092700211736</v>
      </c>
      <c r="I106" s="45">
        <v>0.25342150706493466</v>
      </c>
      <c r="J106" s="45">
        <v>0.44665504430910147</v>
      </c>
      <c r="K106" s="45">
        <v>0.13038946490537465</v>
      </c>
      <c r="M106" s="93">
        <f>N106+O106</f>
        <v>4.7796686835192546</v>
      </c>
      <c r="N106" s="129">
        <f>'Проект ТС-6 усл.свод'!N111</f>
        <v>2.8000001099709055</v>
      </c>
      <c r="O106" s="129">
        <f>'Проект ТС-6 усл.свод'!O111</f>
        <v>1.979668573548349</v>
      </c>
      <c r="P106" s="92">
        <f t="shared" si="80"/>
        <v>0.13817483018015864</v>
      </c>
      <c r="Q106" s="96">
        <f t="shared" si="81"/>
        <v>2.8096630117499966E-2</v>
      </c>
      <c r="R106" s="141"/>
      <c r="V106" s="187">
        <f>W106+X106</f>
        <v>4.9178435136994132</v>
      </c>
      <c r="W106" s="129">
        <v>2.7923412322256671</v>
      </c>
      <c r="X106" s="129">
        <v>2.1255022814737456</v>
      </c>
      <c r="Y106" s="188"/>
      <c r="Z106" s="96">
        <f t="shared" si="101"/>
        <v>0</v>
      </c>
      <c r="AA106" s="141"/>
      <c r="AC106" s="272" t="s">
        <v>210</v>
      </c>
      <c r="AD106" s="278" t="s">
        <v>222</v>
      </c>
      <c r="AF106" s="187">
        <f>AG106+AH106</f>
        <v>4.9178435136994132</v>
      </c>
      <c r="AG106" s="129">
        <v>2.7923412322256671</v>
      </c>
      <c r="AH106" s="129">
        <v>2.1255022814737456</v>
      </c>
      <c r="AI106" s="188"/>
      <c r="AJ106" s="96">
        <f t="shared" si="103"/>
        <v>-1.4841751692227416</v>
      </c>
      <c r="AK106" s="141"/>
    </row>
    <row r="107" spans="1:37" s="4" customFormat="1" ht="16.5" customHeight="1" outlineLevel="1">
      <c r="A107" s="14"/>
      <c r="B107" s="18" t="s">
        <v>201</v>
      </c>
      <c r="C107" s="260" t="s">
        <v>9</v>
      </c>
      <c r="D107" s="28">
        <f t="shared" si="109"/>
        <v>8.1369999999999969</v>
      </c>
      <c r="E107" s="75">
        <f t="shared" si="79"/>
        <v>6.3321054540460775</v>
      </c>
      <c r="F107" s="44">
        <v>3.5953561956332325</v>
      </c>
      <c r="G107" s="44">
        <v>2.736749258412845</v>
      </c>
      <c r="H107" s="44">
        <v>0.73560505424192524</v>
      </c>
      <c r="I107" s="45">
        <v>0.32629987159785234</v>
      </c>
      <c r="J107" s="45">
        <v>0.57510305772607029</v>
      </c>
      <c r="K107" s="45">
        <v>0.16788656238807217</v>
      </c>
      <c r="M107" s="93">
        <f>N107+O107</f>
        <v>6.1541946292387424</v>
      </c>
      <c r="N107" s="129">
        <f>'Проект ТС-6 усл.свод'!N112</f>
        <v>3.6052175955349184</v>
      </c>
      <c r="O107" s="129">
        <f>'Проект ТС-6 усл.свод'!O112</f>
        <v>2.548977033703824</v>
      </c>
      <c r="P107" s="92">
        <f t="shared" si="80"/>
        <v>0.17791082480733511</v>
      </c>
      <c r="Q107" s="96">
        <f t="shared" si="81"/>
        <v>2.8096630117499743E-2</v>
      </c>
      <c r="R107" s="141"/>
      <c r="V107" s="187">
        <f>W107+X107</f>
        <v>6.3321054540460775</v>
      </c>
      <c r="W107" s="129">
        <v>3.5953561956332325</v>
      </c>
      <c r="X107" s="129">
        <v>2.736749258412845</v>
      </c>
      <c r="Y107" s="188"/>
      <c r="Z107" s="96">
        <f t="shared" si="101"/>
        <v>0</v>
      </c>
      <c r="AA107" s="141"/>
      <c r="AC107" s="272" t="s">
        <v>210</v>
      </c>
      <c r="AD107" s="283" t="str">
        <f>AD42</f>
        <v xml:space="preserve">Налоговый кодекс, глава 51, статья 367. </v>
      </c>
      <c r="AF107" s="187">
        <f>AG107+AH107</f>
        <v>6.3321054540460775</v>
      </c>
      <c r="AG107" s="129">
        <v>3.5953561956332325</v>
      </c>
      <c r="AH107" s="129">
        <v>2.736749258412845</v>
      </c>
      <c r="AI107" s="188"/>
      <c r="AJ107" s="96">
        <f t="shared" si="103"/>
        <v>-1.4841751692227412</v>
      </c>
      <c r="AK107" s="141"/>
    </row>
    <row r="108" spans="1:37" s="4" customFormat="1" ht="16.5" customHeight="1">
      <c r="A108" s="211" t="s">
        <v>58</v>
      </c>
      <c r="B108" s="12" t="s">
        <v>59</v>
      </c>
      <c r="C108" s="211" t="s">
        <v>9</v>
      </c>
      <c r="D108" s="25">
        <f t="shared" si="109"/>
        <v>0</v>
      </c>
      <c r="E108" s="74">
        <f t="shared" si="79"/>
        <v>0</v>
      </c>
      <c r="F108" s="25"/>
      <c r="G108" s="25"/>
      <c r="H108" s="25"/>
      <c r="I108" s="33"/>
      <c r="J108" s="33"/>
      <c r="K108" s="33"/>
      <c r="M108" s="92"/>
      <c r="N108" s="129">
        <f>'Проект ТС-6 усл.свод'!N113</f>
        <v>0</v>
      </c>
      <c r="O108" s="129">
        <f>'Проект ТС-6 усл.свод'!O113</f>
        <v>0</v>
      </c>
      <c r="P108" s="92">
        <f t="shared" si="80"/>
        <v>0</v>
      </c>
      <c r="Q108" s="96"/>
      <c r="R108" s="141"/>
      <c r="V108" s="118"/>
      <c r="W108" s="129">
        <f>'Проект ТС-6 усл.свод'!AA113</f>
        <v>0</v>
      </c>
      <c r="X108" s="129">
        <f>'Проект ТС-6 усл.свод'!AB113</f>
        <v>0</v>
      </c>
      <c r="Y108" s="188"/>
      <c r="Z108" s="96"/>
      <c r="AA108" s="141"/>
      <c r="AC108" s="269"/>
      <c r="AD108" s="275"/>
      <c r="AF108" s="118"/>
      <c r="AG108" s="129">
        <f>'Проект ТС-6 усл.свод'!AK113</f>
        <v>0</v>
      </c>
      <c r="AH108" s="129">
        <f>'Проект ТС-6 усл.свод'!AL113</f>
        <v>0</v>
      </c>
      <c r="AI108" s="188"/>
      <c r="AJ108" s="96"/>
      <c r="AK108" s="141"/>
    </row>
    <row r="109" spans="1:37" s="4" customFormat="1" ht="16.5" customHeight="1">
      <c r="A109" s="211" t="s">
        <v>60</v>
      </c>
      <c r="B109" s="12" t="s">
        <v>30</v>
      </c>
      <c r="C109" s="211" t="s">
        <v>9</v>
      </c>
      <c r="D109" s="25">
        <f t="shared" si="109"/>
        <v>1730.3571428571427</v>
      </c>
      <c r="E109" s="74">
        <f t="shared" si="79"/>
        <v>385.78736385329057</v>
      </c>
      <c r="F109" s="25">
        <v>162.16557501037255</v>
      </c>
      <c r="G109" s="25">
        <v>223.62178884291802</v>
      </c>
      <c r="H109" s="28">
        <v>509.69906562058969</v>
      </c>
      <c r="I109" s="29">
        <v>252.27674133312576</v>
      </c>
      <c r="J109" s="29">
        <v>467.2572466451777</v>
      </c>
      <c r="K109" s="29">
        <v>115.33672540495894</v>
      </c>
      <c r="M109" s="92">
        <f>N109+O109</f>
        <v>173.10644530440737</v>
      </c>
      <c r="N109" s="129">
        <f>'Проект ТС-6 усл.свод'!N114</f>
        <v>65.980066527090557</v>
      </c>
      <c r="O109" s="129">
        <f>'Проект ТС-6 усл.свод'!O114</f>
        <v>107.12637877731682</v>
      </c>
      <c r="P109" s="92">
        <f t="shared" si="80"/>
        <v>212.6809185488832</v>
      </c>
      <c r="Q109" s="96">
        <f t="shared" si="81"/>
        <v>0.55129052549725999</v>
      </c>
      <c r="R109" s="141">
        <f>Q109</f>
        <v>0.55129052549725999</v>
      </c>
      <c r="V109" s="118">
        <f>W109+X109</f>
        <v>173.10644530440737</v>
      </c>
      <c r="W109" s="129">
        <f>N109</f>
        <v>65.980066527090557</v>
      </c>
      <c r="X109" s="129">
        <f>O109</f>
        <v>107.12637877731682</v>
      </c>
      <c r="Y109" s="204">
        <f>V109-E109</f>
        <v>-212.6809185488832</v>
      </c>
      <c r="Z109" s="96">
        <f t="shared" ref="Z109:Z132" si="115">100%-(V109/E109)</f>
        <v>0.55129052549725999</v>
      </c>
      <c r="AA109" s="141">
        <f t="shared" ref="AA109" si="116">Z109</f>
        <v>0.55129052549725999</v>
      </c>
      <c r="AC109" s="269" t="s">
        <v>206</v>
      </c>
      <c r="AD109" s="275"/>
      <c r="AF109" s="118">
        <f>AG109+AH109</f>
        <v>-105.55453977156638</v>
      </c>
      <c r="AG109" s="129">
        <f>X109</f>
        <v>107.12637877731682</v>
      </c>
      <c r="AH109" s="129">
        <f>Y109</f>
        <v>-212.6809185488832</v>
      </c>
      <c r="AI109" s="204">
        <f>AF109-O109</f>
        <v>-212.6809185488832</v>
      </c>
      <c r="AJ109" s="96">
        <f t="shared" ref="AJ109:AJ132" si="117">100%-(AF109/O109)</f>
        <v>1.985327245971622</v>
      </c>
      <c r="AK109" s="141">
        <f t="shared" ref="AK109" si="118">AJ109</f>
        <v>1.985327245971622</v>
      </c>
    </row>
    <row r="110" spans="1:37" s="4" customFormat="1" ht="16.5" customHeight="1">
      <c r="A110" s="211" t="s">
        <v>61</v>
      </c>
      <c r="B110" s="12" t="s">
        <v>62</v>
      </c>
      <c r="C110" s="211" t="s">
        <v>9</v>
      </c>
      <c r="D110" s="25">
        <f>SUM(D111:D112)</f>
        <v>296.57707597199999</v>
      </c>
      <c r="E110" s="74">
        <f t="shared" si="79"/>
        <v>66.122585612374394</v>
      </c>
      <c r="F110" s="25">
        <f t="shared" ref="F110:K110" si="119">SUM(F111:F112)</f>
        <v>27.794604286419837</v>
      </c>
      <c r="G110" s="25">
        <f t="shared" si="119"/>
        <v>38.327981325954553</v>
      </c>
      <c r="H110" s="25">
        <f t="shared" si="119"/>
        <v>87.360611727711472</v>
      </c>
      <c r="I110" s="25">
        <f t="shared" si="119"/>
        <v>43.239338531456042</v>
      </c>
      <c r="J110" s="25">
        <f t="shared" si="119"/>
        <v>80.086234514533004</v>
      </c>
      <c r="K110" s="25">
        <f t="shared" si="119"/>
        <v>19.768305585925077</v>
      </c>
      <c r="M110" s="101">
        <f>SUM(M111:M112)</f>
        <v>56.846398206547363</v>
      </c>
      <c r="N110" s="25">
        <f>SUM(N111:N112)</f>
        <v>21.66718361582566</v>
      </c>
      <c r="O110" s="25">
        <f>SUM(O111:O112)</f>
        <v>35.179214590721699</v>
      </c>
      <c r="P110" s="92">
        <f t="shared" si="80"/>
        <v>9.2761874058270308</v>
      </c>
      <c r="Q110" s="96">
        <f t="shared" si="81"/>
        <v>0.14028772952416213</v>
      </c>
      <c r="R110" s="141"/>
      <c r="V110" s="122">
        <f>SUM(V111:V112)</f>
        <v>66.122585612374394</v>
      </c>
      <c r="W110" s="122">
        <f>SUM(W111:W112)</f>
        <v>27.794604286419837</v>
      </c>
      <c r="X110" s="122">
        <f>SUM(X111:X112)</f>
        <v>38.327981325954553</v>
      </c>
      <c r="Y110" s="188"/>
      <c r="Z110" s="96">
        <f t="shared" si="115"/>
        <v>0</v>
      </c>
      <c r="AA110" s="141"/>
      <c r="AC110" s="269"/>
      <c r="AD110" s="275"/>
      <c r="AF110" s="122">
        <f>SUM(AF111:AF112)</f>
        <v>66.122585612374394</v>
      </c>
      <c r="AG110" s="122">
        <f>SUM(AG111:AG112)</f>
        <v>27.794604286419837</v>
      </c>
      <c r="AH110" s="122">
        <f>SUM(AH111:AH112)</f>
        <v>38.327981325954553</v>
      </c>
      <c r="AI110" s="188"/>
      <c r="AJ110" s="96">
        <f t="shared" si="117"/>
        <v>-0.87959243495486739</v>
      </c>
      <c r="AK110" s="141"/>
    </row>
    <row r="111" spans="1:37" s="4" customFormat="1" ht="16.5" customHeight="1" outlineLevel="1">
      <c r="A111" s="14"/>
      <c r="B111" s="18" t="s">
        <v>63</v>
      </c>
      <c r="C111" s="260" t="s">
        <v>9</v>
      </c>
      <c r="D111" s="28">
        <f t="shared" ref="D111:D130" si="120">SUM(F111:K111)</f>
        <v>29.084922371999994</v>
      </c>
      <c r="E111" s="76">
        <f t="shared" si="79"/>
        <v>6.4845546921279933</v>
      </c>
      <c r="F111" s="28">
        <v>2.7257801547254488</v>
      </c>
      <c r="G111" s="28">
        <v>3.7587745374025445</v>
      </c>
      <c r="H111" s="28">
        <v>8.56733988000747</v>
      </c>
      <c r="I111" s="29">
        <v>4.2404248557725985</v>
      </c>
      <c r="J111" s="29">
        <v>7.8539513085660388</v>
      </c>
      <c r="K111" s="29">
        <v>1.9386516355258927</v>
      </c>
      <c r="M111" s="93">
        <f>N111+O111</f>
        <v>5.574851237394105</v>
      </c>
      <c r="N111" s="120">
        <f>'Проект ТС-6 усл.свод'!N116</f>
        <v>2.1248720974835424</v>
      </c>
      <c r="O111" s="120">
        <f>'Проект ТС-6 усл.свод'!O116</f>
        <v>3.449979139910563</v>
      </c>
      <c r="P111" s="92">
        <f t="shared" si="80"/>
        <v>0.90970345473388825</v>
      </c>
      <c r="Q111" s="96">
        <f t="shared" si="81"/>
        <v>0.14028772952416213</v>
      </c>
      <c r="R111" s="141"/>
      <c r="V111" s="187">
        <f>W111+X111</f>
        <v>6.4845546921279933</v>
      </c>
      <c r="W111" s="120">
        <v>2.7257801547254488</v>
      </c>
      <c r="X111" s="120">
        <v>3.7587745374025445</v>
      </c>
      <c r="Y111" s="188"/>
      <c r="Z111" s="96">
        <f t="shared" si="115"/>
        <v>0</v>
      </c>
      <c r="AA111" s="141"/>
      <c r="AC111" s="269" t="s">
        <v>206</v>
      </c>
      <c r="AD111" s="278" t="s">
        <v>242</v>
      </c>
      <c r="AF111" s="187">
        <f>AG111+AH111</f>
        <v>6.4845546921279933</v>
      </c>
      <c r="AG111" s="120">
        <v>2.7257801547254488</v>
      </c>
      <c r="AH111" s="120">
        <v>3.7587745374025445</v>
      </c>
      <c r="AI111" s="188"/>
      <c r="AJ111" s="96">
        <f t="shared" si="117"/>
        <v>-0.87959243495486716</v>
      </c>
      <c r="AK111" s="141"/>
    </row>
    <row r="112" spans="1:37" s="4" customFormat="1" ht="16.5" customHeight="1" outlineLevel="1">
      <c r="A112" s="14"/>
      <c r="B112" s="18" t="s">
        <v>64</v>
      </c>
      <c r="C112" s="260" t="s">
        <v>9</v>
      </c>
      <c r="D112" s="28">
        <f t="shared" si="120"/>
        <v>267.49215359999999</v>
      </c>
      <c r="E112" s="76">
        <f t="shared" si="79"/>
        <v>59.638030920246393</v>
      </c>
      <c r="F112" s="28">
        <v>25.068824131694388</v>
      </c>
      <c r="G112" s="28">
        <v>34.569206788552009</v>
      </c>
      <c r="H112" s="28">
        <v>78.793271847704005</v>
      </c>
      <c r="I112" s="29">
        <v>38.99891367568344</v>
      </c>
      <c r="J112" s="29">
        <v>72.232283205966965</v>
      </c>
      <c r="K112" s="29">
        <v>17.829653950399184</v>
      </c>
      <c r="M112" s="93">
        <f>N112+O112</f>
        <v>51.271546969153256</v>
      </c>
      <c r="N112" s="120">
        <f>'Проект ТС-6 усл.свод'!N117</f>
        <v>19.542311518342117</v>
      </c>
      <c r="O112" s="120">
        <f>'Проект ТС-6 усл.свод'!O117</f>
        <v>31.729235450811139</v>
      </c>
      <c r="P112" s="92">
        <f t="shared" si="80"/>
        <v>8.3664839510931373</v>
      </c>
      <c r="Q112" s="96">
        <f t="shared" si="81"/>
        <v>0.14028772952416202</v>
      </c>
      <c r="R112" s="141"/>
      <c r="V112" s="187">
        <f>W112+X112</f>
        <v>59.638030920246393</v>
      </c>
      <c r="W112" s="120">
        <v>25.068824131694388</v>
      </c>
      <c r="X112" s="120">
        <v>34.569206788552009</v>
      </c>
      <c r="Y112" s="188"/>
      <c r="Z112" s="96">
        <f t="shared" si="115"/>
        <v>0</v>
      </c>
      <c r="AA112" s="141"/>
      <c r="AC112" s="269" t="s">
        <v>206</v>
      </c>
      <c r="AD112" s="283" t="str">
        <f>AD73</f>
        <v xml:space="preserve">Закон РК «Об обязательном страховании работников от несчастных случаев», статья 17; </v>
      </c>
      <c r="AF112" s="187">
        <f>AG112+AH112</f>
        <v>59.638030920246393</v>
      </c>
      <c r="AG112" s="120">
        <v>25.068824131694388</v>
      </c>
      <c r="AH112" s="120">
        <v>34.569206788552009</v>
      </c>
      <c r="AI112" s="188"/>
      <c r="AJ112" s="96">
        <f t="shared" si="117"/>
        <v>-0.87959243495486694</v>
      </c>
      <c r="AK112" s="141"/>
    </row>
    <row r="113" spans="1:37" s="4" customFormat="1" ht="16.5" customHeight="1">
      <c r="A113" s="211" t="s">
        <v>120</v>
      </c>
      <c r="B113" s="12" t="s">
        <v>65</v>
      </c>
      <c r="C113" s="260" t="s">
        <v>9</v>
      </c>
      <c r="D113" s="25">
        <f>SUM(D114:D130)</f>
        <v>17169.74545690868</v>
      </c>
      <c r="E113" s="74">
        <f t="shared" si="79"/>
        <v>4003.6030680953136</v>
      </c>
      <c r="F113" s="25">
        <f t="shared" ref="F113:K113" si="121">SUM(F114:F130)</f>
        <v>1735.4820130193887</v>
      </c>
      <c r="G113" s="25">
        <f t="shared" si="121"/>
        <v>2268.1210550759251</v>
      </c>
      <c r="H113" s="25">
        <f t="shared" si="121"/>
        <v>4990.9474234508316</v>
      </c>
      <c r="I113" s="25">
        <f t="shared" si="121"/>
        <v>2519.83615368034</v>
      </c>
      <c r="J113" s="25">
        <f t="shared" si="121"/>
        <v>4592.8909867311804</v>
      </c>
      <c r="K113" s="25">
        <f t="shared" si="121"/>
        <v>1062.4678249510157</v>
      </c>
      <c r="M113" s="101">
        <f>SUM(M114:M130)</f>
        <v>3371.929686608968</v>
      </c>
      <c r="N113" s="122">
        <f>SUM(N114:N130)</f>
        <v>1358.9716196773682</v>
      </c>
      <c r="O113" s="122">
        <f>SUM(O114:O130)</f>
        <v>2012.9580669315997</v>
      </c>
      <c r="P113" s="92">
        <f t="shared" si="80"/>
        <v>631.67338148634553</v>
      </c>
      <c r="Q113" s="96">
        <f t="shared" si="81"/>
        <v>0.15777622575028638</v>
      </c>
      <c r="R113" s="141">
        <f>Q113</f>
        <v>0.15777622575028638</v>
      </c>
      <c r="V113" s="122">
        <f>SUM(V114:V130)</f>
        <v>3725.5212110911407</v>
      </c>
      <c r="W113" s="122">
        <f>SUM(W114:W130)</f>
        <v>1573.3112648527142</v>
      </c>
      <c r="X113" s="122">
        <f>SUM(X114:X130)</f>
        <v>2152.2099462384267</v>
      </c>
      <c r="Y113" s="188"/>
      <c r="Z113" s="96">
        <f t="shared" si="115"/>
        <v>6.945789886620013E-2</v>
      </c>
      <c r="AA113" s="141">
        <f t="shared" ref="AA113" si="122">Z113</f>
        <v>6.945789886620013E-2</v>
      </c>
      <c r="AC113" s="269"/>
      <c r="AD113" s="275"/>
      <c r="AF113" s="122">
        <f>SUM(AF114:AF130)</f>
        <v>3007.137377756902</v>
      </c>
      <c r="AG113" s="122">
        <f>SUM(AG114:AG130)</f>
        <v>1847.8912032501705</v>
      </c>
      <c r="AH113" s="122">
        <f>SUM(AH114:AH130)</f>
        <v>1159.2461745067312</v>
      </c>
      <c r="AI113" s="188"/>
      <c r="AJ113" s="96">
        <f t="shared" si="117"/>
        <v>-0.49388972734079539</v>
      </c>
      <c r="AK113" s="141">
        <f t="shared" ref="AK113" si="123">AJ113</f>
        <v>-0.49388972734079539</v>
      </c>
    </row>
    <row r="114" spans="1:37" s="4" customFormat="1" ht="16.5" customHeight="1" outlineLevel="1">
      <c r="A114" s="211"/>
      <c r="B114" s="18" t="s">
        <v>98</v>
      </c>
      <c r="C114" s="260" t="s">
        <v>9</v>
      </c>
      <c r="D114" s="28">
        <f t="shared" si="120"/>
        <v>1089.1199999999999</v>
      </c>
      <c r="E114" s="76">
        <f t="shared" si="79"/>
        <v>242.82197201562607</v>
      </c>
      <c r="F114" s="89">
        <v>102.07012568727171</v>
      </c>
      <c r="G114" s="89">
        <v>140.75184632835436</v>
      </c>
      <c r="H114" s="28">
        <v>320.81437559883398</v>
      </c>
      <c r="I114" s="29">
        <v>158.78782345883488</v>
      </c>
      <c r="J114" s="29">
        <v>294.10068006302345</v>
      </c>
      <c r="K114" s="29">
        <v>72.595148863681501</v>
      </c>
      <c r="M114" s="93">
        <f t="shared" ref="M114:M128" si="124">N114+O114</f>
        <v>208.75702888297425</v>
      </c>
      <c r="N114" s="120">
        <f>'Проект ТС-6 усл.свод'!N119</f>
        <v>79.568398677907112</v>
      </c>
      <c r="O114" s="120">
        <f>'Проект ТС-6 усл.свод'!O119</f>
        <v>129.18863020506714</v>
      </c>
      <c r="P114" s="92">
        <f t="shared" si="80"/>
        <v>34.06494313265182</v>
      </c>
      <c r="Q114" s="96">
        <f t="shared" si="81"/>
        <v>0.14028772952416213</v>
      </c>
      <c r="R114" s="141"/>
      <c r="V114" s="187">
        <f t="shared" ref="V114:V128" si="125">W114+X114</f>
        <v>242.82197201562607</v>
      </c>
      <c r="W114" s="120">
        <v>102.07012568727171</v>
      </c>
      <c r="X114" s="120">
        <v>140.75184632835436</v>
      </c>
      <c r="Y114" s="188"/>
      <c r="Z114" s="96">
        <f t="shared" si="115"/>
        <v>0</v>
      </c>
      <c r="AA114" s="141"/>
      <c r="AC114" s="269" t="s">
        <v>206</v>
      </c>
      <c r="AD114" s="275"/>
      <c r="AF114" s="187">
        <f t="shared" ref="AF114:AF128" si="126">AG114+AH114</f>
        <v>242.82197201562607</v>
      </c>
      <c r="AG114" s="120">
        <v>102.07012568727171</v>
      </c>
      <c r="AH114" s="120">
        <v>140.75184632835436</v>
      </c>
      <c r="AI114" s="188"/>
      <c r="AJ114" s="96">
        <f t="shared" si="117"/>
        <v>-0.87959243495486739</v>
      </c>
      <c r="AK114" s="141"/>
    </row>
    <row r="115" spans="1:37" s="4" customFormat="1" ht="38.25" customHeight="1" outlineLevel="1">
      <c r="A115" s="211"/>
      <c r="B115" s="18" t="s">
        <v>99</v>
      </c>
      <c r="C115" s="260" t="s">
        <v>9</v>
      </c>
      <c r="D115" s="28">
        <f t="shared" si="120"/>
        <v>158</v>
      </c>
      <c r="E115" s="76">
        <f t="shared" si="79"/>
        <v>35.226487052362387</v>
      </c>
      <c r="F115" s="89">
        <v>14.807440739853213</v>
      </c>
      <c r="G115" s="89">
        <v>20.419046312509174</v>
      </c>
      <c r="H115" s="28">
        <v>46.540942545004931</v>
      </c>
      <c r="I115" s="29">
        <v>23.035548063111424</v>
      </c>
      <c r="J115" s="29">
        <v>42.665553336599928</v>
      </c>
      <c r="K115" s="29">
        <v>10.531469002921328</v>
      </c>
      <c r="M115" s="93">
        <f t="shared" si="124"/>
        <v>30.284643164674172</v>
      </c>
      <c r="N115" s="120">
        <f>'Проект ТС-6 усл.свод'!N120</f>
        <v>11.543087071313835</v>
      </c>
      <c r="O115" s="120">
        <f>'Проект ТС-6 усл.свод'!O120</f>
        <v>18.741556093360337</v>
      </c>
      <c r="P115" s="92">
        <f t="shared" si="80"/>
        <v>4.9418438876882149</v>
      </c>
      <c r="Q115" s="96">
        <f t="shared" si="81"/>
        <v>0.14028772952416213</v>
      </c>
      <c r="R115" s="141"/>
      <c r="V115" s="187">
        <f t="shared" si="125"/>
        <v>35.226487052362387</v>
      </c>
      <c r="W115" s="120">
        <v>14.807440739853213</v>
      </c>
      <c r="X115" s="120">
        <v>20.419046312509174</v>
      </c>
      <c r="Y115" s="188"/>
      <c r="Z115" s="96">
        <f t="shared" si="115"/>
        <v>0</v>
      </c>
      <c r="AA115" s="141"/>
      <c r="AC115" s="269" t="s">
        <v>206</v>
      </c>
      <c r="AD115" s="281" t="s">
        <v>243</v>
      </c>
      <c r="AF115" s="187">
        <f t="shared" si="126"/>
        <v>35.226487052362387</v>
      </c>
      <c r="AG115" s="120">
        <v>14.807440739853213</v>
      </c>
      <c r="AH115" s="120">
        <v>20.419046312509174</v>
      </c>
      <c r="AI115" s="188"/>
      <c r="AJ115" s="96">
        <f t="shared" si="117"/>
        <v>-0.87959243495486739</v>
      </c>
      <c r="AK115" s="141"/>
    </row>
    <row r="116" spans="1:37" s="4" customFormat="1" ht="16.5" customHeight="1" outlineLevel="1">
      <c r="A116" s="211"/>
      <c r="B116" s="18" t="s">
        <v>162</v>
      </c>
      <c r="C116" s="260" t="s">
        <v>9</v>
      </c>
      <c r="D116" s="28">
        <f t="shared" si="120"/>
        <v>463.51600000000002</v>
      </c>
      <c r="E116" s="76">
        <f t="shared" si="79"/>
        <v>103.34202767444813</v>
      </c>
      <c r="F116" s="89">
        <v>43.439782923884827</v>
      </c>
      <c r="G116" s="89">
        <v>59.902244750563305</v>
      </c>
      <c r="H116" s="28">
        <v>136.53462990310447</v>
      </c>
      <c r="I116" s="29">
        <v>67.578133519121238</v>
      </c>
      <c r="J116" s="29">
        <v>125.16561152131298</v>
      </c>
      <c r="K116" s="29">
        <v>30.895597382013182</v>
      </c>
      <c r="M116" s="93">
        <f t="shared" si="124"/>
        <v>88.844409247576664</v>
      </c>
      <c r="N116" s="120">
        <f>'Проект ТС-6 усл.свод'!N121</f>
        <v>33.863326246500655</v>
      </c>
      <c r="O116" s="120">
        <f>'Проект ТС-6 усл.свод'!O121</f>
        <v>54.981083001076016</v>
      </c>
      <c r="P116" s="92">
        <f t="shared" si="80"/>
        <v>14.497618426871469</v>
      </c>
      <c r="Q116" s="96">
        <f t="shared" si="81"/>
        <v>0.14028772952416224</v>
      </c>
      <c r="R116" s="141"/>
      <c r="V116" s="187">
        <f t="shared" si="125"/>
        <v>103.34202767444813</v>
      </c>
      <c r="W116" s="120">
        <v>43.439782923884827</v>
      </c>
      <c r="X116" s="120">
        <v>59.902244750563305</v>
      </c>
      <c r="Y116" s="188"/>
      <c r="Z116" s="96">
        <f t="shared" si="115"/>
        <v>0</v>
      </c>
      <c r="AA116" s="141"/>
      <c r="AC116" s="269" t="s">
        <v>206</v>
      </c>
      <c r="AD116" s="285" t="str">
        <f>AD19</f>
        <v xml:space="preserve">«Типовые нормы бесплатной выдачи сертифицированной специальной одежды, специальной обуви и средств индивидуальной защиты работникам железнодорожного транспорта Республики Казахстан, занятым на работах с вредными и (или) опасными условиями труда, а также на работах, выполняемых в особых температурных условиях или связанных с загрязнением»,  </v>
      </c>
      <c r="AF116" s="187">
        <f t="shared" si="126"/>
        <v>103.34202767444813</v>
      </c>
      <c r="AG116" s="120">
        <v>43.439782923884827</v>
      </c>
      <c r="AH116" s="120">
        <v>59.902244750563305</v>
      </c>
      <c r="AI116" s="188"/>
      <c r="AJ116" s="96">
        <f t="shared" si="117"/>
        <v>-0.87959243495486739</v>
      </c>
      <c r="AK116" s="141"/>
    </row>
    <row r="117" spans="1:37" s="4" customFormat="1" ht="36.75" customHeight="1" outlineLevel="1">
      <c r="A117" s="211"/>
      <c r="B117" s="18" t="s">
        <v>100</v>
      </c>
      <c r="C117" s="260" t="s">
        <v>9</v>
      </c>
      <c r="D117" s="28">
        <f t="shared" si="120"/>
        <v>2749.6089285714284</v>
      </c>
      <c r="E117" s="76">
        <f t="shared" si="79"/>
        <v>613.0320463378572</v>
      </c>
      <c r="F117" s="89">
        <v>257.68779283286528</v>
      </c>
      <c r="G117" s="89">
        <v>355.34425350499191</v>
      </c>
      <c r="H117" s="28">
        <v>809.93285548022413</v>
      </c>
      <c r="I117" s="29">
        <v>400.87815587890788</v>
      </c>
      <c r="J117" s="29">
        <v>742.49105314402311</v>
      </c>
      <c r="K117" s="29">
        <v>183.27481773041598</v>
      </c>
      <c r="M117" s="93">
        <f t="shared" si="124"/>
        <v>527.03117243156828</v>
      </c>
      <c r="N117" s="120">
        <f>'Проект ТС-6 усл.свод'!N122</f>
        <v>200.87959034532875</v>
      </c>
      <c r="O117" s="120">
        <f>'Проект ТС-6 усл.свод'!O122</f>
        <v>326.1515820862395</v>
      </c>
      <c r="P117" s="92">
        <f t="shared" si="80"/>
        <v>86.000873906288916</v>
      </c>
      <c r="Q117" s="96">
        <f t="shared" si="81"/>
        <v>0.14028772952416213</v>
      </c>
      <c r="R117" s="141"/>
      <c r="V117" s="187">
        <f t="shared" si="125"/>
        <v>613.0320463378572</v>
      </c>
      <c r="W117" s="120">
        <v>257.68779283286528</v>
      </c>
      <c r="X117" s="120">
        <v>355.34425350499191</v>
      </c>
      <c r="Y117" s="188"/>
      <c r="Z117" s="96">
        <f t="shared" si="115"/>
        <v>0</v>
      </c>
      <c r="AA117" s="141"/>
      <c r="AC117" s="269" t="s">
        <v>206</v>
      </c>
      <c r="AD117" s="275"/>
      <c r="AF117" s="187">
        <f t="shared" si="126"/>
        <v>613.0320463378572</v>
      </c>
      <c r="AG117" s="120">
        <v>257.68779283286528</v>
      </c>
      <c r="AH117" s="120">
        <v>355.34425350499191</v>
      </c>
      <c r="AI117" s="188"/>
      <c r="AJ117" s="96">
        <f t="shared" si="117"/>
        <v>-0.87959243495486739</v>
      </c>
      <c r="AK117" s="141"/>
    </row>
    <row r="118" spans="1:37" s="4" customFormat="1" ht="16.5" customHeight="1" outlineLevel="1">
      <c r="A118" s="211"/>
      <c r="B118" s="18" t="s">
        <v>95</v>
      </c>
      <c r="C118" s="260" t="s">
        <v>9</v>
      </c>
      <c r="D118" s="28">
        <f t="shared" si="120"/>
        <v>69.40000000000002</v>
      </c>
      <c r="E118" s="76">
        <f t="shared" si="79"/>
        <v>21.940131024190826</v>
      </c>
      <c r="F118" s="89">
        <v>11.158977475419155</v>
      </c>
      <c r="G118" s="89">
        <v>10.781153548771671</v>
      </c>
      <c r="H118" s="28">
        <v>17.988512575819136</v>
      </c>
      <c r="I118" s="29">
        <v>10.728887812833047</v>
      </c>
      <c r="J118" s="29">
        <v>17.136443228265996</v>
      </c>
      <c r="K118" s="29">
        <v>1.6060253588910109</v>
      </c>
      <c r="M118" s="93">
        <f t="shared" si="124"/>
        <v>19.119880220285758</v>
      </c>
      <c r="N118" s="120">
        <f>'Проект ТС-6 усл.свод'!N123</f>
        <v>10.004288125331358</v>
      </c>
      <c r="O118" s="120">
        <f>'Проект ТС-6 усл.свод'!O123</f>
        <v>9.1155920949543976</v>
      </c>
      <c r="P118" s="92">
        <f t="shared" si="80"/>
        <v>2.8202508039050684</v>
      </c>
      <c r="Q118" s="96">
        <f t="shared" si="81"/>
        <v>0.12854302468820744</v>
      </c>
      <c r="R118" s="141"/>
      <c r="V118" s="187">
        <f t="shared" si="125"/>
        <v>21.940131024190826</v>
      </c>
      <c r="W118" s="120">
        <v>11.158977475419155</v>
      </c>
      <c r="X118" s="120">
        <v>10.781153548771671</v>
      </c>
      <c r="Y118" s="188"/>
      <c r="Z118" s="96">
        <f t="shared" si="115"/>
        <v>0</v>
      </c>
      <c r="AA118" s="141"/>
      <c r="AC118" s="269" t="s">
        <v>209</v>
      </c>
      <c r="AD118" s="278" t="s">
        <v>237</v>
      </c>
      <c r="AF118" s="187">
        <f t="shared" si="126"/>
        <v>21.940131024190826</v>
      </c>
      <c r="AG118" s="120">
        <v>11.158977475419155</v>
      </c>
      <c r="AH118" s="120">
        <v>10.781153548771671</v>
      </c>
      <c r="AI118" s="188"/>
      <c r="AJ118" s="96">
        <f t="shared" si="117"/>
        <v>-1.4068794210674458</v>
      </c>
      <c r="AK118" s="141"/>
    </row>
    <row r="119" spans="1:37" s="4" customFormat="1" ht="16.5" customHeight="1" outlineLevel="1">
      <c r="A119" s="211"/>
      <c r="B119" s="18" t="s">
        <v>121</v>
      </c>
      <c r="C119" s="260" t="s">
        <v>9</v>
      </c>
      <c r="D119" s="28">
        <f t="shared" si="120"/>
        <v>1457.6375</v>
      </c>
      <c r="E119" s="76">
        <f t="shared" si="79"/>
        <v>324.98385139739162</v>
      </c>
      <c r="F119" s="89">
        <v>136.60684114834044</v>
      </c>
      <c r="G119" s="89">
        <v>188.37701024905121</v>
      </c>
      <c r="H119" s="28">
        <v>429.36596923382677</v>
      </c>
      <c r="I119" s="29">
        <v>212.51568791040239</v>
      </c>
      <c r="J119" s="29">
        <v>393.61335760555806</v>
      </c>
      <c r="K119" s="29">
        <v>97.15863385282114</v>
      </c>
      <c r="M119" s="93">
        <f t="shared" si="124"/>
        <v>279.3926047528339</v>
      </c>
      <c r="N119" s="120">
        <f>'Проект ТС-6 усл.свод'!N124</f>
        <v>106.49137076526722</v>
      </c>
      <c r="O119" s="120">
        <f>'Проект ТС-6 усл.свод'!O124</f>
        <v>172.90123398756666</v>
      </c>
      <c r="P119" s="92">
        <f t="shared" si="80"/>
        <v>45.591246644557714</v>
      </c>
      <c r="Q119" s="96">
        <f t="shared" si="81"/>
        <v>0.14028772952416191</v>
      </c>
      <c r="R119" s="141"/>
      <c r="V119" s="187">
        <f t="shared" si="125"/>
        <v>324.98385139739162</v>
      </c>
      <c r="W119" s="120">
        <v>136.60684114834044</v>
      </c>
      <c r="X119" s="120">
        <v>188.37701024905121</v>
      </c>
      <c r="Y119" s="188"/>
      <c r="Z119" s="96">
        <f t="shared" si="115"/>
        <v>0</v>
      </c>
      <c r="AA119" s="141"/>
      <c r="AC119" s="269" t="s">
        <v>206</v>
      </c>
      <c r="AD119" s="278" t="s">
        <v>244</v>
      </c>
      <c r="AF119" s="187">
        <f t="shared" si="126"/>
        <v>324.98385139739162</v>
      </c>
      <c r="AG119" s="120">
        <v>136.60684114834044</v>
      </c>
      <c r="AH119" s="120">
        <v>188.37701024905121</v>
      </c>
      <c r="AI119" s="188"/>
      <c r="AJ119" s="96">
        <f t="shared" si="117"/>
        <v>-0.87959243495486694</v>
      </c>
      <c r="AK119" s="141"/>
    </row>
    <row r="120" spans="1:37" s="4" customFormat="1" ht="16.5" customHeight="1" outlineLevel="1">
      <c r="A120" s="211"/>
      <c r="B120" s="18" t="s">
        <v>101</v>
      </c>
      <c r="C120" s="260" t="s">
        <v>9</v>
      </c>
      <c r="D120" s="28">
        <f t="shared" si="120"/>
        <v>438.87040000000002</v>
      </c>
      <c r="E120" s="76">
        <f t="shared" si="79"/>
        <v>97.847230780158867</v>
      </c>
      <c r="F120" s="89">
        <v>41.130047091618202</v>
      </c>
      <c r="G120" s="89">
        <v>56.717183688540672</v>
      </c>
      <c r="H120" s="28">
        <v>129.2749498171097</v>
      </c>
      <c r="I120" s="29">
        <v>63.984937928335043</v>
      </c>
      <c r="J120" s="29">
        <v>118.51043328515787</v>
      </c>
      <c r="K120" s="29">
        <v>29.252848189238513</v>
      </c>
      <c r="M120" s="93">
        <f t="shared" si="124"/>
        <v>84.120464933783666</v>
      </c>
      <c r="N120" s="120">
        <f>'Проект ТС-6 усл.свод'!N125</f>
        <v>32.062780001407155</v>
      </c>
      <c r="O120" s="120">
        <f>'Проект ТС-6 усл.свод'!O125</f>
        <v>52.057684932376503</v>
      </c>
      <c r="P120" s="92">
        <f t="shared" si="80"/>
        <v>13.726765846375201</v>
      </c>
      <c r="Q120" s="96">
        <f t="shared" si="81"/>
        <v>0.14028772952416213</v>
      </c>
      <c r="R120" s="141"/>
      <c r="V120" s="187">
        <f t="shared" si="125"/>
        <v>97.847230780158867</v>
      </c>
      <c r="W120" s="120">
        <v>41.130047091618202</v>
      </c>
      <c r="X120" s="120">
        <v>56.717183688540672</v>
      </c>
      <c r="Y120" s="188"/>
      <c r="Z120" s="96">
        <f t="shared" si="115"/>
        <v>0</v>
      </c>
      <c r="AA120" s="141"/>
      <c r="AC120" s="269" t="s">
        <v>206</v>
      </c>
      <c r="AD120" s="275"/>
      <c r="AF120" s="187">
        <f t="shared" si="126"/>
        <v>97.847230780158867</v>
      </c>
      <c r="AG120" s="120">
        <v>41.130047091618202</v>
      </c>
      <c r="AH120" s="120">
        <v>56.717183688540672</v>
      </c>
      <c r="AI120" s="188"/>
      <c r="AJ120" s="96">
        <f t="shared" si="117"/>
        <v>-0.87959243495486739</v>
      </c>
      <c r="AK120" s="141"/>
    </row>
    <row r="121" spans="1:37" s="4" customFormat="1" ht="16.5" customHeight="1" outlineLevel="1">
      <c r="A121" s="211"/>
      <c r="B121" s="18" t="s">
        <v>102</v>
      </c>
      <c r="C121" s="260" t="s">
        <v>9</v>
      </c>
      <c r="D121" s="28">
        <f t="shared" si="120"/>
        <v>1899.8759999999997</v>
      </c>
      <c r="E121" s="76">
        <f t="shared" si="79"/>
        <v>423.58200832337997</v>
      </c>
      <c r="F121" s="89">
        <v>178.05253976626179</v>
      </c>
      <c r="G121" s="89">
        <v>245.52946855711818</v>
      </c>
      <c r="H121" s="28">
        <v>559.63303644704922</v>
      </c>
      <c r="I121" s="29">
        <v>276.99167665792328</v>
      </c>
      <c r="J121" s="29">
        <v>513.03329627168421</v>
      </c>
      <c r="K121" s="29">
        <v>126.63598229996303</v>
      </c>
      <c r="M121" s="93">
        <f t="shared" si="124"/>
        <v>364.15865010840821</v>
      </c>
      <c r="N121" s="120">
        <f>'Проект ТС-6 усл.свод'!N126</f>
        <v>138.80021577657874</v>
      </c>
      <c r="O121" s="120">
        <f>'Проект ТС-6 усл.свод'!O126</f>
        <v>225.3584343318295</v>
      </c>
      <c r="P121" s="92">
        <f t="shared" si="80"/>
        <v>59.423358214971756</v>
      </c>
      <c r="Q121" s="96">
        <f t="shared" si="81"/>
        <v>0.14028772952416224</v>
      </c>
      <c r="R121" s="141"/>
      <c r="V121" s="187">
        <f t="shared" si="125"/>
        <v>423.58200832337997</v>
      </c>
      <c r="W121" s="120">
        <v>178.05253976626179</v>
      </c>
      <c r="X121" s="120">
        <v>245.52946855711818</v>
      </c>
      <c r="Y121" s="188"/>
      <c r="Z121" s="96">
        <f t="shared" si="115"/>
        <v>0</v>
      </c>
      <c r="AA121" s="141"/>
      <c r="AC121" s="269" t="s">
        <v>206</v>
      </c>
      <c r="AD121" s="275"/>
      <c r="AF121" s="187">
        <f t="shared" si="126"/>
        <v>423.58200832337997</v>
      </c>
      <c r="AG121" s="120">
        <v>178.05253976626179</v>
      </c>
      <c r="AH121" s="120">
        <v>245.52946855711818</v>
      </c>
      <c r="AI121" s="188"/>
      <c r="AJ121" s="96">
        <f t="shared" si="117"/>
        <v>-0.87959243495486716</v>
      </c>
      <c r="AK121" s="141"/>
    </row>
    <row r="122" spans="1:37" s="4" customFormat="1" ht="16.5" customHeight="1" outlineLevel="1">
      <c r="A122" s="211"/>
      <c r="B122" s="18" t="s">
        <v>103</v>
      </c>
      <c r="C122" s="260" t="s">
        <v>9</v>
      </c>
      <c r="D122" s="28">
        <f t="shared" si="120"/>
        <v>6428.5714285714266</v>
      </c>
      <c r="E122" s="76">
        <f t="shared" si="79"/>
        <v>1433.2657480617604</v>
      </c>
      <c r="F122" s="89">
        <v>602.47272449673994</v>
      </c>
      <c r="G122" s="89">
        <v>830.79302356502035</v>
      </c>
      <c r="H122" s="28">
        <v>1893.6188196430571</v>
      </c>
      <c r="I122" s="29">
        <v>937.25105139241748</v>
      </c>
      <c r="J122" s="29">
        <v>1735.9402352142822</v>
      </c>
      <c r="K122" s="29">
        <v>428.49557425990929</v>
      </c>
      <c r="M122" s="93">
        <f t="shared" si="124"/>
        <v>1155.1838910575871</v>
      </c>
      <c r="N122" s="120">
        <f>'Проект ТС-6 усл.свод'!N127</f>
        <v>440.30197633006537</v>
      </c>
      <c r="O122" s="120">
        <f>'Проект ТС-6 усл.свод'!O127</f>
        <v>714.8819147275218</v>
      </c>
      <c r="P122" s="92">
        <f t="shared" si="80"/>
        <v>278.08185700417334</v>
      </c>
      <c r="Q122" s="96">
        <f t="shared" si="81"/>
        <v>0.19401974642890207</v>
      </c>
      <c r="R122" s="141">
        <f>Q122</f>
        <v>0.19401974642890207</v>
      </c>
      <c r="V122" s="187">
        <f t="shared" si="125"/>
        <v>1155.1838910575871</v>
      </c>
      <c r="W122" s="120">
        <f>N122</f>
        <v>440.30197633006537</v>
      </c>
      <c r="X122" s="120">
        <f>O122</f>
        <v>714.8819147275218</v>
      </c>
      <c r="Y122" s="204">
        <f>V122-E122</f>
        <v>-278.08185700417334</v>
      </c>
      <c r="Z122" s="96">
        <f t="shared" si="115"/>
        <v>0.19401974642890207</v>
      </c>
      <c r="AA122" s="141">
        <f t="shared" ref="AA122" si="127">Z122</f>
        <v>0.19401974642890207</v>
      </c>
      <c r="AC122" s="269" t="s">
        <v>206</v>
      </c>
      <c r="AD122" s="278" t="s">
        <v>245</v>
      </c>
      <c r="AF122" s="187">
        <f t="shared" si="126"/>
        <v>436.80005772334846</v>
      </c>
      <c r="AG122" s="120">
        <f>X122</f>
        <v>714.8819147275218</v>
      </c>
      <c r="AH122" s="120">
        <f>Y122</f>
        <v>-278.08185700417334</v>
      </c>
      <c r="AI122" s="204">
        <f>AF122-O122</f>
        <v>-278.08185700417334</v>
      </c>
      <c r="AJ122" s="96">
        <f t="shared" si="117"/>
        <v>0.38898991746093425</v>
      </c>
      <c r="AK122" s="141">
        <f t="shared" ref="AK122" si="128">AJ122</f>
        <v>0.38898991746093425</v>
      </c>
    </row>
    <row r="123" spans="1:37" s="4" customFormat="1" ht="16.5" customHeight="1" outlineLevel="1">
      <c r="A123" s="211"/>
      <c r="B123" s="18" t="s">
        <v>106</v>
      </c>
      <c r="C123" s="260" t="s">
        <v>9</v>
      </c>
      <c r="D123" s="28">
        <f t="shared" si="120"/>
        <v>281.31712707182322</v>
      </c>
      <c r="E123" s="76">
        <f t="shared" si="79"/>
        <v>62.720342622806108</v>
      </c>
      <c r="F123" s="89">
        <v>26.364472710264423</v>
      </c>
      <c r="G123" s="89">
        <v>36.355869912541685</v>
      </c>
      <c r="H123" s="28">
        <v>82.865596506174526</v>
      </c>
      <c r="I123" s="29">
        <v>41.014520263540554</v>
      </c>
      <c r="J123" s="29">
        <v>75.965511959379327</v>
      </c>
      <c r="K123" s="29">
        <v>18.751155719922703</v>
      </c>
      <c r="M123" s="93">
        <f t="shared" si="124"/>
        <v>53.921448161275109</v>
      </c>
      <c r="N123" s="120">
        <f>'Проект ТС-6 усл.свод'!N128</f>
        <v>20.552329698999458</v>
      </c>
      <c r="O123" s="120">
        <f>'Проект ТС-6 усл.свод'!O128</f>
        <v>33.369118462275651</v>
      </c>
      <c r="P123" s="92">
        <f t="shared" si="80"/>
        <v>8.798894461530999</v>
      </c>
      <c r="Q123" s="96">
        <f t="shared" si="81"/>
        <v>0.14028772952416213</v>
      </c>
      <c r="R123" s="141"/>
      <c r="V123" s="187">
        <f t="shared" si="125"/>
        <v>62.720342622806108</v>
      </c>
      <c r="W123" s="120">
        <v>26.364472710264423</v>
      </c>
      <c r="X123" s="120">
        <v>36.355869912541685</v>
      </c>
      <c r="Y123" s="188"/>
      <c r="Z123" s="96">
        <f t="shared" si="115"/>
        <v>0</v>
      </c>
      <c r="AA123" s="141"/>
      <c r="AC123" s="269" t="s">
        <v>206</v>
      </c>
      <c r="AD123" s="278" t="s">
        <v>246</v>
      </c>
      <c r="AF123" s="187">
        <f t="shared" si="126"/>
        <v>62.720342622806108</v>
      </c>
      <c r="AG123" s="120">
        <v>26.364472710264423</v>
      </c>
      <c r="AH123" s="120">
        <v>36.355869912541685</v>
      </c>
      <c r="AI123" s="188"/>
      <c r="AJ123" s="96">
        <f t="shared" si="117"/>
        <v>-0.87959243495486739</v>
      </c>
      <c r="AK123" s="141"/>
    </row>
    <row r="124" spans="1:37" s="4" customFormat="1" ht="16.5" customHeight="1">
      <c r="A124" s="211"/>
      <c r="B124" s="18" t="s">
        <v>163</v>
      </c>
      <c r="C124" s="260" t="s">
        <v>9</v>
      </c>
      <c r="D124" s="28">
        <f t="shared" si="120"/>
        <v>15.722651933701655</v>
      </c>
      <c r="E124" s="76">
        <f t="shared" si="79"/>
        <v>3.5054037643755813</v>
      </c>
      <c r="F124" s="89">
        <v>1.4734951695039609</v>
      </c>
      <c r="G124" s="89">
        <v>2.0319085948716205</v>
      </c>
      <c r="H124" s="34">
        <v>4.6313103816551866</v>
      </c>
      <c r="I124" s="29">
        <v>2.2922778753060524</v>
      </c>
      <c r="J124" s="30">
        <v>4.2456686371528107</v>
      </c>
      <c r="K124" s="30">
        <v>1.047991275212026</v>
      </c>
      <c r="M124" s="93">
        <f t="shared" si="124"/>
        <v>3.0136386292058805</v>
      </c>
      <c r="N124" s="120">
        <f>'Проект ТС-6 усл.свод'!N129</f>
        <v>1.1486578497637916</v>
      </c>
      <c r="O124" s="120">
        <f>'Проект ТС-6 усл.свод'!O129</f>
        <v>1.8649807794420887</v>
      </c>
      <c r="P124" s="92">
        <f t="shared" si="80"/>
        <v>0.49176513516970077</v>
      </c>
      <c r="Q124" s="96">
        <f t="shared" si="81"/>
        <v>0.14028772952416202</v>
      </c>
      <c r="R124" s="141"/>
      <c r="V124" s="187">
        <f t="shared" si="125"/>
        <v>3.5054037643755813</v>
      </c>
      <c r="W124" s="120">
        <v>1.4734951695039609</v>
      </c>
      <c r="X124" s="120">
        <v>2.0319085948716205</v>
      </c>
      <c r="Y124" s="188"/>
      <c r="Z124" s="96">
        <f t="shared" si="115"/>
        <v>0</v>
      </c>
      <c r="AA124" s="141"/>
      <c r="AC124" s="269" t="s">
        <v>206</v>
      </c>
      <c r="AD124" s="275"/>
      <c r="AF124" s="187">
        <f t="shared" si="126"/>
        <v>3.5054037643755813</v>
      </c>
      <c r="AG124" s="120">
        <v>1.4734951695039609</v>
      </c>
      <c r="AH124" s="120">
        <v>2.0319085948716205</v>
      </c>
      <c r="AI124" s="188"/>
      <c r="AJ124" s="96">
        <f t="shared" si="117"/>
        <v>-0.87959243495486694</v>
      </c>
      <c r="AK124" s="141"/>
    </row>
    <row r="125" spans="1:37" s="4" customFormat="1" ht="41.25" customHeight="1" outlineLevel="1">
      <c r="A125" s="211"/>
      <c r="B125" s="18" t="s">
        <v>110</v>
      </c>
      <c r="C125" s="260" t="s">
        <v>9</v>
      </c>
      <c r="D125" s="28">
        <f t="shared" si="120"/>
        <v>1606.6637374617146</v>
      </c>
      <c r="E125" s="76">
        <f t="shared" si="79"/>
        <v>507.93102178279742</v>
      </c>
      <c r="F125" s="89">
        <v>258.33896911971215</v>
      </c>
      <c r="G125" s="89">
        <v>249.59205266308524</v>
      </c>
      <c r="H125" s="28">
        <v>416.44799490551321</v>
      </c>
      <c r="I125" s="29">
        <v>248.38206040596225</v>
      </c>
      <c r="J125" s="29">
        <v>396.72192973957243</v>
      </c>
      <c r="K125" s="29">
        <v>37.180730627869195</v>
      </c>
      <c r="M125" s="93">
        <f t="shared" si="124"/>
        <v>442.64003190986477</v>
      </c>
      <c r="N125" s="120">
        <f>'Проект ТС-6 усл.свод'!N130</f>
        <v>231.60701657188369</v>
      </c>
      <c r="O125" s="120">
        <f>'Проект ТС-6 усл.свод'!O130</f>
        <v>211.03301533798111</v>
      </c>
      <c r="P125" s="92">
        <f t="shared" si="80"/>
        <v>65.290989872932641</v>
      </c>
      <c r="Q125" s="96">
        <f t="shared" si="81"/>
        <v>0.12854302468820755</v>
      </c>
      <c r="R125" s="141"/>
      <c r="V125" s="187">
        <f t="shared" si="125"/>
        <v>507.93102178279742</v>
      </c>
      <c r="W125" s="120">
        <v>258.33896911971215</v>
      </c>
      <c r="X125" s="120">
        <v>249.59205266308524</v>
      </c>
      <c r="Y125" s="188"/>
      <c r="Z125" s="96">
        <f t="shared" si="115"/>
        <v>0</v>
      </c>
      <c r="AA125" s="141"/>
      <c r="AC125" s="269" t="s">
        <v>209</v>
      </c>
      <c r="AD125" s="284" t="str">
        <f>AD23</f>
        <v xml:space="preserve">"Нормами расходов горюче-смазочных материалов и расходов на содержание автотранспорта", утв. Постановлением Правительства РК от 11.08.2009 года № 1210. </v>
      </c>
      <c r="AF125" s="187">
        <f t="shared" si="126"/>
        <v>507.93102178279742</v>
      </c>
      <c r="AG125" s="120">
        <v>258.33896911971215</v>
      </c>
      <c r="AH125" s="120">
        <v>249.59205266308524</v>
      </c>
      <c r="AI125" s="188"/>
      <c r="AJ125" s="96">
        <f t="shared" si="117"/>
        <v>-1.4068794210674458</v>
      </c>
      <c r="AK125" s="141"/>
    </row>
    <row r="126" spans="1:37" s="4" customFormat="1" ht="19.5" customHeight="1" outlineLevel="1">
      <c r="A126" s="211"/>
      <c r="B126" s="18" t="s">
        <v>164</v>
      </c>
      <c r="C126" s="260" t="s">
        <v>9</v>
      </c>
      <c r="D126" s="28">
        <f t="shared" si="120"/>
        <v>210</v>
      </c>
      <c r="E126" s="76">
        <f t="shared" si="79"/>
        <v>46.82001443668419</v>
      </c>
      <c r="F126" s="89">
        <v>19.680775666893513</v>
      </c>
      <c r="G126" s="89">
        <v>27.139238769790673</v>
      </c>
      <c r="H126" s="28">
        <v>61.858214775006552</v>
      </c>
      <c r="I126" s="29">
        <v>30.616867678818981</v>
      </c>
      <c r="J126" s="29">
        <v>56.707381016999904</v>
      </c>
      <c r="K126" s="29">
        <v>13.997522092490374</v>
      </c>
      <c r="M126" s="93">
        <f t="shared" si="124"/>
        <v>40.25174091507327</v>
      </c>
      <c r="N126" s="120">
        <f>'Проект ТС-6 усл.свод'!N131</f>
        <v>15.34207775301206</v>
      </c>
      <c r="O126" s="120">
        <f>'Проект ТС-6 усл.свод'!O131</f>
        <v>24.909663162061207</v>
      </c>
      <c r="P126" s="92">
        <f t="shared" si="80"/>
        <v>6.5682735216109194</v>
      </c>
      <c r="Q126" s="96">
        <f t="shared" si="81"/>
        <v>0.14028772952416213</v>
      </c>
      <c r="R126" s="141"/>
      <c r="V126" s="187">
        <f t="shared" si="125"/>
        <v>46.82001443668419</v>
      </c>
      <c r="W126" s="120">
        <v>19.680775666893513</v>
      </c>
      <c r="X126" s="120">
        <v>27.139238769790673</v>
      </c>
      <c r="Y126" s="188"/>
      <c r="Z126" s="96">
        <f t="shared" si="115"/>
        <v>0</v>
      </c>
      <c r="AA126" s="141"/>
      <c r="AC126" s="269" t="s">
        <v>206</v>
      </c>
      <c r="AD126" s="284" t="s">
        <v>263</v>
      </c>
      <c r="AF126" s="187">
        <f t="shared" si="126"/>
        <v>46.82001443668419</v>
      </c>
      <c r="AG126" s="120">
        <v>19.680775666893513</v>
      </c>
      <c r="AH126" s="120">
        <v>27.139238769790673</v>
      </c>
      <c r="AI126" s="188"/>
      <c r="AJ126" s="96">
        <f t="shared" si="117"/>
        <v>-0.87959243495486761</v>
      </c>
      <c r="AK126" s="141"/>
    </row>
    <row r="127" spans="1:37" s="4" customFormat="1" ht="16.5" customHeight="1" outlineLevel="1">
      <c r="A127" s="259"/>
      <c r="B127" s="56" t="s">
        <v>130</v>
      </c>
      <c r="C127" s="261"/>
      <c r="D127" s="28">
        <f t="shared" si="120"/>
        <v>93.499999999999986</v>
      </c>
      <c r="E127" s="76">
        <f t="shared" si="79"/>
        <v>20.846054046809385</v>
      </c>
      <c r="F127" s="94">
        <v>8.7626310707359192</v>
      </c>
      <c r="G127" s="94">
        <v>12.083422976073464</v>
      </c>
      <c r="H127" s="57">
        <v>27.541633721252914</v>
      </c>
      <c r="I127" s="58">
        <v>13.631795847474164</v>
      </c>
      <c r="J127" s="58">
        <v>25.248286309949954</v>
      </c>
      <c r="K127" s="58">
        <v>6.2322300745135699</v>
      </c>
      <c r="M127" s="93">
        <f t="shared" si="124"/>
        <v>17.921608455044527</v>
      </c>
      <c r="N127" s="120">
        <f>'Проект ТС-6 усл.свод'!N132</f>
        <v>6.8308774757458455</v>
      </c>
      <c r="O127" s="120">
        <f>'Проект ТС-6 усл.свод'!O132</f>
        <v>11.090730979298682</v>
      </c>
      <c r="P127" s="92">
        <f t="shared" si="80"/>
        <v>2.924445591764858</v>
      </c>
      <c r="Q127" s="96">
        <f t="shared" si="81"/>
        <v>0.14028772952416202</v>
      </c>
      <c r="R127" s="141"/>
      <c r="V127" s="187">
        <f t="shared" si="125"/>
        <v>20.846054046809385</v>
      </c>
      <c r="W127" s="120">
        <v>8.7626310707359192</v>
      </c>
      <c r="X127" s="120">
        <v>12.083422976073464</v>
      </c>
      <c r="Y127" s="188"/>
      <c r="Z127" s="96">
        <f t="shared" si="115"/>
        <v>0</v>
      </c>
      <c r="AA127" s="141"/>
      <c r="AC127" s="269" t="s">
        <v>206</v>
      </c>
      <c r="AD127" s="284" t="s">
        <v>265</v>
      </c>
      <c r="AF127" s="187">
        <f t="shared" si="126"/>
        <v>20.846054046809385</v>
      </c>
      <c r="AG127" s="120">
        <v>8.7626310707359192</v>
      </c>
      <c r="AH127" s="120">
        <v>12.083422976073464</v>
      </c>
      <c r="AI127" s="188"/>
      <c r="AJ127" s="96">
        <f t="shared" si="117"/>
        <v>-0.87959243495486694</v>
      </c>
      <c r="AK127" s="141"/>
    </row>
    <row r="128" spans="1:37" s="4" customFormat="1" ht="16.5" customHeight="1" outlineLevel="1">
      <c r="A128" s="259"/>
      <c r="B128" s="56" t="s">
        <v>94</v>
      </c>
      <c r="C128" s="261"/>
      <c r="D128" s="28">
        <f t="shared" si="120"/>
        <v>207.94168329858701</v>
      </c>
      <c r="E128" s="76">
        <f t="shared" si="79"/>
        <v>65.738728774665589</v>
      </c>
      <c r="F128" s="94">
        <v>33.435397120024142</v>
      </c>
      <c r="G128" s="94">
        <v>32.30333165464144</v>
      </c>
      <c r="H128" s="57">
        <v>53.898581917199301</v>
      </c>
      <c r="I128" s="58">
        <v>32.146728987351572</v>
      </c>
      <c r="J128" s="58">
        <v>51.345545398217624</v>
      </c>
      <c r="K128" s="58">
        <v>4.8120982211529402</v>
      </c>
      <c r="M128" s="93">
        <f t="shared" si="124"/>
        <v>57.288473738812357</v>
      </c>
      <c r="N128" s="120">
        <f>'Проект ТС-6 усл.свод'!N133</f>
        <v>29.975626988263222</v>
      </c>
      <c r="O128" s="120">
        <f>'Проект ТС-6 усл.свод'!O133</f>
        <v>27.312846750549138</v>
      </c>
      <c r="P128" s="92">
        <f t="shared" si="80"/>
        <v>8.4502550358532318</v>
      </c>
      <c r="Q128" s="96">
        <f t="shared" si="81"/>
        <v>0.12854302468820777</v>
      </c>
      <c r="R128" s="141"/>
      <c r="V128" s="187">
        <f t="shared" si="125"/>
        <v>65.738728774665589</v>
      </c>
      <c r="W128" s="120">
        <v>33.435397120024142</v>
      </c>
      <c r="X128" s="120">
        <v>32.30333165464144</v>
      </c>
      <c r="Y128" s="188"/>
      <c r="Z128" s="96">
        <f t="shared" si="115"/>
        <v>0</v>
      </c>
      <c r="AA128" s="141"/>
      <c r="AC128" s="269" t="s">
        <v>206</v>
      </c>
      <c r="AD128" s="284" t="str">
        <f>AD87</f>
        <v xml:space="preserve">Нормирования расходов по количеству рабочих мест, зданий и производственных участков </v>
      </c>
      <c r="AF128" s="187">
        <f t="shared" si="126"/>
        <v>65.738728774665589</v>
      </c>
      <c r="AG128" s="120">
        <v>33.435397120024142</v>
      </c>
      <c r="AH128" s="120">
        <v>32.30333165464144</v>
      </c>
      <c r="AI128" s="188"/>
      <c r="AJ128" s="96">
        <f t="shared" si="117"/>
        <v>-1.4068794210674462</v>
      </c>
      <c r="AK128" s="141"/>
    </row>
    <row r="129" spans="1:37" s="4" customFormat="1" ht="16.5" hidden="1" customHeight="1" outlineLevel="1">
      <c r="A129" s="259"/>
      <c r="B129" s="56" t="s">
        <v>165</v>
      </c>
      <c r="C129" s="261"/>
      <c r="D129" s="28">
        <f t="shared" si="120"/>
        <v>0</v>
      </c>
      <c r="E129" s="76">
        <f t="shared" si="79"/>
        <v>0</v>
      </c>
      <c r="F129" s="57">
        <v>0</v>
      </c>
      <c r="G129" s="57">
        <v>0</v>
      </c>
      <c r="H129" s="57">
        <v>0</v>
      </c>
      <c r="I129" s="58">
        <v>0</v>
      </c>
      <c r="J129" s="58">
        <v>0</v>
      </c>
      <c r="K129" s="58">
        <v>0</v>
      </c>
      <c r="M129" s="93"/>
      <c r="N129" s="120">
        <f>'Проект ТС-6 усл.свод'!N134</f>
        <v>0</v>
      </c>
      <c r="O129" s="120">
        <f>'Проект ТС-6 усл.свод'!O134</f>
        <v>0</v>
      </c>
      <c r="P129" s="92">
        <f t="shared" si="80"/>
        <v>0</v>
      </c>
      <c r="Q129" s="96" t="e">
        <f t="shared" si="81"/>
        <v>#DIV/0!</v>
      </c>
      <c r="R129" s="141" t="e">
        <f>Q129</f>
        <v>#DIV/0!</v>
      </c>
      <c r="V129" s="187"/>
      <c r="W129" s="120">
        <v>0</v>
      </c>
      <c r="X129" s="120">
        <v>0</v>
      </c>
      <c r="Y129" s="188"/>
      <c r="Z129" s="96" t="e">
        <f t="shared" si="115"/>
        <v>#DIV/0!</v>
      </c>
      <c r="AA129" s="141" t="e">
        <f t="shared" ref="AA129:AA130" si="129">Z129</f>
        <v>#DIV/0!</v>
      </c>
      <c r="AC129" s="269"/>
      <c r="AD129" s="275"/>
      <c r="AF129" s="187"/>
      <c r="AG129" s="120">
        <v>0</v>
      </c>
      <c r="AH129" s="120">
        <v>0</v>
      </c>
      <c r="AI129" s="188"/>
      <c r="AJ129" s="96" t="e">
        <f t="shared" si="117"/>
        <v>#DIV/0!</v>
      </c>
      <c r="AK129" s="141" t="e">
        <f t="shared" ref="AK129:AK130" si="130">AJ129</f>
        <v>#DIV/0!</v>
      </c>
    </row>
    <row r="130" spans="1:37" s="4" customFormat="1" ht="16.5" hidden="1" customHeight="1" outlineLevel="1">
      <c r="A130" s="259"/>
      <c r="B130" s="56" t="s">
        <v>114</v>
      </c>
      <c r="C130" s="261"/>
      <c r="D130" s="28">
        <f t="shared" si="120"/>
        <v>0</v>
      </c>
      <c r="E130" s="76">
        <f t="shared" si="79"/>
        <v>0</v>
      </c>
      <c r="F130" s="57">
        <v>0</v>
      </c>
      <c r="G130" s="57">
        <v>0</v>
      </c>
      <c r="H130" s="57">
        <v>0</v>
      </c>
      <c r="I130" s="58">
        <v>0</v>
      </c>
      <c r="J130" s="58">
        <v>0</v>
      </c>
      <c r="K130" s="58">
        <v>0</v>
      </c>
      <c r="M130" s="93"/>
      <c r="N130" s="120">
        <f>'Проект ТС-6 усл.свод'!N135</f>
        <v>0</v>
      </c>
      <c r="O130" s="120">
        <f>'Проект ТС-6 усл.свод'!O135</f>
        <v>0</v>
      </c>
      <c r="P130" s="92">
        <f t="shared" si="80"/>
        <v>0</v>
      </c>
      <c r="Q130" s="96" t="e">
        <f t="shared" si="81"/>
        <v>#DIV/0!</v>
      </c>
      <c r="R130" s="141" t="e">
        <f>Q130</f>
        <v>#DIV/0!</v>
      </c>
      <c r="V130" s="187"/>
      <c r="W130" s="120">
        <v>0</v>
      </c>
      <c r="X130" s="120">
        <v>0</v>
      </c>
      <c r="Y130" s="188"/>
      <c r="Z130" s="96" t="e">
        <f t="shared" si="115"/>
        <v>#DIV/0!</v>
      </c>
      <c r="AA130" s="141" t="e">
        <f t="shared" si="129"/>
        <v>#DIV/0!</v>
      </c>
      <c r="AC130" s="269"/>
      <c r="AD130" s="275"/>
      <c r="AF130" s="187"/>
      <c r="AG130" s="120">
        <v>0</v>
      </c>
      <c r="AH130" s="120">
        <v>0</v>
      </c>
      <c r="AI130" s="188"/>
      <c r="AJ130" s="96" t="e">
        <f t="shared" si="117"/>
        <v>#DIV/0!</v>
      </c>
      <c r="AK130" s="141" t="e">
        <f t="shared" si="130"/>
        <v>#DIV/0!</v>
      </c>
    </row>
    <row r="131" spans="1:37" s="4" customFormat="1" ht="21.75" customHeight="1" collapsed="1">
      <c r="A131" s="211">
        <v>7</v>
      </c>
      <c r="B131" s="12" t="s">
        <v>66</v>
      </c>
      <c r="C131" s="260" t="s">
        <v>9</v>
      </c>
      <c r="D131" s="25">
        <f>SUM(F131:K131)</f>
        <v>3060199.0170137505</v>
      </c>
      <c r="E131" s="74">
        <f t="shared" si="79"/>
        <v>2381406.2782474156</v>
      </c>
      <c r="F131" s="35">
        <v>1352157.4899460636</v>
      </c>
      <c r="G131" s="35">
        <v>1029248.7883013519</v>
      </c>
      <c r="H131" s="35">
        <v>276649.60844309779</v>
      </c>
      <c r="I131" s="35">
        <v>122716.30162411959</v>
      </c>
      <c r="J131" s="35">
        <v>216287.30637027445</v>
      </c>
      <c r="K131" s="35">
        <v>63139.522328843101</v>
      </c>
      <c r="L131" s="42"/>
      <c r="M131" s="92">
        <f>N131+O131</f>
        <v>2314637.354096693</v>
      </c>
      <c r="N131" s="122">
        <f>'Проект ТС-6 усл.свод'!N136</f>
        <v>1355948.5552545825</v>
      </c>
      <c r="O131" s="122">
        <f>'Проект ТС-6 усл.свод'!O136</f>
        <v>958688.79884211021</v>
      </c>
      <c r="P131" s="92">
        <f t="shared" si="80"/>
        <v>66768.924150722567</v>
      </c>
      <c r="Q131" s="96">
        <f t="shared" si="81"/>
        <v>2.8037603142568646E-2</v>
      </c>
      <c r="R131" s="141"/>
      <c r="S131" s="42"/>
      <c r="T131" s="42"/>
      <c r="U131" s="42"/>
      <c r="V131" s="118">
        <f>W131+X131</f>
        <v>2381406.2782474156</v>
      </c>
      <c r="W131" s="122">
        <f>F131</f>
        <v>1352157.4899460636</v>
      </c>
      <c r="X131" s="122">
        <f>G131</f>
        <v>1029248.7883013519</v>
      </c>
      <c r="Y131" s="188"/>
      <c r="Z131" s="96">
        <f t="shared" si="115"/>
        <v>0</v>
      </c>
      <c r="AA131" s="141"/>
      <c r="AB131" s="42"/>
      <c r="AC131" s="272" t="s">
        <v>210</v>
      </c>
      <c r="AD131" s="280"/>
      <c r="AE131" s="42"/>
      <c r="AF131" s="118">
        <f>AG131+AH131</f>
        <v>66768.952188325711</v>
      </c>
      <c r="AG131" s="122">
        <f>P131</f>
        <v>66768.924150722567</v>
      </c>
      <c r="AH131" s="122">
        <f>Q131</f>
        <v>2.8037603142568646E-2</v>
      </c>
      <c r="AI131" s="188"/>
      <c r="AJ131" s="96">
        <f t="shared" si="117"/>
        <v>0.93035388306511124</v>
      </c>
      <c r="AK131" s="141"/>
    </row>
    <row r="132" spans="1:37" s="6" customFormat="1" ht="33" customHeight="1">
      <c r="A132" s="260" t="s">
        <v>67</v>
      </c>
      <c r="B132" s="17" t="s">
        <v>68</v>
      </c>
      <c r="C132" s="260" t="s">
        <v>9</v>
      </c>
      <c r="D132" s="27">
        <f>D6+D90</f>
        <v>8437981.35264319</v>
      </c>
      <c r="E132" s="70">
        <f t="shared" si="79"/>
        <v>5100124.0679911599</v>
      </c>
      <c r="F132" s="27">
        <f t="shared" ref="F132:K132" si="131">F6+F90</f>
        <v>2822085.1497539203</v>
      </c>
      <c r="G132" s="27">
        <f t="shared" si="131"/>
        <v>2278038.9182372401</v>
      </c>
      <c r="H132" s="27">
        <f t="shared" si="131"/>
        <v>1300367.7189581101</v>
      </c>
      <c r="I132" s="27">
        <f t="shared" si="131"/>
        <v>655830.43993226986</v>
      </c>
      <c r="J132" s="27">
        <f t="shared" si="131"/>
        <v>1138873.2412249313</v>
      </c>
      <c r="K132" s="27">
        <f t="shared" si="131"/>
        <v>242785.88453671784</v>
      </c>
      <c r="M132" s="99">
        <f>M6+M90</f>
        <v>4616047.272805756</v>
      </c>
      <c r="N132" s="117">
        <f>N6+N90</f>
        <v>2568223.898588039</v>
      </c>
      <c r="O132" s="117">
        <f>O6+O90</f>
        <v>2047823.3742177163</v>
      </c>
      <c r="P132" s="91">
        <f t="shared" si="80"/>
        <v>484076.7951854039</v>
      </c>
      <c r="Q132" s="96">
        <f t="shared" si="81"/>
        <v>9.4914709668243891E-2</v>
      </c>
      <c r="R132" s="141"/>
      <c r="V132" s="117">
        <f>V6+V90</f>
        <v>4704375.5231160615</v>
      </c>
      <c r="W132" s="117">
        <f>W6+W90</f>
        <v>2578437.0923643289</v>
      </c>
      <c r="X132" s="117">
        <f>X6+X90</f>
        <v>2125938.430751733</v>
      </c>
      <c r="Y132" s="205"/>
      <c r="Z132" s="96">
        <f t="shared" si="115"/>
        <v>7.7595866218010623E-2</v>
      </c>
      <c r="AA132" s="141"/>
      <c r="AC132" s="270"/>
      <c r="AD132" s="276"/>
      <c r="AF132" s="117">
        <f>AF6+AF90</f>
        <v>937790.04401105258</v>
      </c>
      <c r="AG132" s="117">
        <f>AG6+AG90</f>
        <v>1106725.8792069035</v>
      </c>
      <c r="AH132" s="117">
        <f>AH6+AH90</f>
        <v>-168935.83519585087</v>
      </c>
      <c r="AI132" s="205"/>
      <c r="AJ132" s="96">
        <f t="shared" si="117"/>
        <v>0.54205521051379968</v>
      </c>
      <c r="AK132" s="141"/>
    </row>
    <row r="133" spans="1:37" s="4" customFormat="1" ht="33" customHeight="1">
      <c r="A133" s="260" t="s">
        <v>69</v>
      </c>
      <c r="B133" s="17" t="s">
        <v>70</v>
      </c>
      <c r="C133" s="260" t="s">
        <v>9</v>
      </c>
      <c r="D133" s="27">
        <f>SUM(F133:K133)</f>
        <v>5005696.24195801</v>
      </c>
      <c r="E133" s="70">
        <f t="shared" si="79"/>
        <v>3928212.4869124419</v>
      </c>
      <c r="F133" s="27">
        <v>2230430.8109019222</v>
      </c>
      <c r="G133" s="27">
        <v>1697781.6760105197</v>
      </c>
      <c r="H133" s="27">
        <v>419767.82506717928</v>
      </c>
      <c r="I133" s="27">
        <v>211706.66832901342</v>
      </c>
      <c r="J133" s="27">
        <v>367636.27436032874</v>
      </c>
      <c r="K133" s="27">
        <v>78372.987289045748</v>
      </c>
      <c r="L133" s="15"/>
      <c r="M133" s="91">
        <f>N133+O133</f>
        <v>2738748.9474356356</v>
      </c>
      <c r="N133" s="117">
        <f>'Проект ТС-6 усл.свод'!N138</f>
        <v>1604399.355219783</v>
      </c>
      <c r="O133" s="117">
        <f>'Проект ТС-6 усл.свод'!O138</f>
        <v>1134349.5922158526</v>
      </c>
      <c r="P133" s="91">
        <f t="shared" si="80"/>
        <v>1189463.5394768063</v>
      </c>
      <c r="Q133" s="95"/>
      <c r="R133" s="141"/>
      <c r="S133" s="15"/>
      <c r="T133" s="15"/>
      <c r="U133" s="15"/>
      <c r="V133" s="119">
        <f>W133+X133</f>
        <v>3928212.4869124419</v>
      </c>
      <c r="W133" s="117">
        <f>F133</f>
        <v>2230430.8109019222</v>
      </c>
      <c r="X133" s="117">
        <f>G133</f>
        <v>1697781.6760105197</v>
      </c>
      <c r="Y133" s="205"/>
      <c r="Z133" s="95"/>
      <c r="AA133" s="141"/>
      <c r="AB133" s="15"/>
      <c r="AC133" s="273"/>
      <c r="AD133" s="279"/>
      <c r="AE133" s="15"/>
      <c r="AF133" s="119">
        <f>AG133+AH133</f>
        <v>1189463.5394768063</v>
      </c>
      <c r="AG133" s="117">
        <f>P133</f>
        <v>1189463.5394768063</v>
      </c>
      <c r="AH133" s="117">
        <f>Q133</f>
        <v>0</v>
      </c>
      <c r="AI133" s="205"/>
      <c r="AJ133" s="95"/>
      <c r="AK133" s="141"/>
    </row>
    <row r="134" spans="1:37" s="4" customFormat="1" ht="18.75" customHeight="1">
      <c r="A134" s="211"/>
      <c r="B134" s="12" t="s">
        <v>71</v>
      </c>
      <c r="C134" s="260" t="s">
        <v>9</v>
      </c>
      <c r="D134" s="35">
        <f>D135-D133</f>
        <v>1251424.0604895027</v>
      </c>
      <c r="E134" s="74">
        <f t="shared" si="79"/>
        <v>982053.12172811013</v>
      </c>
      <c r="F134" s="35">
        <f>F135-F133</f>
        <v>557607.70272548031</v>
      </c>
      <c r="G134" s="35">
        <f>G135-G133</f>
        <v>424445.41900262982</v>
      </c>
      <c r="H134" s="35">
        <f t="shared" ref="H134:K134" si="132">H135-H133</f>
        <v>104941.95626679482</v>
      </c>
      <c r="I134" s="35">
        <f t="shared" si="132"/>
        <v>52926.667082253349</v>
      </c>
      <c r="J134" s="35">
        <f t="shared" si="132"/>
        <v>91909.06859008217</v>
      </c>
      <c r="K134" s="35">
        <f t="shared" si="132"/>
        <v>19593.246822261441</v>
      </c>
      <c r="L134" s="15"/>
      <c r="M134" s="102">
        <f>M135-M133</f>
        <v>684687.23685890902</v>
      </c>
      <c r="N134" s="128">
        <f>N135-N133</f>
        <v>401099.83880494582</v>
      </c>
      <c r="O134" s="128">
        <f>O135-O133</f>
        <v>283587.3980539632</v>
      </c>
      <c r="P134" s="92">
        <f t="shared" si="80"/>
        <v>297365.88486920111</v>
      </c>
      <c r="Q134" s="95"/>
      <c r="R134" s="141"/>
      <c r="S134" s="15"/>
      <c r="T134" s="15"/>
      <c r="U134" s="15"/>
      <c r="V134" s="128">
        <f>V135-V133</f>
        <v>982053.12172811059</v>
      </c>
      <c r="W134" s="128">
        <f>W135-W133</f>
        <v>557607.70272548031</v>
      </c>
      <c r="X134" s="128">
        <f>X135-X133</f>
        <v>424445.41900262982</v>
      </c>
      <c r="Y134" s="188"/>
      <c r="Z134" s="95"/>
      <c r="AA134" s="141"/>
      <c r="AB134" s="15"/>
      <c r="AC134" s="273"/>
      <c r="AD134" s="279"/>
      <c r="AE134" s="15"/>
      <c r="AF134" s="128">
        <f>AF135-AF133</f>
        <v>297365.88486920157</v>
      </c>
      <c r="AG134" s="128">
        <f>AG135-AG133</f>
        <v>297365.88486920157</v>
      </c>
      <c r="AH134" s="128">
        <f>AH135-AH133</f>
        <v>0</v>
      </c>
      <c r="AI134" s="188"/>
      <c r="AJ134" s="95"/>
      <c r="AK134" s="141"/>
    </row>
    <row r="135" spans="1:37" s="4" customFormat="1" ht="18.75" customHeight="1">
      <c r="A135" s="211"/>
      <c r="B135" s="12" t="s">
        <v>72</v>
      </c>
      <c r="C135" s="260" t="s">
        <v>9</v>
      </c>
      <c r="D135" s="54">
        <f>D133/8*10</f>
        <v>6257120.3024475127</v>
      </c>
      <c r="E135" s="74">
        <f t="shared" si="79"/>
        <v>4910265.6086405516</v>
      </c>
      <c r="F135" s="54">
        <f t="shared" ref="F135:K135" si="133">F133/8*10</f>
        <v>2788038.5136274025</v>
      </c>
      <c r="G135" s="54">
        <f t="shared" si="133"/>
        <v>2122227.0950131495</v>
      </c>
      <c r="H135" s="54">
        <f t="shared" si="133"/>
        <v>524709.7813339741</v>
      </c>
      <c r="I135" s="54">
        <f t="shared" si="133"/>
        <v>264633.33541126677</v>
      </c>
      <c r="J135" s="54">
        <f t="shared" si="133"/>
        <v>459545.34295041091</v>
      </c>
      <c r="K135" s="54">
        <f t="shared" si="133"/>
        <v>97966.234111307189</v>
      </c>
      <c r="L135" s="15"/>
      <c r="M135" s="103">
        <f t="shared" ref="M135" si="134">M133/8*10</f>
        <v>3423436.1842945446</v>
      </c>
      <c r="N135" s="130">
        <f>N133/8*10</f>
        <v>2005499.1940247288</v>
      </c>
      <c r="O135" s="130">
        <f>O133/8*10</f>
        <v>1417936.9902698158</v>
      </c>
      <c r="P135" s="92">
        <f t="shared" si="80"/>
        <v>1486829.4243460069</v>
      </c>
      <c r="Q135" s="95"/>
      <c r="R135" s="141"/>
      <c r="S135" s="15"/>
      <c r="T135" s="15"/>
      <c r="U135" s="15"/>
      <c r="V135" s="130">
        <f t="shared" ref="V135" si="135">V133/8*10</f>
        <v>4910265.6086405525</v>
      </c>
      <c r="W135" s="130">
        <f>W133/8*10</f>
        <v>2788038.5136274025</v>
      </c>
      <c r="X135" s="130">
        <f>X133/8*10</f>
        <v>2122227.0950131495</v>
      </c>
      <c r="Y135" s="188"/>
      <c r="Z135" s="95"/>
      <c r="AA135" s="141"/>
      <c r="AB135" s="15"/>
      <c r="AC135" s="273"/>
      <c r="AD135" s="279"/>
      <c r="AE135" s="15"/>
      <c r="AF135" s="130">
        <f t="shared" ref="AF135" si="136">AF133/8*10</f>
        <v>1486829.4243460079</v>
      </c>
      <c r="AG135" s="130">
        <f>AG133/8*10</f>
        <v>1486829.4243460079</v>
      </c>
      <c r="AH135" s="130">
        <f>AH133/8*10</f>
        <v>0</v>
      </c>
      <c r="AI135" s="188"/>
      <c r="AJ135" s="95"/>
      <c r="AK135" s="141"/>
    </row>
    <row r="136" spans="1:37" s="4" customFormat="1" ht="33" customHeight="1">
      <c r="A136" s="260" t="s">
        <v>73</v>
      </c>
      <c r="B136" s="17" t="s">
        <v>74</v>
      </c>
      <c r="C136" s="260" t="s">
        <v>9</v>
      </c>
      <c r="D136" s="31">
        <f>D132+D135</f>
        <v>14695101.655090703</v>
      </c>
      <c r="E136" s="70">
        <f t="shared" ref="E136" si="137">F136+G136</f>
        <v>10010389.676631713</v>
      </c>
      <c r="F136" s="31">
        <f>F132+F135</f>
        <v>5610123.6633813232</v>
      </c>
      <c r="G136" s="31">
        <f t="shared" ref="G136:K136" si="138">G132+G135</f>
        <v>4400266.0132503901</v>
      </c>
      <c r="H136" s="31">
        <f t="shared" si="138"/>
        <v>1825077.5002920842</v>
      </c>
      <c r="I136" s="31">
        <f t="shared" si="138"/>
        <v>920463.77534353663</v>
      </c>
      <c r="J136" s="31">
        <f t="shared" si="138"/>
        <v>1598418.5841753422</v>
      </c>
      <c r="K136" s="31">
        <f t="shared" si="138"/>
        <v>340752.11864802503</v>
      </c>
      <c r="L136" s="15"/>
      <c r="M136" s="104">
        <f>M132+M135</f>
        <v>8039483.4571003001</v>
      </c>
      <c r="N136" s="124">
        <f>N132+N135</f>
        <v>4573723.0926127676</v>
      </c>
      <c r="O136" s="124">
        <f>O132+O135</f>
        <v>3465760.3644875321</v>
      </c>
      <c r="P136" s="91">
        <f>E136-M136</f>
        <v>1970906.2195314132</v>
      </c>
      <c r="Q136" s="95"/>
      <c r="R136" s="141"/>
      <c r="S136" s="15"/>
      <c r="T136" s="15"/>
      <c r="U136" s="15"/>
      <c r="V136" s="124">
        <f>V132+V135</f>
        <v>9614641.1317566149</v>
      </c>
      <c r="W136" s="124">
        <f>W132+W135</f>
        <v>5366475.6059917314</v>
      </c>
      <c r="X136" s="124">
        <f>X132+X135</f>
        <v>4248165.5257648826</v>
      </c>
      <c r="Y136" s="204">
        <f>V136-E136</f>
        <v>-395748.54487509839</v>
      </c>
      <c r="Z136" s="95"/>
      <c r="AA136" s="141"/>
      <c r="AB136" s="15"/>
      <c r="AC136" s="273"/>
      <c r="AD136" s="279"/>
      <c r="AE136" s="15"/>
      <c r="AF136" s="124">
        <f>AF132+AF135</f>
        <v>2424619.4683570606</v>
      </c>
      <c r="AG136" s="124">
        <f>AG132+AG135</f>
        <v>2593555.3035529116</v>
      </c>
      <c r="AH136" s="124">
        <f>AH132+AH135</f>
        <v>-168935.83519585087</v>
      </c>
      <c r="AI136" s="204">
        <f>AF136-O136</f>
        <v>-1041140.8961304715</v>
      </c>
      <c r="AJ136" s="95"/>
      <c r="AK136" s="141"/>
    </row>
    <row r="137" spans="1:37" s="4" customFormat="1" ht="18.75" customHeight="1">
      <c r="A137" s="817" t="s">
        <v>75</v>
      </c>
      <c r="B137" s="796" t="s">
        <v>76</v>
      </c>
      <c r="C137" s="14" t="s">
        <v>77</v>
      </c>
      <c r="D137" s="25" t="s">
        <v>133</v>
      </c>
      <c r="E137" s="60"/>
      <c r="F137" s="25">
        <v>1559287</v>
      </c>
      <c r="G137" s="25"/>
      <c r="H137" s="25">
        <v>484720</v>
      </c>
      <c r="I137" s="25"/>
      <c r="J137" s="25"/>
      <c r="K137" s="25"/>
      <c r="M137" s="92">
        <f>N137</f>
        <v>1559287</v>
      </c>
      <c r="N137" s="122">
        <f>'Проект ТС-6 усл.свод'!N142</f>
        <v>1559287</v>
      </c>
      <c r="O137" s="122"/>
      <c r="P137" s="91"/>
      <c r="Q137" s="95"/>
      <c r="R137" s="141"/>
      <c r="V137" s="118"/>
      <c r="W137" s="122">
        <f>N137</f>
        <v>1559287</v>
      </c>
      <c r="X137" s="122"/>
      <c r="Y137" s="205"/>
      <c r="Z137" s="95"/>
      <c r="AA137" s="141"/>
      <c r="AC137" s="269"/>
      <c r="AD137" s="275"/>
      <c r="AF137" s="118"/>
      <c r="AG137" s="122">
        <f>X137</f>
        <v>0</v>
      </c>
      <c r="AH137" s="122"/>
      <c r="AI137" s="205"/>
      <c r="AJ137" s="95"/>
      <c r="AK137" s="141"/>
    </row>
    <row r="138" spans="1:37" s="4" customFormat="1" ht="18.75" customHeight="1">
      <c r="A138" s="818"/>
      <c r="B138" s="797"/>
      <c r="C138" s="14" t="s">
        <v>131</v>
      </c>
      <c r="D138" s="25" t="s">
        <v>134</v>
      </c>
      <c r="E138" s="60"/>
      <c r="F138" s="25"/>
      <c r="G138" s="25">
        <v>687793</v>
      </c>
      <c r="H138" s="25"/>
      <c r="I138" s="25"/>
      <c r="J138" s="25"/>
      <c r="K138" s="25"/>
      <c r="M138" s="92">
        <f>O138</f>
        <v>687793</v>
      </c>
      <c r="N138" s="122"/>
      <c r="O138" s="122">
        <f>'Проект ТС-6 усл.свод'!O143</f>
        <v>687793</v>
      </c>
      <c r="P138" s="91"/>
      <c r="Q138" s="95"/>
      <c r="R138" s="141"/>
      <c r="V138" s="118"/>
      <c r="W138" s="122"/>
      <c r="X138" s="122">
        <f>O138</f>
        <v>687793</v>
      </c>
      <c r="Y138" s="205"/>
      <c r="Z138" s="95"/>
      <c r="AA138" s="141"/>
      <c r="AC138" s="269"/>
      <c r="AD138" s="275"/>
      <c r="AF138" s="118"/>
      <c r="AG138" s="122"/>
      <c r="AH138" s="122">
        <f>Y138</f>
        <v>0</v>
      </c>
      <c r="AI138" s="205"/>
      <c r="AJ138" s="95"/>
      <c r="AK138" s="141"/>
    </row>
    <row r="139" spans="1:37" s="4" customFormat="1" ht="18.75" hidden="1" customHeight="1">
      <c r="A139" s="818"/>
      <c r="B139" s="797"/>
      <c r="C139" s="14"/>
      <c r="D139" s="25" t="s">
        <v>133</v>
      </c>
      <c r="E139" s="60"/>
      <c r="F139" s="25"/>
      <c r="G139" s="25"/>
      <c r="H139" s="25"/>
      <c r="I139" s="25">
        <v>1676445</v>
      </c>
      <c r="J139" s="25"/>
      <c r="K139" s="25"/>
      <c r="M139" s="92"/>
      <c r="N139" s="131"/>
      <c r="O139" s="131"/>
      <c r="P139" s="91"/>
      <c r="Q139" s="95"/>
      <c r="R139" s="141"/>
      <c r="V139" s="118"/>
      <c r="W139" s="131"/>
      <c r="X139" s="131"/>
      <c r="Y139" s="205"/>
      <c r="Z139" s="95"/>
      <c r="AA139" s="141"/>
      <c r="AC139" s="269"/>
      <c r="AD139" s="275"/>
      <c r="AF139" s="118"/>
      <c r="AG139" s="131"/>
      <c r="AH139" s="131"/>
      <c r="AI139" s="205"/>
      <c r="AJ139" s="95"/>
      <c r="AK139" s="141"/>
    </row>
    <row r="140" spans="1:37" s="4" customFormat="1" ht="18.75" hidden="1" customHeight="1">
      <c r="A140" s="818"/>
      <c r="B140" s="797"/>
      <c r="C140" s="14"/>
      <c r="D140" s="25" t="s">
        <v>135</v>
      </c>
      <c r="E140" s="60"/>
      <c r="F140" s="25"/>
      <c r="G140" s="25"/>
      <c r="H140" s="25"/>
      <c r="I140" s="25"/>
      <c r="J140" s="25">
        <v>287656.50000000006</v>
      </c>
      <c r="K140" s="25"/>
      <c r="M140" s="92"/>
      <c r="N140" s="122"/>
      <c r="O140" s="122"/>
      <c r="P140" s="91"/>
      <c r="Q140" s="95"/>
      <c r="R140" s="141"/>
      <c r="V140" s="189"/>
      <c r="W140" s="122"/>
      <c r="X140" s="122"/>
      <c r="Y140" s="205"/>
      <c r="Z140" s="95"/>
      <c r="AA140" s="141"/>
      <c r="AC140" s="269"/>
      <c r="AD140" s="275"/>
      <c r="AF140" s="189"/>
      <c r="AG140" s="122"/>
      <c r="AH140" s="122"/>
      <c r="AI140" s="205"/>
      <c r="AJ140" s="95"/>
      <c r="AK140" s="141"/>
    </row>
    <row r="141" spans="1:37" s="4" customFormat="1" ht="18.75" hidden="1" customHeight="1">
      <c r="A141" s="819"/>
      <c r="B141" s="798"/>
      <c r="C141" s="14"/>
      <c r="D141" s="25" t="s">
        <v>137</v>
      </c>
      <c r="E141" s="60"/>
      <c r="F141" s="25"/>
      <c r="G141" s="25"/>
      <c r="H141" s="25"/>
      <c r="I141" s="25"/>
      <c r="J141" s="25"/>
      <c r="K141" s="25">
        <v>2190</v>
      </c>
      <c r="M141" s="92"/>
      <c r="N141" s="122"/>
      <c r="O141" s="122"/>
      <c r="P141" s="91"/>
      <c r="Q141" s="95"/>
      <c r="R141" s="141"/>
      <c r="V141" s="118"/>
      <c r="W141" s="122"/>
      <c r="X141" s="122"/>
      <c r="Y141" s="205"/>
      <c r="Z141" s="95"/>
      <c r="AA141" s="141"/>
      <c r="AC141" s="269"/>
      <c r="AD141" s="275"/>
      <c r="AF141" s="118"/>
      <c r="AG141" s="122"/>
      <c r="AH141" s="122"/>
      <c r="AI141" s="205"/>
      <c r="AJ141" s="95"/>
      <c r="AK141" s="141"/>
    </row>
    <row r="142" spans="1:37" s="5" customFormat="1" ht="18.75" customHeight="1">
      <c r="A142" s="817" t="s">
        <v>78</v>
      </c>
      <c r="B142" s="799" t="s">
        <v>79</v>
      </c>
      <c r="C142" s="14" t="s">
        <v>80</v>
      </c>
      <c r="D142" s="25" t="s">
        <v>169</v>
      </c>
      <c r="E142" s="60"/>
      <c r="F142" s="31">
        <f>(F136*1000)/F137</f>
        <v>3597.8775320908358</v>
      </c>
      <c r="G142" s="31"/>
      <c r="H142" s="31">
        <f>(H136*1000)/H137</f>
        <v>3765.2201276862606</v>
      </c>
      <c r="I142" s="68"/>
      <c r="J142" s="31"/>
      <c r="K142" s="31"/>
      <c r="M142" s="91">
        <f>N142</f>
        <v>2933.2144067209997</v>
      </c>
      <c r="N142" s="124">
        <f>'Проект ТС-6 усл.свод'!N148</f>
        <v>2933.2144067209997</v>
      </c>
      <c r="O142" s="122"/>
      <c r="P142" s="91"/>
      <c r="Q142" s="95"/>
      <c r="R142" s="141"/>
      <c r="V142" s="119"/>
      <c r="W142" s="124">
        <f>(W136*1000)/W137</f>
        <v>3441.6214628812604</v>
      </c>
      <c r="X142" s="124"/>
      <c r="Y142" s="204"/>
      <c r="Z142" s="95"/>
      <c r="AA142" s="141"/>
      <c r="AC142" s="269"/>
      <c r="AD142" s="275"/>
      <c r="AF142" s="119"/>
      <c r="AG142" s="124" t="e">
        <f>(AG136*1000)/AG137</f>
        <v>#DIV/0!</v>
      </c>
      <c r="AH142" s="124"/>
      <c r="AI142" s="204"/>
      <c r="AJ142" s="95"/>
      <c r="AK142" s="141"/>
    </row>
    <row r="143" spans="1:37" s="4" customFormat="1" ht="18.75" customHeight="1">
      <c r="A143" s="818"/>
      <c r="B143" s="800"/>
      <c r="C143" s="14" t="s">
        <v>89</v>
      </c>
      <c r="D143" s="25" t="s">
        <v>170</v>
      </c>
      <c r="E143" s="60"/>
      <c r="F143" s="46"/>
      <c r="G143" s="31">
        <f>(G136*1000)/G138</f>
        <v>6397.6603618390855</v>
      </c>
      <c r="H143" s="46"/>
      <c r="I143" s="36"/>
      <c r="J143" s="46"/>
      <c r="K143" s="46"/>
      <c r="M143" s="91">
        <f>O143</f>
        <v>5038.9584722257023</v>
      </c>
      <c r="N143" s="124"/>
      <c r="O143" s="124">
        <f>'Проект ТС-6 усл.свод'!O149</f>
        <v>5038.9584722257023</v>
      </c>
      <c r="P143" s="91"/>
      <c r="Q143" s="95"/>
      <c r="R143" s="141"/>
      <c r="V143" s="119"/>
      <c r="W143" s="123"/>
      <c r="X143" s="124">
        <f>(X136*1000)/X138</f>
        <v>6176.5175361844076</v>
      </c>
      <c r="Y143" s="204"/>
      <c r="Z143" s="95"/>
      <c r="AA143" s="141"/>
      <c r="AC143" s="269"/>
      <c r="AD143" s="275"/>
      <c r="AF143" s="119"/>
      <c r="AG143" s="123"/>
      <c r="AH143" s="124" t="e">
        <f>(AH136*1000)/AH138</f>
        <v>#DIV/0!</v>
      </c>
      <c r="AI143" s="204"/>
      <c r="AJ143" s="95"/>
      <c r="AK143" s="141"/>
    </row>
    <row r="144" spans="1:37" s="4" customFormat="1" ht="18.75" customHeight="1">
      <c r="A144" s="818"/>
      <c r="B144" s="800"/>
      <c r="C144" s="14"/>
      <c r="D144" s="25" t="s">
        <v>171</v>
      </c>
      <c r="E144" s="60"/>
      <c r="F144" s="46"/>
      <c r="G144" s="31"/>
      <c r="H144" s="46"/>
      <c r="I144" s="46">
        <f>(I136*1000)/I139</f>
        <v>549.05694809166812</v>
      </c>
      <c r="J144" s="47"/>
      <c r="K144" s="47"/>
      <c r="M144" s="92"/>
      <c r="N144" s="123"/>
      <c r="O144" s="124"/>
      <c r="P144" s="91"/>
      <c r="Q144" s="95"/>
      <c r="R144" s="141"/>
      <c r="V144" s="118"/>
      <c r="W144" s="123"/>
      <c r="X144" s="124"/>
      <c r="Y144" s="119"/>
      <c r="Z144" s="95"/>
      <c r="AA144" s="141"/>
      <c r="AC144" s="269"/>
      <c r="AD144" s="275"/>
      <c r="AF144" s="118"/>
      <c r="AG144" s="123"/>
      <c r="AH144" s="124"/>
      <c r="AI144" s="119"/>
      <c r="AJ144" s="95"/>
      <c r="AK144" s="141"/>
    </row>
    <row r="145" spans="1:37" s="4" customFormat="1" ht="18.75" customHeight="1">
      <c r="A145" s="818"/>
      <c r="B145" s="800"/>
      <c r="C145" s="14"/>
      <c r="D145" s="25" t="s">
        <v>170</v>
      </c>
      <c r="E145" s="60"/>
      <c r="F145" s="46"/>
      <c r="G145" s="31"/>
      <c r="H145" s="46"/>
      <c r="I145" s="36"/>
      <c r="J145" s="46">
        <f>(J136*1000)/J140</f>
        <v>5556.6920412900181</v>
      </c>
      <c r="K145" s="46"/>
      <c r="M145" s="92"/>
      <c r="N145" s="119"/>
      <c r="O145" s="132"/>
      <c r="P145" s="91"/>
      <c r="Q145" s="95"/>
      <c r="R145" s="141"/>
      <c r="V145" s="118"/>
      <c r="W145" s="119"/>
      <c r="X145" s="132"/>
      <c r="Y145" s="119"/>
      <c r="Z145" s="95"/>
      <c r="AA145" s="141"/>
      <c r="AC145" s="269"/>
      <c r="AD145" s="275"/>
      <c r="AF145" s="118"/>
      <c r="AG145" s="119"/>
      <c r="AH145" s="132"/>
      <c r="AI145" s="119"/>
      <c r="AJ145" s="95"/>
      <c r="AK145" s="141"/>
    </row>
    <row r="146" spans="1:37" s="4" customFormat="1" ht="18.75" customHeight="1">
      <c r="A146" s="819"/>
      <c r="B146" s="801"/>
      <c r="C146" s="14"/>
      <c r="D146" s="25" t="s">
        <v>172</v>
      </c>
      <c r="E146" s="60"/>
      <c r="F146" s="33"/>
      <c r="G146" s="25"/>
      <c r="H146" s="33"/>
      <c r="I146" s="32"/>
      <c r="J146" s="33"/>
      <c r="K146" s="46">
        <f>(K136*1000)/K141</f>
        <v>155594.5747251256</v>
      </c>
      <c r="M146" s="92"/>
      <c r="N146" s="123"/>
      <c r="O146" s="124"/>
      <c r="P146" s="91"/>
      <c r="Q146" s="95"/>
      <c r="R146" s="141"/>
      <c r="V146" s="118"/>
      <c r="W146" s="123"/>
      <c r="X146" s="124"/>
      <c r="Y146" s="119"/>
      <c r="Z146" s="95"/>
      <c r="AA146" s="141"/>
      <c r="AC146" s="269"/>
      <c r="AD146" s="275"/>
      <c r="AF146" s="118"/>
      <c r="AG146" s="123"/>
      <c r="AH146" s="124"/>
      <c r="AI146" s="119"/>
      <c r="AJ146" s="95"/>
      <c r="AK146" s="141"/>
    </row>
    <row r="147" spans="1:37" ht="16.5" customHeight="1">
      <c r="A147" s="195"/>
      <c r="B147" s="813"/>
      <c r="C147" s="813"/>
      <c r="D147" s="813"/>
      <c r="E147" s="813"/>
      <c r="F147" s="813"/>
      <c r="G147" s="813"/>
      <c r="H147" s="813"/>
      <c r="I147" s="38"/>
      <c r="J147" s="39"/>
      <c r="AF147" s="190"/>
      <c r="AG147" s="191"/>
      <c r="AH147" s="191"/>
      <c r="AI147" s="191"/>
    </row>
    <row r="148" spans="1:37" ht="23.25" hidden="1" customHeight="1">
      <c r="A148" s="155"/>
      <c r="B148" s="173" t="s">
        <v>184</v>
      </c>
      <c r="C148" s="161"/>
      <c r="D148" s="161"/>
      <c r="E148" s="153"/>
      <c r="F148" s="156">
        <f>'Проект ТС-6 усл.свод'!E91</f>
        <v>9.3072622588082576E-2</v>
      </c>
      <c r="G148" s="156">
        <f>'Проект ТС-6 усл.свод'!F91</f>
        <v>0.12834454139923065</v>
      </c>
      <c r="H148" s="161"/>
      <c r="I148" s="38"/>
      <c r="J148" s="39"/>
      <c r="M148" s="154"/>
      <c r="N148" s="157">
        <f>'Проект ТС-6 усл.свод'!N91</f>
        <v>7.3057513109581224E-2</v>
      </c>
      <c r="O148" s="157">
        <f>'Проект ТС-6 усл.свод'!O91</f>
        <v>0.11861744362886288</v>
      </c>
      <c r="P148" s="155"/>
      <c r="Q148" s="155"/>
      <c r="R148" s="155"/>
      <c r="V148" s="192"/>
      <c r="W148" s="193"/>
      <c r="X148" s="193"/>
      <c r="Y148" s="194"/>
      <c r="Z148" s="155"/>
      <c r="AA148" s="155"/>
      <c r="AF148" s="192"/>
      <c r="AG148" s="193"/>
      <c r="AH148" s="193"/>
      <c r="AI148" s="194"/>
      <c r="AJ148" s="155"/>
      <c r="AK148" s="155"/>
    </row>
    <row r="149" spans="1:37" ht="23.25" hidden="1" customHeight="1">
      <c r="A149" s="155"/>
      <c r="B149" s="173" t="s">
        <v>185</v>
      </c>
      <c r="C149" s="161"/>
      <c r="D149" s="161"/>
      <c r="E149" s="153"/>
      <c r="F149" s="156">
        <f>'Проект ТС-6 усл.свод'!E92</f>
        <v>0.16079218264292713</v>
      </c>
      <c r="G149" s="156">
        <f>'Проект ТС-6 усл.свод'!F92</f>
        <v>0.15534803384397219</v>
      </c>
      <c r="H149" s="161"/>
      <c r="I149" s="38"/>
      <c r="J149" s="39"/>
      <c r="M149" s="154"/>
      <c r="N149" s="157">
        <f>'Проект ТС-6 усл.свод'!N92</f>
        <v>0.1441540075696161</v>
      </c>
      <c r="O149" s="157">
        <f>'Проект ТС-6 усл.свод'!O92</f>
        <v>0.13134858926447257</v>
      </c>
      <c r="P149" s="155"/>
      <c r="Q149" s="155"/>
      <c r="R149" s="155"/>
      <c r="V149" s="192"/>
      <c r="W149" s="193"/>
      <c r="X149" s="193"/>
      <c r="Y149" s="194"/>
      <c r="Z149" s="155"/>
      <c r="AA149" s="155"/>
      <c r="AF149" s="192"/>
      <c r="AG149" s="193"/>
      <c r="AH149" s="193"/>
      <c r="AI149" s="194"/>
      <c r="AJ149" s="155"/>
      <c r="AK149" s="155"/>
    </row>
    <row r="150" spans="1:37" ht="23.25" hidden="1" customHeight="1">
      <c r="A150" s="155"/>
      <c r="B150" s="174" t="s">
        <v>186</v>
      </c>
      <c r="C150" s="161"/>
      <c r="D150" s="161"/>
      <c r="E150" s="153"/>
      <c r="F150" s="156">
        <f>'Проект ТС-6 усл.свод'!E93</f>
        <v>0.44185279533405841</v>
      </c>
      <c r="G150" s="156">
        <f>'Проект ТС-6 усл.свод'!F93</f>
        <v>0.33633393860302879</v>
      </c>
      <c r="H150" s="161"/>
      <c r="I150" s="38"/>
      <c r="J150" s="39"/>
      <c r="M150" s="154"/>
      <c r="N150" s="157">
        <f>'Проект ТС-6 усл.свод'!N93</f>
        <v>0.44306471617732801</v>
      </c>
      <c r="O150" s="157">
        <f>'Проект ТС-6 усл.свод'!O93</f>
        <v>0.31325759293398353</v>
      </c>
      <c r="P150" s="155"/>
      <c r="Q150" s="155"/>
      <c r="R150" s="155"/>
      <c r="V150" s="192"/>
      <c r="W150" s="193"/>
      <c r="X150" s="193"/>
      <c r="Y150" s="194"/>
      <c r="Z150" s="155"/>
      <c r="AA150" s="155"/>
      <c r="AF150" s="192"/>
      <c r="AG150" s="193"/>
      <c r="AH150" s="193"/>
      <c r="AI150" s="194"/>
      <c r="AJ150" s="155"/>
      <c r="AK150" s="155"/>
    </row>
    <row r="151" spans="1:37" ht="16.5" hidden="1" customHeight="1">
      <c r="B151" s="161"/>
      <c r="C151" s="161"/>
      <c r="D151" s="161"/>
      <c r="E151" s="161"/>
      <c r="F151" s="161"/>
      <c r="G151" s="161"/>
      <c r="H151" s="161"/>
      <c r="I151" s="38"/>
      <c r="J151" s="39"/>
      <c r="AF151" s="190"/>
      <c r="AG151" s="191"/>
      <c r="AH151" s="191"/>
      <c r="AI151" s="191"/>
    </row>
    <row r="152" spans="1:37" ht="16.5" hidden="1" customHeight="1">
      <c r="B152" s="161"/>
      <c r="C152" s="161"/>
      <c r="D152" s="161"/>
      <c r="E152" s="161"/>
      <c r="F152" s="161"/>
      <c r="G152" s="161"/>
      <c r="H152" s="161"/>
      <c r="I152" s="38"/>
      <c r="J152" s="39"/>
      <c r="AF152" s="190"/>
      <c r="AG152" s="191"/>
      <c r="AH152" s="191"/>
      <c r="AI152" s="191"/>
    </row>
    <row r="153" spans="1:37" hidden="1">
      <c r="AF153" s="190"/>
      <c r="AG153" s="191"/>
      <c r="AH153" s="191"/>
      <c r="AI153" s="191"/>
    </row>
    <row r="154" spans="1:37" hidden="1">
      <c r="B154" s="1" t="s">
        <v>180</v>
      </c>
      <c r="AF154" s="190"/>
      <c r="AG154" s="191"/>
      <c r="AH154" s="191"/>
      <c r="AI154" s="191"/>
    </row>
    <row r="155" spans="1:37" hidden="1">
      <c r="AF155" s="190"/>
      <c r="AG155" s="191"/>
      <c r="AH155" s="191"/>
      <c r="AI155" s="191"/>
    </row>
    <row r="156" spans="1:37" hidden="1">
      <c r="AF156" s="190"/>
      <c r="AG156" s="191"/>
      <c r="AH156" s="191"/>
      <c r="AI156" s="191"/>
    </row>
    <row r="157" spans="1:37" hidden="1">
      <c r="B157" s="1" t="s">
        <v>181</v>
      </c>
      <c r="AF157" s="190"/>
      <c r="AG157" s="191"/>
      <c r="AH157" s="191"/>
      <c r="AI157" s="191"/>
    </row>
    <row r="158" spans="1:37">
      <c r="B158" s="262" t="s">
        <v>184</v>
      </c>
      <c r="C158" s="262"/>
      <c r="D158" s="263">
        <v>0.99999999999999989</v>
      </c>
      <c r="E158" s="264">
        <f>F158+G158</f>
        <v>0.22141716398731323</v>
      </c>
      <c r="F158" s="264">
        <f>'Проект ТС-6 усл.свод'!E91</f>
        <v>9.3072622588082576E-2</v>
      </c>
      <c r="G158" s="264">
        <f>'Проект ТС-6 усл.свод'!F91</f>
        <v>0.12834454139923065</v>
      </c>
      <c r="H158" s="264">
        <f>'Проект ТС-6 усл.свод'!G91</f>
        <v>0.2951584000203693</v>
      </c>
      <c r="I158" s="264">
        <f>'Проект ТС-6 усл.свод'!H91</f>
        <v>0.14563286926731397</v>
      </c>
      <c r="J158" s="264">
        <f>'Проект ТС-6 усл.свод'!I91</f>
        <v>0.27132322133281178</v>
      </c>
      <c r="K158" s="264">
        <f>'Проект ТС-6 усл.свод'!J91</f>
        <v>6.6468345392191611E-2</v>
      </c>
      <c r="M158" s="264">
        <f>N158+O158</f>
        <v>0.19167495673844409</v>
      </c>
      <c r="N158" s="264">
        <f>'Проект ТС-6 усл.свод'!N91</f>
        <v>7.3057513109581224E-2</v>
      </c>
      <c r="O158" s="264">
        <f>'Проект ТС-6 усл.свод'!O91</f>
        <v>0.11861744362886288</v>
      </c>
      <c r="V158" s="264">
        <f>W158+X158</f>
        <v>0.19167495673844409</v>
      </c>
      <c r="W158" s="264">
        <f>N158</f>
        <v>7.3057513109581224E-2</v>
      </c>
      <c r="X158" s="264">
        <f>O158</f>
        <v>0.11861744362886288</v>
      </c>
      <c r="AF158" s="264">
        <f>AG158+AH158</f>
        <v>0.11861744362886288</v>
      </c>
      <c r="AG158" s="264">
        <f>X158</f>
        <v>0.11861744362886288</v>
      </c>
      <c r="AH158" s="264">
        <f>Y158</f>
        <v>0</v>
      </c>
      <c r="AI158" s="191"/>
    </row>
    <row r="159" spans="1:37">
      <c r="B159" s="262" t="s">
        <v>185</v>
      </c>
      <c r="C159" s="262"/>
      <c r="D159" s="263">
        <v>1</v>
      </c>
      <c r="E159" s="264">
        <f t="shared" ref="E159:E161" si="139">F159+G159</f>
        <v>0.31614021648689933</v>
      </c>
      <c r="F159" s="264">
        <f>'Проект ТС-6 усл.свод'!E92</f>
        <v>0.16079218264292713</v>
      </c>
      <c r="G159" s="264">
        <f>'Проект ТС-6 усл.свод'!F92</f>
        <v>0.15534803384397219</v>
      </c>
      <c r="H159" s="264">
        <f>'Проект ТС-6 усл.свод'!G92</f>
        <v>0.25920046939220653</v>
      </c>
      <c r="I159" s="264">
        <f>'Проект ТС-6 усл.свод'!H92</f>
        <v>0.15459492525696034</v>
      </c>
      <c r="J159" s="264">
        <f>'Проект ТС-6 усл.свод'!I92</f>
        <v>0.24692281308740627</v>
      </c>
      <c r="K159" s="264">
        <f>'Проект ТС-6 усл.свод'!J92</f>
        <v>2.3141575776527534E-2</v>
      </c>
      <c r="M159" s="264">
        <f t="shared" ref="M159:M161" si="140">N159+O159</f>
        <v>0.27550259683408868</v>
      </c>
      <c r="N159" s="264">
        <f>'Проект ТС-6 усл.свод'!N92</f>
        <v>0.1441540075696161</v>
      </c>
      <c r="O159" s="264">
        <f>'Проект ТС-6 усл.свод'!O92</f>
        <v>0.13134858926447257</v>
      </c>
      <c r="V159" s="264">
        <f>W159+X159</f>
        <v>0.27550259683408868</v>
      </c>
      <c r="W159" s="264">
        <f t="shared" ref="W159:W161" si="141">N159</f>
        <v>0.1441540075696161</v>
      </c>
      <c r="X159" s="264">
        <f t="shared" ref="X159:X161" si="142">O159</f>
        <v>0.13134858926447257</v>
      </c>
      <c r="AF159" s="264">
        <f>AG159+AH159</f>
        <v>0.13134858926447257</v>
      </c>
      <c r="AG159" s="264">
        <f t="shared" ref="AG159:AG161" si="143">X159</f>
        <v>0.13134858926447257</v>
      </c>
      <c r="AH159" s="264">
        <f t="shared" ref="AH159:AH161" si="144">Y159</f>
        <v>0</v>
      </c>
      <c r="AI159" s="191"/>
    </row>
    <row r="160" spans="1:37">
      <c r="B160" s="262" t="s">
        <v>186</v>
      </c>
      <c r="C160" s="262"/>
      <c r="D160" s="263">
        <v>0.99999999999999989</v>
      </c>
      <c r="E160" s="264">
        <f t="shared" si="139"/>
        <v>0.77818673393708715</v>
      </c>
      <c r="F160" s="264">
        <f>'Проект ТС-6 усл.свод'!E93</f>
        <v>0.44185279533405841</v>
      </c>
      <c r="G160" s="264">
        <f>'Проект ТС-6 усл.свод'!F93</f>
        <v>0.33633393860302879</v>
      </c>
      <c r="H160" s="264">
        <f>'Проект ТС-6 усл.свод'!G93</f>
        <v>9.0402489153487198E-2</v>
      </c>
      <c r="I160" s="264">
        <f>'Проект ТС-6 усл.свод'!H93</f>
        <v>4.0100758461085462E-2</v>
      </c>
      <c r="J160" s="264">
        <f>'Проект ТС-6 усл.свод'!I93</f>
        <v>7.0677529522682858E-2</v>
      </c>
      <c r="K160" s="264">
        <f>'Проект ТС-6 усл.свод'!J93</f>
        <v>2.0632488925657146E-2</v>
      </c>
      <c r="M160" s="264">
        <f t="shared" si="140"/>
        <v>0.7563223091113116</v>
      </c>
      <c r="N160" s="264">
        <f>'Проект ТС-6 усл.свод'!N93</f>
        <v>0.44306471617732801</v>
      </c>
      <c r="O160" s="264">
        <f>'Проект ТС-6 усл.свод'!O93</f>
        <v>0.31325759293398353</v>
      </c>
      <c r="V160" s="264">
        <f>W160+X160</f>
        <v>0.7563223091113116</v>
      </c>
      <c r="W160" s="264">
        <f t="shared" si="141"/>
        <v>0.44306471617732801</v>
      </c>
      <c r="X160" s="264">
        <f t="shared" si="142"/>
        <v>0.31325759293398353</v>
      </c>
      <c r="AF160" s="264">
        <f>AG160+AH160</f>
        <v>0.31325759293398353</v>
      </c>
      <c r="AG160" s="264">
        <f t="shared" si="143"/>
        <v>0.31325759293398353</v>
      </c>
      <c r="AH160" s="264">
        <f t="shared" si="144"/>
        <v>0</v>
      </c>
      <c r="AI160" s="191"/>
    </row>
    <row r="161" spans="2:35">
      <c r="B161" s="262" t="s">
        <v>202</v>
      </c>
      <c r="C161" s="262"/>
      <c r="D161" s="263">
        <v>1</v>
      </c>
      <c r="E161" s="264">
        <f t="shared" si="139"/>
        <v>0.90328307817684383</v>
      </c>
      <c r="F161" s="264">
        <f>'Проект ТС-6 усл.свод'!E94</f>
        <v>0.3585191221840619</v>
      </c>
      <c r="G161" s="264">
        <f>'Проект ТС-6 усл.свод'!F94</f>
        <v>0.54476395599278193</v>
      </c>
      <c r="H161" s="264">
        <f>'Проект ТС-6 усл.свод'!G94</f>
        <v>0</v>
      </c>
      <c r="I161" s="264">
        <f>'Проект ТС-6 усл.свод'!H94</f>
        <v>9.6716921823156166E-2</v>
      </c>
      <c r="J161" s="264">
        <f>'Проект ТС-6 усл.свод'!I94</f>
        <v>0</v>
      </c>
      <c r="K161" s="264">
        <f>'Проект ТС-6 усл.свод'!J94</f>
        <v>0</v>
      </c>
      <c r="M161" s="264">
        <f t="shared" si="140"/>
        <v>0.90328307817684383</v>
      </c>
      <c r="N161" s="264">
        <f>'Проект ТС-6 усл.свод'!N94</f>
        <v>0.3585191221840619</v>
      </c>
      <c r="O161" s="264">
        <f>'Проект ТС-6 усл.свод'!O94</f>
        <v>0.54476395599278193</v>
      </c>
      <c r="V161" s="264">
        <f>W161+X161</f>
        <v>0.90328307817684383</v>
      </c>
      <c r="W161" s="264">
        <f t="shared" si="141"/>
        <v>0.3585191221840619</v>
      </c>
      <c r="X161" s="264">
        <f t="shared" si="142"/>
        <v>0.54476395599278193</v>
      </c>
      <c r="AF161" s="264">
        <f>AG161+AH161</f>
        <v>0.54476395599278193</v>
      </c>
      <c r="AG161" s="264">
        <f t="shared" si="143"/>
        <v>0.54476395599278193</v>
      </c>
      <c r="AH161" s="264">
        <f t="shared" si="144"/>
        <v>0</v>
      </c>
      <c r="AI161" s="191"/>
    </row>
    <row r="162" spans="2:35">
      <c r="F162" s="169"/>
      <c r="G162" s="169"/>
      <c r="N162" s="172"/>
      <c r="O162" s="172"/>
    </row>
    <row r="163" spans="2:35">
      <c r="F163" s="169"/>
      <c r="G163" s="169"/>
      <c r="N163" s="172"/>
      <c r="O163" s="172"/>
    </row>
    <row r="164" spans="2:35">
      <c r="F164" s="169"/>
      <c r="G164" s="169"/>
      <c r="N164" s="172"/>
      <c r="O164" s="172"/>
    </row>
  </sheetData>
  <mergeCells count="16">
    <mergeCell ref="A137:A141"/>
    <mergeCell ref="B137:B141"/>
    <mergeCell ref="A142:A146"/>
    <mergeCell ref="B142:B146"/>
    <mergeCell ref="A1:H1"/>
    <mergeCell ref="B2:C2"/>
    <mergeCell ref="D2:K2"/>
    <mergeCell ref="A3:A4"/>
    <mergeCell ref="B3:B4"/>
    <mergeCell ref="C3:C4"/>
    <mergeCell ref="D3:H3"/>
    <mergeCell ref="AF3:AK3"/>
    <mergeCell ref="B147:H147"/>
    <mergeCell ref="M3:R3"/>
    <mergeCell ref="V3:AA3"/>
    <mergeCell ref="AD23:AD24"/>
  </mergeCells>
  <pageMargins left="0.39370078740157483" right="0.39370078740157483" top="0.39370078740157483" bottom="0.39370078740157483" header="0.31496062992125984" footer="0.31496062992125984"/>
  <pageSetup paperSize="9"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BF169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L11" sqref="L11"/>
    </sheetView>
  </sheetViews>
  <sheetFormatPr defaultColWidth="9.140625" defaultRowHeight="20.25" outlineLevelRow="1"/>
  <cols>
    <col min="1" max="1" width="8.28515625" style="80" customWidth="1"/>
    <col min="2" max="2" width="58.5703125" style="1" customWidth="1"/>
    <col min="3" max="3" width="0.42578125" style="1" customWidth="1"/>
    <col min="4" max="4" width="20.7109375" style="37" customWidth="1"/>
    <col min="5" max="5" width="18.7109375" style="37" customWidth="1"/>
    <col min="6" max="6" width="19.28515625" style="37" customWidth="1"/>
    <col min="7" max="7" width="15.42578125" style="37" customWidth="1"/>
    <col min="8" max="8" width="13.28515625" style="1" customWidth="1"/>
    <col min="9" max="9" width="3.5703125" style="1" customWidth="1"/>
    <col min="10" max="10" width="3.7109375" style="1" customWidth="1"/>
    <col min="11" max="11" width="19" style="37" customWidth="1"/>
    <col min="12" max="13" width="19.140625" style="37" customWidth="1"/>
    <col min="14" max="14" width="14.7109375" style="37" customWidth="1"/>
    <col min="15" max="15" width="13.140625" style="1" customWidth="1"/>
    <col min="16" max="16" width="2" style="1" customWidth="1"/>
    <col min="17" max="23" width="15.85546875" style="1" customWidth="1"/>
    <col min="24" max="24" width="20.140625" style="1" customWidth="1"/>
    <col min="25" max="25" width="16.85546875" style="1" customWidth="1"/>
    <col min="26" max="26" width="16.7109375" style="1" customWidth="1"/>
    <col min="27" max="32" width="16.140625" style="1" customWidth="1"/>
    <col min="33" max="33" width="15.28515625" style="1" customWidth="1"/>
    <col min="34" max="34" width="7.5703125" style="1" customWidth="1"/>
    <col min="35" max="42" width="4.42578125" style="1" customWidth="1"/>
    <col min="43" max="45" width="4.42578125" style="1" hidden="1" customWidth="1"/>
    <col min="46" max="46" width="16.42578125" style="37" hidden="1" customWidth="1"/>
    <col min="47" max="47" width="16.140625" style="37" hidden="1" customWidth="1"/>
    <col min="48" max="48" width="8.85546875" style="1" hidden="1" customWidth="1"/>
    <col min="49" max="49" width="0" style="1" hidden="1" customWidth="1"/>
    <col min="50" max="50" width="19.85546875" style="37" hidden="1" customWidth="1"/>
    <col min="51" max="51" width="17.28515625" style="37" hidden="1" customWidth="1"/>
    <col min="52" max="52" width="16.5703125" style="37" hidden="1" customWidth="1"/>
    <col min="53" max="53" width="15.42578125" style="37" hidden="1" customWidth="1"/>
    <col min="54" max="54" width="14.140625" style="41" hidden="1" customWidth="1"/>
    <col min="55" max="55" width="14.5703125" style="37" hidden="1" customWidth="1"/>
    <col min="56" max="56" width="13.5703125" style="1" hidden="1" customWidth="1"/>
    <col min="57" max="57" width="3.7109375" style="1" hidden="1" customWidth="1"/>
    <col min="58" max="58" width="14.5703125" style="1" hidden="1" customWidth="1"/>
    <col min="59" max="16384" width="9.140625" style="1"/>
  </cols>
  <sheetData>
    <row r="1" spans="1:56" s="2" customFormat="1" ht="24.75" customHeight="1">
      <c r="A1" s="786" t="s">
        <v>111</v>
      </c>
      <c r="B1" s="786"/>
      <c r="C1" s="786"/>
      <c r="D1" s="786"/>
      <c r="E1" s="786"/>
      <c r="F1" s="786"/>
      <c r="G1" s="786"/>
      <c r="H1" s="786"/>
      <c r="K1" s="199"/>
      <c r="L1" s="200"/>
      <c r="M1" s="200"/>
      <c r="N1" s="200"/>
      <c r="O1" s="199"/>
      <c r="AT1" s="21"/>
      <c r="AU1" s="21"/>
    </row>
    <row r="2" spans="1:56" s="2" customFormat="1" ht="12" customHeight="1">
      <c r="A2" s="81"/>
      <c r="B2" s="787"/>
      <c r="C2" s="787"/>
      <c r="D2" s="213"/>
      <c r="E2" s="213"/>
      <c r="F2" s="213"/>
      <c r="G2" s="213"/>
      <c r="H2" s="213"/>
      <c r="I2" s="220"/>
      <c r="K2" s="170"/>
      <c r="L2" s="198"/>
      <c r="M2" s="198"/>
      <c r="N2" s="198"/>
      <c r="O2" s="198"/>
      <c r="P2" s="206"/>
      <c r="AT2" s="21"/>
      <c r="AU2" s="21"/>
      <c r="AX2" s="802"/>
      <c r="AY2" s="802"/>
      <c r="AZ2" s="802"/>
      <c r="BA2" s="802"/>
      <c r="BB2" s="802"/>
      <c r="BC2" s="802"/>
      <c r="BD2" s="802"/>
    </row>
    <row r="3" spans="1:56" s="2" customFormat="1" ht="24" customHeight="1">
      <c r="A3" s="788" t="s">
        <v>0</v>
      </c>
      <c r="B3" s="789" t="s">
        <v>1</v>
      </c>
      <c r="C3" s="789" t="s">
        <v>2</v>
      </c>
      <c r="D3" s="790" t="s">
        <v>190</v>
      </c>
      <c r="E3" s="791"/>
      <c r="F3" s="791"/>
      <c r="G3" s="791"/>
      <c r="H3" s="792"/>
      <c r="I3" s="116"/>
      <c r="K3" s="809" t="s">
        <v>191</v>
      </c>
      <c r="L3" s="809"/>
      <c r="M3" s="809"/>
      <c r="N3" s="809"/>
      <c r="O3" s="809"/>
      <c r="P3" s="206"/>
      <c r="AT3" s="806" t="s">
        <v>192</v>
      </c>
      <c r="AU3" s="807"/>
      <c r="AV3" s="808"/>
      <c r="AX3" s="803" t="s">
        <v>191</v>
      </c>
      <c r="AY3" s="804"/>
      <c r="AZ3" s="804"/>
      <c r="BA3" s="804"/>
      <c r="BB3" s="804"/>
      <c r="BC3" s="804"/>
      <c r="BD3" s="805"/>
    </row>
    <row r="4" spans="1:56" ht="112.5" customHeight="1">
      <c r="A4" s="788"/>
      <c r="B4" s="789"/>
      <c r="C4" s="789"/>
      <c r="D4" s="208" t="s">
        <v>3</v>
      </c>
      <c r="E4" s="73" t="s">
        <v>173</v>
      </c>
      <c r="F4" s="73" t="s">
        <v>174</v>
      </c>
      <c r="G4" s="73" t="s">
        <v>197</v>
      </c>
      <c r="H4" s="73" t="s">
        <v>198</v>
      </c>
      <c r="K4" s="208" t="s">
        <v>3</v>
      </c>
      <c r="L4" s="73" t="s">
        <v>173</v>
      </c>
      <c r="M4" s="73" t="s">
        <v>174</v>
      </c>
      <c r="N4" s="73" t="s">
        <v>197</v>
      </c>
      <c r="O4" s="73" t="s">
        <v>198</v>
      </c>
      <c r="AT4" s="87" t="s">
        <v>187</v>
      </c>
      <c r="AU4" s="87" t="s">
        <v>188</v>
      </c>
      <c r="AV4" s="87" t="s">
        <v>189</v>
      </c>
      <c r="AX4" s="208" t="s">
        <v>3</v>
      </c>
      <c r="AY4" s="73" t="s">
        <v>173</v>
      </c>
      <c r="AZ4" s="73" t="s">
        <v>174</v>
      </c>
      <c r="BA4" s="73" t="s">
        <v>138</v>
      </c>
      <c r="BB4" s="73" t="s">
        <v>139</v>
      </c>
      <c r="BC4" s="73" t="s">
        <v>140</v>
      </c>
      <c r="BD4" s="73" t="s">
        <v>141</v>
      </c>
    </row>
    <row r="5" spans="1:56" s="11" customFormat="1" ht="12" customHeight="1">
      <c r="A5" s="77">
        <v>1</v>
      </c>
      <c r="B5" s="10">
        <v>2</v>
      </c>
      <c r="C5" s="10">
        <v>3</v>
      </c>
      <c r="D5" s="22">
        <v>4</v>
      </c>
      <c r="E5" s="23">
        <v>5</v>
      </c>
      <c r="F5" s="23">
        <v>6</v>
      </c>
      <c r="G5" s="23">
        <v>7</v>
      </c>
      <c r="H5" s="23">
        <v>8</v>
      </c>
      <c r="K5" s="22">
        <v>4</v>
      </c>
      <c r="L5" s="23">
        <v>5</v>
      </c>
      <c r="M5" s="23">
        <v>6</v>
      </c>
      <c r="N5" s="23">
        <v>7</v>
      </c>
      <c r="O5" s="23">
        <v>8</v>
      </c>
      <c r="AT5" s="90"/>
      <c r="AU5" s="90"/>
      <c r="AV5" s="88"/>
      <c r="AX5" s="22">
        <v>4</v>
      </c>
      <c r="AY5" s="23">
        <v>5</v>
      </c>
      <c r="AZ5" s="23">
        <v>6</v>
      </c>
      <c r="BA5" s="23">
        <v>7</v>
      </c>
      <c r="BB5" s="24">
        <v>8</v>
      </c>
      <c r="BC5" s="23">
        <v>9</v>
      </c>
      <c r="BD5" s="23">
        <v>10</v>
      </c>
    </row>
    <row r="6" spans="1:56" s="4" customFormat="1" ht="45.75" customHeight="1">
      <c r="A6" s="19" t="s">
        <v>4</v>
      </c>
      <c r="B6" s="17" t="s">
        <v>5</v>
      </c>
      <c r="C6" s="209" t="s">
        <v>6</v>
      </c>
      <c r="D6" s="27">
        <f>D8+D26+D32+D33+D34</f>
        <v>5159291.7473876858</v>
      </c>
      <c r="E6" s="27">
        <f>E8+E26+E32+E33+E34</f>
        <v>1447498.3096553106</v>
      </c>
      <c r="F6" s="27">
        <f>F8+F26+F32+F33+F34</f>
        <v>1219417.8712746401</v>
      </c>
      <c r="G6" s="27">
        <f>G8+G26+G32+G33+G34</f>
        <v>2326969.2301867921</v>
      </c>
      <c r="H6" s="27">
        <f t="shared" ref="H6" si="0">H8+H26+H32+H33+H34</f>
        <v>165406.3362709441</v>
      </c>
      <c r="K6" s="27">
        <f>K8+K26+K32+K33+K34</f>
        <v>4760881.1499521928</v>
      </c>
      <c r="L6" s="27">
        <f>L8+L26+L32+L33+L34</f>
        <v>1195194.1014716348</v>
      </c>
      <c r="M6" s="27">
        <f>M8+M26+M32+M33+M34</f>
        <v>1063725.318509063</v>
      </c>
      <c r="N6" s="27">
        <f>N8+N26+N32+N33+N34</f>
        <v>2404871.4378100419</v>
      </c>
      <c r="O6" s="27">
        <f t="shared" ref="O6" si="1">O8+O26+O32+O33+O34</f>
        <v>97090.292161453661</v>
      </c>
      <c r="Q6" s="15"/>
      <c r="R6" s="15"/>
      <c r="S6" s="15"/>
      <c r="T6" s="15"/>
      <c r="U6" s="15"/>
      <c r="V6" s="15"/>
      <c r="W6" s="15"/>
      <c r="X6" s="42"/>
      <c r="Y6" s="42"/>
      <c r="Z6" s="42"/>
      <c r="AA6" s="319"/>
      <c r="AB6" s="319"/>
      <c r="AC6" s="319"/>
      <c r="AD6" s="319"/>
      <c r="AE6" s="319"/>
      <c r="AF6" s="319"/>
      <c r="AG6" s="319"/>
      <c r="AT6" s="99" t="e">
        <f>AT8+AT26+AT32+AT33+AT34</f>
        <v>#REF!</v>
      </c>
      <c r="AU6" s="91" t="e">
        <f>D6-AT6</f>
        <v>#REF!</v>
      </c>
      <c r="AV6" s="96" t="e">
        <f>100%-(AT6/D6)</f>
        <v>#REF!</v>
      </c>
      <c r="AX6" s="27" t="e">
        <f>AX8+AX26+AX32+AX33+AX34</f>
        <v>#REF!</v>
      </c>
      <c r="AY6" s="27" t="e">
        <f>AY8+AY26+AY32+AY33+AY34</f>
        <v>#REF!</v>
      </c>
      <c r="AZ6" s="27" t="e">
        <f>AZ8+AZ26+AZ32+AZ33+AZ34</f>
        <v>#REF!</v>
      </c>
      <c r="BA6" s="27" t="e">
        <f>BA8+BA26+BA32+BA33+BA34</f>
        <v>#REF!</v>
      </c>
      <c r="BB6" s="27" t="e">
        <f t="shared" ref="BB6:BD6" si="2">BB8+BB26+BB32+BB33+BB34</f>
        <v>#REF!</v>
      </c>
      <c r="BC6" s="27" t="e">
        <f t="shared" si="2"/>
        <v>#REF!</v>
      </c>
      <c r="BD6" s="27" t="e">
        <f t="shared" si="2"/>
        <v>#REF!</v>
      </c>
    </row>
    <row r="7" spans="1:56" s="4" customFormat="1">
      <c r="A7" s="13"/>
      <c r="B7" s="12" t="s">
        <v>7</v>
      </c>
      <c r="C7" s="211"/>
      <c r="D7" s="25"/>
      <c r="E7" s="25"/>
      <c r="F7" s="25"/>
      <c r="G7" s="25"/>
      <c r="H7" s="25"/>
      <c r="K7" s="25"/>
      <c r="L7" s="25"/>
      <c r="M7" s="25"/>
      <c r="N7" s="25"/>
      <c r="O7" s="25"/>
      <c r="X7" s="246"/>
      <c r="Y7" s="353"/>
      <c r="Z7" s="354"/>
      <c r="AA7" s="246"/>
      <c r="AB7" s="246"/>
      <c r="AC7" s="246"/>
      <c r="AD7" s="246"/>
      <c r="AE7" s="246"/>
      <c r="AF7" s="246"/>
      <c r="AT7" s="92"/>
      <c r="AU7" s="92"/>
      <c r="AV7" s="95"/>
      <c r="AX7" s="25"/>
      <c r="AY7" s="25"/>
      <c r="AZ7" s="25"/>
      <c r="BA7" s="25"/>
      <c r="BB7" s="26"/>
      <c r="BC7" s="25"/>
      <c r="BD7" s="25"/>
    </row>
    <row r="8" spans="1:56" s="6" customFormat="1" ht="29.25" customHeight="1">
      <c r="A8" s="19" t="s">
        <v>8</v>
      </c>
      <c r="B8" s="17" t="s">
        <v>272</v>
      </c>
      <c r="C8" s="209" t="s">
        <v>9</v>
      </c>
      <c r="D8" s="27">
        <f>D10+D22+D25</f>
        <v>548661.31319345045</v>
      </c>
      <c r="E8" s="27">
        <f t="shared" ref="E8:AT8" si="3">E10+E22+E25</f>
        <v>36298.008209999367</v>
      </c>
      <c r="F8" s="27">
        <f t="shared" si="3"/>
        <v>57750.842511479997</v>
      </c>
      <c r="G8" s="27">
        <f t="shared" ref="G8" si="4">G10+G22+G25</f>
        <v>448926.33135050663</v>
      </c>
      <c r="H8" s="27">
        <f t="shared" si="3"/>
        <v>5686.1311214643792</v>
      </c>
      <c r="K8" s="27">
        <f>K10+K22+K25</f>
        <v>484789.71351999661</v>
      </c>
      <c r="L8" s="27">
        <f t="shared" ref="L8:O8" si="5">L10+L22+L25</f>
        <v>28969.482017815768</v>
      </c>
      <c r="M8" s="27">
        <f t="shared" si="5"/>
        <v>40427.468625454683</v>
      </c>
      <c r="N8" s="27">
        <f t="shared" ref="N8" si="6">N10+N22+N25</f>
        <v>413209.14728455362</v>
      </c>
      <c r="O8" s="27">
        <f t="shared" si="5"/>
        <v>2183.615592172529</v>
      </c>
      <c r="X8" s="15"/>
      <c r="Y8" s="15"/>
      <c r="AT8" s="99" t="e">
        <f t="shared" si="3"/>
        <v>#REF!</v>
      </c>
      <c r="AU8" s="91" t="e">
        <f>D8-AT8</f>
        <v>#REF!</v>
      </c>
      <c r="AV8" s="98" t="e">
        <f>100%-(AT8/D8)</f>
        <v>#REF!</v>
      </c>
      <c r="AX8" s="27" t="e">
        <f>AX10+AX22+AX25</f>
        <v>#REF!</v>
      </c>
      <c r="AY8" s="27" t="e">
        <f t="shared" ref="AY8:BD8" si="7">AY10+AY22+AY25</f>
        <v>#REF!</v>
      </c>
      <c r="AZ8" s="27" t="e">
        <f t="shared" si="7"/>
        <v>#REF!</v>
      </c>
      <c r="BA8" s="27" t="e">
        <f t="shared" si="7"/>
        <v>#REF!</v>
      </c>
      <c r="BB8" s="27" t="e">
        <f t="shared" si="7"/>
        <v>#REF!</v>
      </c>
      <c r="BC8" s="27" t="e">
        <f t="shared" si="7"/>
        <v>#REF!</v>
      </c>
      <c r="BD8" s="27" t="e">
        <f t="shared" si="7"/>
        <v>#REF!</v>
      </c>
    </row>
    <row r="9" spans="1:56" s="4" customFormat="1">
      <c r="A9" s="13"/>
      <c r="B9" s="12" t="s">
        <v>7</v>
      </c>
      <c r="C9" s="211"/>
      <c r="D9" s="25"/>
      <c r="E9" s="25"/>
      <c r="F9" s="25"/>
      <c r="G9" s="25"/>
      <c r="H9" s="25"/>
      <c r="K9" s="25"/>
      <c r="L9" s="25"/>
      <c r="M9" s="25"/>
      <c r="N9" s="25"/>
      <c r="O9" s="25"/>
      <c r="X9" s="15"/>
      <c r="Y9" s="15"/>
      <c r="AT9" s="92"/>
      <c r="AU9" s="92"/>
      <c r="AV9" s="97"/>
      <c r="AX9" s="25"/>
      <c r="AY9" s="25"/>
      <c r="AZ9" s="25"/>
      <c r="BA9" s="25"/>
      <c r="BB9" s="25"/>
      <c r="BC9" s="25"/>
      <c r="BD9" s="25"/>
    </row>
    <row r="10" spans="1:56" s="4" customFormat="1" ht="30" customHeight="1">
      <c r="A10" s="13" t="s">
        <v>10</v>
      </c>
      <c r="B10" s="12" t="s">
        <v>11</v>
      </c>
      <c r="C10" s="211" t="s">
        <v>9</v>
      </c>
      <c r="D10" s="25">
        <f>SUM(D11:D21)</f>
        <v>161398.1160753826</v>
      </c>
      <c r="E10" s="25">
        <f t="shared" ref="E10:H10" si="8">SUM(E11:E21)</f>
        <v>25702.125475761815</v>
      </c>
      <c r="F10" s="25">
        <f t="shared" si="8"/>
        <v>41743.180377293291</v>
      </c>
      <c r="G10" s="25">
        <f t="shared" ref="G10" si="9">SUM(G11:G21)</f>
        <v>88977.296961526939</v>
      </c>
      <c r="H10" s="25">
        <f t="shared" si="8"/>
        <v>4975.5132608005451</v>
      </c>
      <c r="K10" s="25">
        <f>SUM(K11:K21)</f>
        <v>111957.85165392877</v>
      </c>
      <c r="L10" s="25">
        <f t="shared" ref="L10:O10" si="10">SUM(L11:L21)</f>
        <v>18829.091618240342</v>
      </c>
      <c r="M10" s="25">
        <f t="shared" si="10"/>
        <v>24965.808837825552</v>
      </c>
      <c r="N10" s="25">
        <f t="shared" ref="N10" si="11">SUM(N11:N21)</f>
        <v>66446.423639007233</v>
      </c>
      <c r="O10" s="25">
        <f t="shared" si="10"/>
        <v>1716.5275588556301</v>
      </c>
      <c r="X10" s="15"/>
      <c r="Y10" s="15"/>
      <c r="AT10" s="92" t="e">
        <f>SUM(AT11:AT21)</f>
        <v>#REF!</v>
      </c>
      <c r="AU10" s="92" t="e">
        <f t="shared" ref="AU10:AU26" si="12">D10-AT10</f>
        <v>#REF!</v>
      </c>
      <c r="AV10" s="97" t="e">
        <f t="shared" ref="AV10:AV26" si="13">100%-(AT10/D10)</f>
        <v>#REF!</v>
      </c>
      <c r="AX10" s="25" t="e">
        <f>SUM(AX11:AX21)</f>
        <v>#REF!</v>
      </c>
      <c r="AY10" s="25" t="e">
        <f t="shared" ref="AY10:BD10" si="14">SUM(AY11:AY21)</f>
        <v>#REF!</v>
      </c>
      <c r="AZ10" s="25" t="e">
        <f t="shared" si="14"/>
        <v>#REF!</v>
      </c>
      <c r="BA10" s="25" t="e">
        <f t="shared" si="14"/>
        <v>#REF!</v>
      </c>
      <c r="BB10" s="25" t="e">
        <f t="shared" si="14"/>
        <v>#REF!</v>
      </c>
      <c r="BC10" s="25" t="e">
        <f t="shared" si="14"/>
        <v>#REF!</v>
      </c>
      <c r="BD10" s="25" t="e">
        <f t="shared" si="14"/>
        <v>#REF!</v>
      </c>
    </row>
    <row r="11" spans="1:56" s="4" customFormat="1" ht="20.25" customHeight="1">
      <c r="A11" s="13"/>
      <c r="B11" s="18" t="s">
        <v>81</v>
      </c>
      <c r="C11" s="209" t="s">
        <v>9</v>
      </c>
      <c r="D11" s="28">
        <f t="shared" ref="D11:D25" si="15">SUM(E11:H11)</f>
        <v>1366.7430000000002</v>
      </c>
      <c r="E11" s="28">
        <v>128.08839227284304</v>
      </c>
      <c r="F11" s="28">
        <v>176.63030768542865</v>
      </c>
      <c r="G11" s="28">
        <v>970.92422700717316</v>
      </c>
      <c r="H11" s="29">
        <v>91.100073034555095</v>
      </c>
      <c r="I11" s="214"/>
      <c r="J11" s="214"/>
      <c r="K11" s="28">
        <f>[52]СводПЗ!$C$11</f>
        <v>806.75099999999998</v>
      </c>
      <c r="L11" s="28">
        <f>$K$11*L90</f>
        <v>58.939221758667763</v>
      </c>
      <c r="M11" s="28">
        <f t="shared" ref="M11:O11" si="16">$K$11*M90</f>
        <v>95.694741265028753</v>
      </c>
      <c r="N11" s="28">
        <f t="shared" si="16"/>
        <v>621.03083608963846</v>
      </c>
      <c r="O11" s="28">
        <f t="shared" si="16"/>
        <v>31.086200886665022</v>
      </c>
      <c r="X11" s="15"/>
      <c r="Y11" s="15"/>
      <c r="AT11" s="93" t="e">
        <f>#REF!</f>
        <v>#REF!</v>
      </c>
      <c r="AU11" s="93" t="e">
        <f t="shared" si="12"/>
        <v>#REF!</v>
      </c>
      <c r="AV11" s="97" t="e">
        <f t="shared" si="13"/>
        <v>#REF!</v>
      </c>
      <c r="AX11" s="28" t="e">
        <f>SUM(AY11:BD11)</f>
        <v>#REF!</v>
      </c>
      <c r="AY11" s="28" t="e">
        <f>#REF!</f>
        <v>#REF!</v>
      </c>
      <c r="AZ11" s="28" t="e">
        <f>#REF!</f>
        <v>#REF!</v>
      </c>
      <c r="BA11" s="28" t="e">
        <f>#REF!</f>
        <v>#REF!</v>
      </c>
      <c r="BB11" s="28" t="e">
        <f>#REF!</f>
        <v>#REF!</v>
      </c>
      <c r="BC11" s="28" t="e">
        <f>#REF!</f>
        <v>#REF!</v>
      </c>
      <c r="BD11" s="28" t="e">
        <f>#REF!</f>
        <v>#REF!</v>
      </c>
    </row>
    <row r="12" spans="1:56" s="4" customFormat="1" ht="20.25" customHeight="1" outlineLevel="1">
      <c r="A12" s="13"/>
      <c r="B12" s="18" t="s">
        <v>177</v>
      </c>
      <c r="C12" s="209" t="s">
        <v>9</v>
      </c>
      <c r="D12" s="28">
        <f t="shared" si="15"/>
        <v>17499.689889948448</v>
      </c>
      <c r="E12" s="28">
        <v>226.86691023553198</v>
      </c>
      <c r="F12" s="28">
        <v>11873.486751230033</v>
      </c>
      <c r="G12" s="28">
        <v>5399.3362284828809</v>
      </c>
      <c r="H12" s="29"/>
      <c r="I12" s="214"/>
      <c r="J12" s="214"/>
      <c r="K12" s="28">
        <f t="shared" ref="K12:K25" si="17">SUM(L12:O12)</f>
        <v>5337.4310388234471</v>
      </c>
      <c r="L12" s="28">
        <f>[52]СводПЗ!$E$12</f>
        <v>112.51202384171123</v>
      </c>
      <c r="M12" s="28">
        <f>[52]СводПЗ!$F$12</f>
        <v>4237.1046492823352</v>
      </c>
      <c r="N12" s="28">
        <f>[52]СводПЗ!$L$12</f>
        <v>987.81436569940035</v>
      </c>
      <c r="O12" s="29"/>
      <c r="X12" s="15"/>
      <c r="Y12" s="15"/>
      <c r="AT12" s="93" t="e">
        <f>#REF!</f>
        <v>#REF!</v>
      </c>
      <c r="AU12" s="93" t="e">
        <f t="shared" si="12"/>
        <v>#REF!</v>
      </c>
      <c r="AV12" s="97" t="e">
        <f t="shared" si="13"/>
        <v>#REF!</v>
      </c>
      <c r="AX12" s="28" t="e">
        <f t="shared" ref="AX12:AX25" si="18">SUM(AY12:BD12)</f>
        <v>#REF!</v>
      </c>
      <c r="AY12" s="28" t="e">
        <f>#REF!</f>
        <v>#REF!</v>
      </c>
      <c r="AZ12" s="28" t="e">
        <f>#REF!</f>
        <v>#REF!</v>
      </c>
      <c r="BA12" s="28" t="e">
        <f>#REF!</f>
        <v>#REF!</v>
      </c>
      <c r="BB12" s="28" t="e">
        <f>#REF!</f>
        <v>#REF!</v>
      </c>
      <c r="BC12" s="28" t="e">
        <f>#REF!</f>
        <v>#REF!</v>
      </c>
      <c r="BD12" s="28" t="e">
        <f>#REF!</f>
        <v>#REF!</v>
      </c>
    </row>
    <row r="13" spans="1:56" s="4" customFormat="1" ht="35.25" customHeight="1" outlineLevel="1">
      <c r="A13" s="13"/>
      <c r="B13" s="18" t="s">
        <v>178</v>
      </c>
      <c r="C13" s="209" t="s">
        <v>9</v>
      </c>
      <c r="D13" s="28">
        <f t="shared" si="15"/>
        <v>35143.661362267871</v>
      </c>
      <c r="E13" s="49">
        <v>12599.674621934211</v>
      </c>
      <c r="F13" s="49">
        <v>19144.999991779725</v>
      </c>
      <c r="G13" s="28">
        <v>3398.9867485539357</v>
      </c>
      <c r="H13" s="50"/>
      <c r="I13" s="214"/>
      <c r="J13" s="214"/>
      <c r="K13" s="28">
        <f>[52]СводПЗ!$C$13</f>
        <v>29338.055386615877</v>
      </c>
      <c r="L13" s="49">
        <f>$K$13*L93</f>
        <v>10518.253863796914</v>
      </c>
      <c r="M13" s="49">
        <f t="shared" ref="M13:O13" si="19">$K$13*M93</f>
        <v>15982.315113548211</v>
      </c>
      <c r="N13" s="49">
        <f t="shared" si="19"/>
        <v>2837.4864092707535</v>
      </c>
      <c r="O13" s="49">
        <f t="shared" si="19"/>
        <v>0</v>
      </c>
      <c r="X13" s="15"/>
      <c r="Y13" s="15"/>
      <c r="AT13" s="93" t="e">
        <f>#REF!</f>
        <v>#REF!</v>
      </c>
      <c r="AU13" s="93" t="e">
        <f t="shared" si="12"/>
        <v>#REF!</v>
      </c>
      <c r="AV13" s="97" t="e">
        <f t="shared" si="13"/>
        <v>#REF!</v>
      </c>
      <c r="AX13" s="28" t="e">
        <f t="shared" si="18"/>
        <v>#REF!</v>
      </c>
      <c r="AY13" s="28" t="e">
        <f>#REF!</f>
        <v>#REF!</v>
      </c>
      <c r="AZ13" s="28" t="e">
        <f>#REF!</f>
        <v>#REF!</v>
      </c>
      <c r="BA13" s="28" t="e">
        <f>#REF!</f>
        <v>#REF!</v>
      </c>
      <c r="BB13" s="28" t="e">
        <f>#REF!</f>
        <v>#REF!</v>
      </c>
      <c r="BC13" s="28" t="e">
        <f>#REF!</f>
        <v>#REF!</v>
      </c>
      <c r="BD13" s="28" t="e">
        <f>#REF!</f>
        <v>#REF!</v>
      </c>
    </row>
    <row r="14" spans="1:56" s="4" customFormat="1" ht="20.25" customHeight="1" outlineLevel="1">
      <c r="A14" s="13"/>
      <c r="B14" s="18" t="s">
        <v>132</v>
      </c>
      <c r="C14" s="209" t="s">
        <v>9</v>
      </c>
      <c r="D14" s="28">
        <f t="shared" si="15"/>
        <v>3332.3595</v>
      </c>
      <c r="E14" s="28"/>
      <c r="F14" s="28"/>
      <c r="G14" s="28">
        <v>2997.8150000000001</v>
      </c>
      <c r="H14" s="29">
        <v>334.54450000000003</v>
      </c>
      <c r="I14" s="214"/>
      <c r="J14" s="214"/>
      <c r="K14" s="28">
        <f t="shared" si="17"/>
        <v>3332.3595</v>
      </c>
      <c r="L14" s="28"/>
      <c r="M14" s="28"/>
      <c r="N14" s="28">
        <f>[52]СводПЗ!$G$14</f>
        <v>2997.8150000000001</v>
      </c>
      <c r="O14" s="29">
        <f>[52]СводПЗ!$J$14</f>
        <v>334.54450000000003</v>
      </c>
      <c r="X14" s="15"/>
      <c r="Y14" s="15"/>
      <c r="AT14" s="93" t="e">
        <f>#REF!</f>
        <v>#REF!</v>
      </c>
      <c r="AU14" s="93" t="e">
        <f t="shared" si="12"/>
        <v>#REF!</v>
      </c>
      <c r="AV14" s="97" t="e">
        <f t="shared" si="13"/>
        <v>#REF!</v>
      </c>
      <c r="AX14" s="28" t="e">
        <f t="shared" si="18"/>
        <v>#REF!</v>
      </c>
      <c r="AY14" s="28" t="e">
        <f>#REF!</f>
        <v>#REF!</v>
      </c>
      <c r="AZ14" s="28" t="e">
        <f>#REF!</f>
        <v>#REF!</v>
      </c>
      <c r="BA14" s="28" t="e">
        <f>#REF!</f>
        <v>#REF!</v>
      </c>
      <c r="BB14" s="28" t="e">
        <f>#REF!</f>
        <v>#REF!</v>
      </c>
      <c r="BC14" s="28" t="e">
        <f>#REF!</f>
        <v>#REF!</v>
      </c>
      <c r="BD14" s="28" t="e">
        <f>#REF!</f>
        <v>#REF!</v>
      </c>
    </row>
    <row r="15" spans="1:56" s="4" customFormat="1" ht="20.25" customHeight="1" outlineLevel="1">
      <c r="A15" s="13"/>
      <c r="B15" s="18" t="s">
        <v>82</v>
      </c>
      <c r="C15" s="209" t="s">
        <v>9</v>
      </c>
      <c r="D15" s="28">
        <f t="shared" si="15"/>
        <v>30488.188357142855</v>
      </c>
      <c r="E15" s="28"/>
      <c r="F15" s="28"/>
      <c r="G15" s="28">
        <v>30488.188357142855</v>
      </c>
      <c r="H15" s="29"/>
      <c r="I15" s="214"/>
      <c r="J15" s="214"/>
      <c r="K15" s="28">
        <f t="shared" si="17"/>
        <v>30488.188357142855</v>
      </c>
      <c r="L15" s="28"/>
      <c r="M15" s="28"/>
      <c r="N15" s="28">
        <f>[52]СводПЗ!$L$15</f>
        <v>30488.188357142855</v>
      </c>
      <c r="O15" s="29"/>
      <c r="X15" s="15"/>
      <c r="Y15" s="15"/>
      <c r="AT15" s="93" t="e">
        <f>#REF!</f>
        <v>#REF!</v>
      </c>
      <c r="AU15" s="93" t="e">
        <f t="shared" si="12"/>
        <v>#REF!</v>
      </c>
      <c r="AV15" s="97" t="e">
        <f t="shared" si="13"/>
        <v>#REF!</v>
      </c>
      <c r="AX15" s="28" t="e">
        <f t="shared" si="18"/>
        <v>#REF!</v>
      </c>
      <c r="AY15" s="28" t="e">
        <f>#REF!</f>
        <v>#REF!</v>
      </c>
      <c r="AZ15" s="28" t="e">
        <f>#REF!</f>
        <v>#REF!</v>
      </c>
      <c r="BA15" s="28" t="e">
        <f>#REF!</f>
        <v>#REF!</v>
      </c>
      <c r="BB15" s="28" t="e">
        <f>#REF!</f>
        <v>#REF!</v>
      </c>
      <c r="BC15" s="28" t="e">
        <f>#REF!</f>
        <v>#REF!</v>
      </c>
      <c r="BD15" s="28" t="e">
        <f>#REF!</f>
        <v>#REF!</v>
      </c>
    </row>
    <row r="16" spans="1:56" s="4" customFormat="1" ht="20.25" customHeight="1" outlineLevel="1">
      <c r="A16" s="13"/>
      <c r="B16" s="18" t="s">
        <v>122</v>
      </c>
      <c r="C16" s="209" t="s">
        <v>9</v>
      </c>
      <c r="D16" s="28">
        <f t="shared" si="15"/>
        <v>9919.672340000001</v>
      </c>
      <c r="E16" s="28">
        <v>929.65164767918395</v>
      </c>
      <c r="F16" s="28">
        <v>1281.9636007302297</v>
      </c>
      <c r="G16" s="28">
        <v>7046.8626500219407</v>
      </c>
      <c r="H16" s="29">
        <v>661.1944415686462</v>
      </c>
      <c r="I16" s="214"/>
      <c r="J16" s="214"/>
      <c r="K16" s="28">
        <f>[52]СводПЗ!$C$16</f>
        <v>1681.6496399999999</v>
      </c>
      <c r="L16" s="28">
        <f>$K$16*L90</f>
        <v>122.85714062002253</v>
      </c>
      <c r="M16" s="28">
        <f t="shared" ref="M16:O16" si="20">$K$16*M90</f>
        <v>199.47298137619754</v>
      </c>
      <c r="N16" s="28">
        <f t="shared" si="20"/>
        <v>1294.5212115498332</v>
      </c>
      <c r="O16" s="28">
        <f t="shared" si="20"/>
        <v>64.798306453946651</v>
      </c>
      <c r="X16" s="15"/>
      <c r="Y16" s="15"/>
      <c r="AT16" s="93" t="e">
        <f>#REF!</f>
        <v>#REF!</v>
      </c>
      <c r="AU16" s="93" t="e">
        <f t="shared" si="12"/>
        <v>#REF!</v>
      </c>
      <c r="AV16" s="97" t="e">
        <f t="shared" si="13"/>
        <v>#REF!</v>
      </c>
      <c r="AX16" s="28" t="e">
        <f t="shared" si="18"/>
        <v>#REF!</v>
      </c>
      <c r="AY16" s="28" t="e">
        <f>#REF!</f>
        <v>#REF!</v>
      </c>
      <c r="AZ16" s="28" t="e">
        <f>#REF!</f>
        <v>#REF!</v>
      </c>
      <c r="BA16" s="28" t="e">
        <f>#REF!</f>
        <v>#REF!</v>
      </c>
      <c r="BB16" s="28" t="e">
        <f>#REF!</f>
        <v>#REF!</v>
      </c>
      <c r="BC16" s="28" t="e">
        <f>#REF!</f>
        <v>#REF!</v>
      </c>
      <c r="BD16" s="28" t="e">
        <f>#REF!</f>
        <v>#REF!</v>
      </c>
    </row>
    <row r="17" spans="1:56" s="4" customFormat="1" ht="20.25" customHeight="1" outlineLevel="1">
      <c r="A17" s="13"/>
      <c r="B17" s="18" t="s">
        <v>136</v>
      </c>
      <c r="C17" s="209"/>
      <c r="D17" s="28">
        <f t="shared" si="15"/>
        <v>8962.011229285712</v>
      </c>
      <c r="E17" s="49">
        <v>1981.0299127778831</v>
      </c>
      <c r="F17" s="49">
        <v>2953.3238697950178</v>
      </c>
      <c r="G17" s="28">
        <v>3490.5042770004429</v>
      </c>
      <c r="H17" s="50">
        <v>537.15316971236825</v>
      </c>
      <c r="I17" s="214"/>
      <c r="J17" s="214"/>
      <c r="K17" s="28">
        <f t="shared" si="17"/>
        <v>5262.5255149999975</v>
      </c>
      <c r="L17" s="49">
        <f>[52]СводПЗ!$E$17</f>
        <v>575.18565974657213</v>
      </c>
      <c r="M17" s="49">
        <f>[52]СводПЗ!$F$17</f>
        <v>907.81433677054122</v>
      </c>
      <c r="N17" s="28">
        <f>[52]СводПЗ!$L$17</f>
        <v>3740.0940042314164</v>
      </c>
      <c r="O17" s="50">
        <f>[52]СводПЗ!$J$17</f>
        <v>39.431514251467881</v>
      </c>
      <c r="X17" s="15"/>
      <c r="Y17" s="15"/>
      <c r="AT17" s="93" t="e">
        <f>#REF!</f>
        <v>#REF!</v>
      </c>
      <c r="AU17" s="93" t="e">
        <f t="shared" si="12"/>
        <v>#REF!</v>
      </c>
      <c r="AV17" s="97" t="e">
        <f t="shared" si="13"/>
        <v>#REF!</v>
      </c>
      <c r="AX17" s="28" t="e">
        <f t="shared" si="18"/>
        <v>#REF!</v>
      </c>
      <c r="AY17" s="28" t="e">
        <f>#REF!</f>
        <v>#REF!</v>
      </c>
      <c r="AZ17" s="28" t="e">
        <f>#REF!</f>
        <v>#REF!</v>
      </c>
      <c r="BA17" s="28" t="e">
        <f>#REF!</f>
        <v>#REF!</v>
      </c>
      <c r="BB17" s="28" t="e">
        <f>#REF!</f>
        <v>#REF!</v>
      </c>
      <c r="BC17" s="28" t="e">
        <f>#REF!</f>
        <v>#REF!</v>
      </c>
      <c r="BD17" s="28" t="e">
        <f>#REF!</f>
        <v>#REF!</v>
      </c>
    </row>
    <row r="18" spans="1:56" s="4" customFormat="1" ht="20.25" customHeight="1" outlineLevel="1">
      <c r="A18" s="13"/>
      <c r="B18" s="18" t="s">
        <v>142</v>
      </c>
      <c r="C18" s="209" t="s">
        <v>9</v>
      </c>
      <c r="D18" s="28">
        <f t="shared" si="15"/>
        <v>5709.0828729281766</v>
      </c>
      <c r="E18" s="49">
        <v>535.04371088477785</v>
      </c>
      <c r="F18" s="49">
        <v>737.8103011662871</v>
      </c>
      <c r="G18" s="28">
        <v>4055.6907006786805</v>
      </c>
      <c r="H18" s="50">
        <v>380.53816019843129</v>
      </c>
      <c r="I18" s="214"/>
      <c r="J18" s="214"/>
      <c r="K18" s="28">
        <f>[52]СводПЗ!$C$18</f>
        <v>2818.8024861878453</v>
      </c>
      <c r="L18" s="49">
        <f>$K$18*L90</f>
        <v>205.93469958798866</v>
      </c>
      <c r="M18" s="49">
        <f t="shared" ref="M18:O18" si="21">$K$18*M90</f>
        <v>334.3591450062853</v>
      </c>
      <c r="N18" s="49">
        <f t="shared" si="21"/>
        <v>2169.8928972741141</v>
      </c>
      <c r="O18" s="49">
        <f t="shared" si="21"/>
        <v>108.61574431945689</v>
      </c>
      <c r="X18" s="15"/>
      <c r="Y18" s="15"/>
      <c r="AT18" s="93" t="e">
        <f>#REF!</f>
        <v>#REF!</v>
      </c>
      <c r="AU18" s="93" t="e">
        <f t="shared" si="12"/>
        <v>#REF!</v>
      </c>
      <c r="AV18" s="97" t="e">
        <f t="shared" si="13"/>
        <v>#REF!</v>
      </c>
      <c r="AX18" s="28" t="e">
        <f t="shared" si="18"/>
        <v>#REF!</v>
      </c>
      <c r="AY18" s="28" t="e">
        <f>#REF!</f>
        <v>#REF!</v>
      </c>
      <c r="AZ18" s="28" t="e">
        <f>#REF!</f>
        <v>#REF!</v>
      </c>
      <c r="BA18" s="28" t="e">
        <f>#REF!</f>
        <v>#REF!</v>
      </c>
      <c r="BB18" s="28" t="e">
        <f>#REF!</f>
        <v>#REF!</v>
      </c>
      <c r="BC18" s="28" t="e">
        <f>#REF!</f>
        <v>#REF!</v>
      </c>
      <c r="BD18" s="28" t="e">
        <f>#REF!</f>
        <v>#REF!</v>
      </c>
    </row>
    <row r="19" spans="1:56" s="4" customFormat="1" ht="37.5" customHeight="1" outlineLevel="1">
      <c r="A19" s="13"/>
      <c r="B19" s="18" t="s">
        <v>83</v>
      </c>
      <c r="C19" s="209" t="s">
        <v>9</v>
      </c>
      <c r="D19" s="28">
        <f t="shared" si="15"/>
        <v>37722.178952380957</v>
      </c>
      <c r="E19" s="49">
        <v>3535.246388705817</v>
      </c>
      <c r="F19" s="49">
        <v>4875.0058166925664</v>
      </c>
      <c r="G19" s="28">
        <v>26797.559921921486</v>
      </c>
      <c r="H19" s="50">
        <v>2514.3668250610849</v>
      </c>
      <c r="I19" s="214"/>
      <c r="J19" s="214"/>
      <c r="K19" s="28">
        <f>[52]СводПЗ!$C$19</f>
        <v>21637.560158730161</v>
      </c>
      <c r="L19" s="49">
        <f>$K$19*L90</f>
        <v>1580.7863349557811</v>
      </c>
      <c r="M19" s="49">
        <f t="shared" ref="M19:O19" si="22">$K$19*M90</f>
        <v>2566.5920723943041</v>
      </c>
      <c r="N19" s="49">
        <f t="shared" si="22"/>
        <v>16656.430641320607</v>
      </c>
      <c r="O19" s="49">
        <f t="shared" si="22"/>
        <v>833.75111005946735</v>
      </c>
      <c r="X19" s="15"/>
      <c r="Y19" s="15"/>
      <c r="AT19" s="93" t="e">
        <f>#REF!</f>
        <v>#REF!</v>
      </c>
      <c r="AU19" s="93" t="e">
        <f t="shared" si="12"/>
        <v>#REF!</v>
      </c>
      <c r="AV19" s="97" t="e">
        <f t="shared" si="13"/>
        <v>#REF!</v>
      </c>
      <c r="AX19" s="28" t="e">
        <f t="shared" si="18"/>
        <v>#REF!</v>
      </c>
      <c r="AY19" s="28" t="e">
        <f>#REF!</f>
        <v>#REF!</v>
      </c>
      <c r="AZ19" s="28" t="e">
        <f>#REF!</f>
        <v>#REF!</v>
      </c>
      <c r="BA19" s="28" t="e">
        <f>#REF!</f>
        <v>#REF!</v>
      </c>
      <c r="BB19" s="28" t="e">
        <f>#REF!</f>
        <v>#REF!</v>
      </c>
      <c r="BC19" s="28" t="e">
        <f>#REF!</f>
        <v>#REF!</v>
      </c>
      <c r="BD19" s="28" t="e">
        <f>#REF!</f>
        <v>#REF!</v>
      </c>
    </row>
    <row r="20" spans="1:56" s="4" customFormat="1" ht="20.25" customHeight="1" outlineLevel="1">
      <c r="A20" s="207"/>
      <c r="B20" s="56" t="s">
        <v>113</v>
      </c>
      <c r="C20" s="210"/>
      <c r="D20" s="28">
        <f t="shared" si="15"/>
        <v>5258.9285714285706</v>
      </c>
      <c r="E20" s="49">
        <v>5258.9285714285706</v>
      </c>
      <c r="F20" s="49"/>
      <c r="G20" s="28"/>
      <c r="H20" s="50"/>
      <c r="I20" s="214"/>
      <c r="J20" s="214"/>
      <c r="K20" s="28">
        <f t="shared" si="17"/>
        <v>5258.9285714285706</v>
      </c>
      <c r="L20" s="49">
        <f>[52]СводПЗ!$E$20</f>
        <v>5258.9285714285706</v>
      </c>
      <c r="M20" s="49"/>
      <c r="N20" s="28"/>
      <c r="O20" s="50"/>
      <c r="X20" s="15"/>
      <c r="Y20" s="15"/>
      <c r="AT20" s="93" t="e">
        <f>#REF!</f>
        <v>#REF!</v>
      </c>
      <c r="AU20" s="93" t="e">
        <f t="shared" si="12"/>
        <v>#REF!</v>
      </c>
      <c r="AV20" s="97" t="e">
        <f t="shared" si="13"/>
        <v>#REF!</v>
      </c>
      <c r="AX20" s="28" t="e">
        <f t="shared" si="18"/>
        <v>#REF!</v>
      </c>
      <c r="AY20" s="28" t="e">
        <f>#REF!</f>
        <v>#REF!</v>
      </c>
      <c r="AZ20" s="28" t="e">
        <f>#REF!</f>
        <v>#REF!</v>
      </c>
      <c r="BA20" s="28" t="e">
        <f>#REF!</f>
        <v>#REF!</v>
      </c>
      <c r="BB20" s="28" t="e">
        <f>#REF!</f>
        <v>#REF!</v>
      </c>
      <c r="BC20" s="28" t="e">
        <f>#REF!</f>
        <v>#REF!</v>
      </c>
      <c r="BD20" s="28" t="e">
        <f>#REF!</f>
        <v>#REF!</v>
      </c>
    </row>
    <row r="21" spans="1:56" s="4" customFormat="1" ht="20.25" customHeight="1" outlineLevel="1">
      <c r="A21" s="207"/>
      <c r="B21" s="56" t="s">
        <v>143</v>
      </c>
      <c r="C21" s="210"/>
      <c r="D21" s="28">
        <f t="shared" si="15"/>
        <v>5995.5999999999995</v>
      </c>
      <c r="E21" s="49">
        <v>507.59531984299343</v>
      </c>
      <c r="F21" s="49">
        <v>699.95973821400116</v>
      </c>
      <c r="G21" s="28">
        <v>4331.4288507175461</v>
      </c>
      <c r="H21" s="50">
        <v>456.61609122545889</v>
      </c>
      <c r="I21" s="214"/>
      <c r="J21" s="214"/>
      <c r="K21" s="28">
        <f t="shared" si="17"/>
        <v>5995.6</v>
      </c>
      <c r="L21" s="49">
        <f>[52]СводПЗ!$E$21</f>
        <v>395.6941025041138</v>
      </c>
      <c r="M21" s="49">
        <f>[52]СводПЗ!$F$21</f>
        <v>642.45579818264707</v>
      </c>
      <c r="N21" s="28">
        <f>[52]СводПЗ!$L$21</f>
        <v>4653.1499164286133</v>
      </c>
      <c r="O21" s="50">
        <f>[52]СводПЗ!$J$21</f>
        <v>304.30018288462634</v>
      </c>
      <c r="X21" s="15"/>
      <c r="Y21" s="15"/>
      <c r="AT21" s="93" t="e">
        <f>#REF!</f>
        <v>#REF!</v>
      </c>
      <c r="AU21" s="93" t="e">
        <f t="shared" si="12"/>
        <v>#REF!</v>
      </c>
      <c r="AV21" s="97" t="e">
        <f t="shared" si="13"/>
        <v>#REF!</v>
      </c>
      <c r="AX21" s="28" t="e">
        <f t="shared" si="18"/>
        <v>#REF!</v>
      </c>
      <c r="AY21" s="28" t="e">
        <f>#REF!</f>
        <v>#REF!</v>
      </c>
      <c r="AZ21" s="28" t="e">
        <f>#REF!</f>
        <v>#REF!</v>
      </c>
      <c r="BA21" s="28" t="e">
        <f>#REF!</f>
        <v>#REF!</v>
      </c>
      <c r="BB21" s="28" t="e">
        <f>#REF!</f>
        <v>#REF!</v>
      </c>
      <c r="BC21" s="28" t="e">
        <f>#REF!</f>
        <v>#REF!</v>
      </c>
      <c r="BD21" s="28" t="e">
        <f>#REF!</f>
        <v>#REF!</v>
      </c>
    </row>
    <row r="22" spans="1:56" s="4" customFormat="1" ht="32.25" customHeight="1">
      <c r="A22" s="13" t="s">
        <v>12</v>
      </c>
      <c r="B22" s="12" t="s">
        <v>13</v>
      </c>
      <c r="C22" s="211" t="s">
        <v>9</v>
      </c>
      <c r="D22" s="25">
        <f t="shared" si="15"/>
        <v>310983.29278606782</v>
      </c>
      <c r="E22" s="25">
        <f>E23+E24</f>
        <v>8956.2787828052278</v>
      </c>
      <c r="F22" s="25">
        <f t="shared" ref="F22:H22" si="23">F23+F24</f>
        <v>13516.310684360516</v>
      </c>
      <c r="G22" s="25">
        <f t="shared" ref="G22" si="24">G23+G24</f>
        <v>288041.94750963821</v>
      </c>
      <c r="H22" s="25">
        <f t="shared" si="23"/>
        <v>468.75580926383361</v>
      </c>
      <c r="K22" s="25">
        <f t="shared" si="17"/>
        <v>310983.29078606784</v>
      </c>
      <c r="L22" s="25">
        <f>L23+L24</f>
        <v>8810.981790305972</v>
      </c>
      <c r="M22" s="25">
        <f t="shared" ref="M22:O22" si="25">M23+M24</f>
        <v>13441.645098580871</v>
      </c>
      <c r="N22" s="25">
        <f t="shared" ref="N22" si="26">N23+N24</f>
        <v>288459.68022986408</v>
      </c>
      <c r="O22" s="25">
        <f t="shared" si="25"/>
        <v>270.98366731689896</v>
      </c>
      <c r="X22" s="15"/>
      <c r="Y22" s="15"/>
      <c r="AT22" s="93" t="e">
        <f>#REF!</f>
        <v>#REF!</v>
      </c>
      <c r="AU22" s="92" t="e">
        <f t="shared" si="12"/>
        <v>#REF!</v>
      </c>
      <c r="AV22" s="97" t="e">
        <f t="shared" si="13"/>
        <v>#REF!</v>
      </c>
      <c r="AX22" s="25" t="e">
        <f t="shared" si="18"/>
        <v>#REF!</v>
      </c>
      <c r="AY22" s="25" t="e">
        <f>AY23+AY24</f>
        <v>#REF!</v>
      </c>
      <c r="AZ22" s="25" t="e">
        <f t="shared" ref="AZ22:BD22" si="27">AZ23+AZ24</f>
        <v>#REF!</v>
      </c>
      <c r="BA22" s="25" t="e">
        <f t="shared" si="27"/>
        <v>#REF!</v>
      </c>
      <c r="BB22" s="25" t="e">
        <f t="shared" si="27"/>
        <v>#REF!</v>
      </c>
      <c r="BC22" s="25" t="e">
        <f t="shared" si="27"/>
        <v>#REF!</v>
      </c>
      <c r="BD22" s="25" t="e">
        <f t="shared" si="27"/>
        <v>#REF!</v>
      </c>
    </row>
    <row r="23" spans="1:56" s="4" customFormat="1" outlineLevel="1">
      <c r="A23" s="13"/>
      <c r="B23" s="18" t="s">
        <v>175</v>
      </c>
      <c r="C23" s="9"/>
      <c r="D23" s="28">
        <f t="shared" si="15"/>
        <v>288011.72281999997</v>
      </c>
      <c r="E23" s="49">
        <v>4836.5382165168403</v>
      </c>
      <c r="F23" s="49">
        <v>7290.4744786452684</v>
      </c>
      <c r="G23" s="28">
        <v>275588.26658931054</v>
      </c>
      <c r="H23" s="49">
        <v>296.44353552733543</v>
      </c>
      <c r="I23" s="214"/>
      <c r="J23" s="214"/>
      <c r="K23" s="28">
        <f t="shared" si="17"/>
        <v>288011.72081999999</v>
      </c>
      <c r="L23" s="49">
        <f>[52]СводПЗ!$E$23</f>
        <v>4744.6514560327087</v>
      </c>
      <c r="M23" s="49">
        <f>[52]СводПЗ!$F$23</f>
        <v>7243.2554108919412</v>
      </c>
      <c r="N23" s="28">
        <f>[52]СводПЗ!$L$23</f>
        <v>275852.44247456698</v>
      </c>
      <c r="O23" s="49">
        <f>[52]СводПЗ!$J$23</f>
        <v>171.37147850835498</v>
      </c>
      <c r="X23" s="15"/>
      <c r="Y23" s="15"/>
      <c r="AT23" s="93" t="e">
        <f>#REF!</f>
        <v>#REF!</v>
      </c>
      <c r="AU23" s="93" t="e">
        <f t="shared" si="12"/>
        <v>#REF!</v>
      </c>
      <c r="AV23" s="97" t="e">
        <f t="shared" si="13"/>
        <v>#REF!</v>
      </c>
      <c r="AX23" s="28" t="e">
        <f t="shared" si="18"/>
        <v>#REF!</v>
      </c>
      <c r="AY23" s="49" t="e">
        <f>#REF!</f>
        <v>#REF!</v>
      </c>
      <c r="AZ23" s="49" t="e">
        <f>#REF!</f>
        <v>#REF!</v>
      </c>
      <c r="BA23" s="49" t="e">
        <f>#REF!</f>
        <v>#REF!</v>
      </c>
      <c r="BB23" s="49" t="e">
        <f>#REF!</f>
        <v>#REF!</v>
      </c>
      <c r="BC23" s="49" t="e">
        <f>#REF!</f>
        <v>#REF!</v>
      </c>
      <c r="BD23" s="49" t="e">
        <f>#REF!</f>
        <v>#REF!</v>
      </c>
    </row>
    <row r="24" spans="1:56" s="4" customFormat="1" outlineLevel="1">
      <c r="A24" s="13"/>
      <c r="B24" s="18" t="s">
        <v>14</v>
      </c>
      <c r="C24" s="9"/>
      <c r="D24" s="28">
        <f t="shared" si="15"/>
        <v>22971.569966067822</v>
      </c>
      <c r="E24" s="49">
        <v>4119.7405662883866</v>
      </c>
      <c r="F24" s="49">
        <v>6225.8362057152472</v>
      </c>
      <c r="G24" s="28">
        <v>12453.68092032769</v>
      </c>
      <c r="H24" s="49">
        <v>172.31227373649816</v>
      </c>
      <c r="I24" s="214"/>
      <c r="J24" s="214"/>
      <c r="K24" s="28">
        <f t="shared" si="17"/>
        <v>22971.569966067818</v>
      </c>
      <c r="L24" s="49">
        <f>[52]СводПЗ!$E$24</f>
        <v>4066.3303342732629</v>
      </c>
      <c r="M24" s="49">
        <f>[52]СводПЗ!$F$24</f>
        <v>6198.3896876889303</v>
      </c>
      <c r="N24" s="28">
        <f>[52]СводПЗ!$L$24</f>
        <v>12607.237755297083</v>
      </c>
      <c r="O24" s="49">
        <f>[52]СводПЗ!$J$24</f>
        <v>99.612188808543962</v>
      </c>
      <c r="X24" s="15"/>
      <c r="Y24" s="15"/>
      <c r="AT24" s="93" t="e">
        <f>#REF!</f>
        <v>#REF!</v>
      </c>
      <c r="AU24" s="93" t="e">
        <f t="shared" si="12"/>
        <v>#REF!</v>
      </c>
      <c r="AV24" s="97" t="e">
        <f t="shared" si="13"/>
        <v>#REF!</v>
      </c>
      <c r="AX24" s="28" t="e">
        <f t="shared" si="18"/>
        <v>#REF!</v>
      </c>
      <c r="AY24" s="49" t="e">
        <f>#REF!</f>
        <v>#REF!</v>
      </c>
      <c r="AZ24" s="49" t="e">
        <f>#REF!</f>
        <v>#REF!</v>
      </c>
      <c r="BA24" s="49" t="e">
        <f>#REF!</f>
        <v>#REF!</v>
      </c>
      <c r="BB24" s="49" t="e">
        <f>#REF!</f>
        <v>#REF!</v>
      </c>
      <c r="BC24" s="49" t="e">
        <f>#REF!</f>
        <v>#REF!</v>
      </c>
      <c r="BD24" s="49" t="e">
        <f>#REF!</f>
        <v>#REF!</v>
      </c>
    </row>
    <row r="25" spans="1:56" s="4" customFormat="1" ht="33.75" customHeight="1">
      <c r="A25" s="13" t="s">
        <v>15</v>
      </c>
      <c r="B25" s="12" t="s">
        <v>179</v>
      </c>
      <c r="C25" s="211" t="s">
        <v>9</v>
      </c>
      <c r="D25" s="25">
        <f t="shared" si="15"/>
        <v>76279.90433200002</v>
      </c>
      <c r="E25" s="52">
        <v>1639.6039514323304</v>
      </c>
      <c r="F25" s="52">
        <v>2491.3514498261839</v>
      </c>
      <c r="G25" s="25">
        <v>71907.086879341499</v>
      </c>
      <c r="H25" s="52">
        <v>241.86205139999996</v>
      </c>
      <c r="K25" s="25">
        <f t="shared" si="17"/>
        <v>61848.571080000009</v>
      </c>
      <c r="L25" s="52">
        <f>[52]СводПЗ!$E$25</f>
        <v>1329.408609269457</v>
      </c>
      <c r="M25" s="52">
        <f>[52]СводПЗ!$F$25</f>
        <v>2020.014689048257</v>
      </c>
      <c r="N25" s="34">
        <f>[52]СводПЗ!$L$25</f>
        <v>58303.043415682296</v>
      </c>
      <c r="O25" s="52">
        <f>[52]СводПЗ!$J$25</f>
        <v>196.10436599999997</v>
      </c>
      <c r="X25" s="15"/>
      <c r="Y25" s="15"/>
      <c r="AT25" s="92" t="e">
        <f>#REF!</f>
        <v>#REF!</v>
      </c>
      <c r="AU25" s="92" t="e">
        <f t="shared" si="12"/>
        <v>#REF!</v>
      </c>
      <c r="AV25" s="97" t="e">
        <f t="shared" si="13"/>
        <v>#REF!</v>
      </c>
      <c r="AX25" s="25" t="e">
        <f t="shared" si="18"/>
        <v>#REF!</v>
      </c>
      <c r="AY25" s="52" t="e">
        <f>#REF!</f>
        <v>#REF!</v>
      </c>
      <c r="AZ25" s="52" t="e">
        <f>#REF!</f>
        <v>#REF!</v>
      </c>
      <c r="BA25" s="52" t="e">
        <f>#REF!</f>
        <v>#REF!</v>
      </c>
      <c r="BB25" s="52" t="e">
        <f>#REF!</f>
        <v>#REF!</v>
      </c>
      <c r="BC25" s="52" t="e">
        <f>#REF!</f>
        <v>#REF!</v>
      </c>
      <c r="BD25" s="52" t="e">
        <f>#REF!</f>
        <v>#REF!</v>
      </c>
    </row>
    <row r="26" spans="1:56" s="6" customFormat="1" ht="33" customHeight="1">
      <c r="A26" s="19" t="s">
        <v>16</v>
      </c>
      <c r="B26" s="17" t="s">
        <v>273</v>
      </c>
      <c r="C26" s="209" t="s">
        <v>9</v>
      </c>
      <c r="D26" s="27">
        <f>SUM(D28:D31)</f>
        <v>1206129.5796632001</v>
      </c>
      <c r="E26" s="27">
        <f t="shared" ref="E26:H26" si="28">SUM(E28:E31)</f>
        <v>112257.6431603157</v>
      </c>
      <c r="F26" s="27">
        <f t="shared" si="28"/>
        <v>154800.14776992027</v>
      </c>
      <c r="G26" s="27">
        <f t="shared" ref="G26" si="29">SUM(G28:G31)</f>
        <v>858902.35124417162</v>
      </c>
      <c r="H26" s="27">
        <f t="shared" si="28"/>
        <v>80169.437488792464</v>
      </c>
      <c r="K26" s="27">
        <f>SUM(K28:K31)</f>
        <v>1196407.4733271997</v>
      </c>
      <c r="L26" s="27">
        <f t="shared" ref="L26:O26" si="30">SUM(L28:L31)</f>
        <v>105958.85517350391</v>
      </c>
      <c r="M26" s="27">
        <f t="shared" si="30"/>
        <v>150763.89370804635</v>
      </c>
      <c r="N26" s="27">
        <f t="shared" ref="N26" si="31">SUM(N28:N31)</f>
        <v>867350.10817682138</v>
      </c>
      <c r="O26" s="27">
        <f t="shared" si="30"/>
        <v>72334.61626882838</v>
      </c>
      <c r="Q26" s="48"/>
      <c r="R26" s="48"/>
      <c r="S26" s="48"/>
      <c r="T26" s="48"/>
      <c r="U26" s="48"/>
      <c r="V26" s="48"/>
      <c r="W26" s="48"/>
      <c r="X26" s="15"/>
      <c r="Y26" s="15"/>
      <c r="AT26" s="91" t="e">
        <f>SUM(AT28:AT31)</f>
        <v>#REF!</v>
      </c>
      <c r="AU26" s="91" t="e">
        <f t="shared" si="12"/>
        <v>#REF!</v>
      </c>
      <c r="AV26" s="98" t="e">
        <f t="shared" si="13"/>
        <v>#REF!</v>
      </c>
      <c r="AX26" s="27" t="e">
        <f>SUM(AX28:AX31)</f>
        <v>#REF!</v>
      </c>
      <c r="AY26" s="27" t="e">
        <f t="shared" ref="AY26:BD26" si="32">SUM(AY28:AY31)</f>
        <v>#REF!</v>
      </c>
      <c r="AZ26" s="27" t="e">
        <f t="shared" si="32"/>
        <v>#REF!</v>
      </c>
      <c r="BA26" s="27" t="e">
        <f t="shared" si="32"/>
        <v>#REF!</v>
      </c>
      <c r="BB26" s="27" t="e">
        <f t="shared" si="32"/>
        <v>#REF!</v>
      </c>
      <c r="BC26" s="27" t="e">
        <f t="shared" si="32"/>
        <v>#REF!</v>
      </c>
      <c r="BD26" s="27" t="e">
        <f t="shared" si="32"/>
        <v>#REF!</v>
      </c>
    </row>
    <row r="27" spans="1:56" s="4" customFormat="1">
      <c r="A27" s="13"/>
      <c r="B27" s="12" t="s">
        <v>7</v>
      </c>
      <c r="C27" s="211"/>
      <c r="D27" s="25"/>
      <c r="E27" s="25"/>
      <c r="F27" s="25"/>
      <c r="G27" s="25"/>
      <c r="H27" s="33"/>
      <c r="K27" s="25"/>
      <c r="L27" s="25"/>
      <c r="M27" s="25"/>
      <c r="N27" s="25"/>
      <c r="O27" s="33"/>
      <c r="X27" s="15"/>
      <c r="Y27" s="15"/>
      <c r="AT27" s="92"/>
      <c r="AU27" s="92"/>
      <c r="AV27" s="97"/>
      <c r="AX27" s="25"/>
      <c r="AY27" s="25"/>
      <c r="AZ27" s="25"/>
      <c r="BA27" s="25"/>
      <c r="BB27" s="32"/>
      <c r="BC27" s="33"/>
      <c r="BD27" s="33"/>
    </row>
    <row r="28" spans="1:56" s="4" customFormat="1" ht="27" customHeight="1">
      <c r="A28" s="13" t="s">
        <v>17</v>
      </c>
      <c r="B28" s="12" t="s">
        <v>18</v>
      </c>
      <c r="C28" s="211" t="s">
        <v>9</v>
      </c>
      <c r="D28" s="25">
        <f>SUM(E28:H28)</f>
        <v>1075601.3768</v>
      </c>
      <c r="E28" s="25">
        <v>100803.18763715524</v>
      </c>
      <c r="F28" s="25">
        <v>139004.77421947994</v>
      </c>
      <c r="G28" s="25">
        <v>764099.34811255021</v>
      </c>
      <c r="H28" s="33">
        <v>71694.066830814583</v>
      </c>
      <c r="K28" s="25">
        <f>SUM(L28:O28)</f>
        <v>1073915.2327999999</v>
      </c>
      <c r="L28" s="321">
        <f>[52]СводПЗ!$E$28</f>
        <v>95890.776263006876</v>
      </c>
      <c r="M28" s="321">
        <f>[52]СводПЗ!$F$28</f>
        <v>136333.47497875191</v>
      </c>
      <c r="N28" s="25">
        <f>[52]СводПЗ!$L$28</f>
        <v>776447.3392924784</v>
      </c>
      <c r="O28" s="33">
        <f>[52]СводПЗ!$J$28</f>
        <v>65243.642265762763</v>
      </c>
      <c r="X28" s="15">
        <v>95890.77626300689</v>
      </c>
      <c r="Y28" s="15">
        <v>136333.474978752</v>
      </c>
      <c r="Z28" s="4" t="s">
        <v>277</v>
      </c>
      <c r="AT28" s="92" t="e">
        <f>#REF!</f>
        <v>#REF!</v>
      </c>
      <c r="AU28" s="92" t="e">
        <f>D28-AT28</f>
        <v>#REF!</v>
      </c>
      <c r="AV28" s="97" t="e">
        <f>100%-(AT28/D28)</f>
        <v>#REF!</v>
      </c>
      <c r="AX28" s="25" t="e">
        <f t="shared" ref="AX28:AX32" si="33">SUM(AY28:BD28)</f>
        <v>#REF!</v>
      </c>
      <c r="AY28" s="25" t="e">
        <f>#REF!</f>
        <v>#REF!</v>
      </c>
      <c r="AZ28" s="25" t="e">
        <f>#REF!</f>
        <v>#REF!</v>
      </c>
      <c r="BA28" s="25" t="e">
        <f>#REF!</f>
        <v>#REF!</v>
      </c>
      <c r="BB28" s="25" t="e">
        <f>#REF!</f>
        <v>#REF!</v>
      </c>
      <c r="BC28" s="25" t="e">
        <f>#REF!</f>
        <v>#REF!</v>
      </c>
      <c r="BD28" s="25" t="e">
        <f>#REF!</f>
        <v>#REF!</v>
      </c>
    </row>
    <row r="29" spans="1:56" s="4" customFormat="1" ht="29.25" customHeight="1">
      <c r="A29" s="13" t="s">
        <v>19</v>
      </c>
      <c r="B29" s="12" t="s">
        <v>20</v>
      </c>
      <c r="C29" s="211" t="s">
        <v>9</v>
      </c>
      <c r="D29" s="25">
        <f>SUM(E29:H29)</f>
        <v>106484.53630320002</v>
      </c>
      <c r="E29" s="25">
        <v>9979.5155760783673</v>
      </c>
      <c r="F29" s="25">
        <v>13761.472647728513</v>
      </c>
      <c r="G29" s="25">
        <v>75645.835463142488</v>
      </c>
      <c r="H29" s="33">
        <v>7097.7126162506447</v>
      </c>
      <c r="K29" s="25">
        <f>SUM(L29:O29)</f>
        <v>106317.60804719999</v>
      </c>
      <c r="L29" s="321">
        <f>[52]СводПЗ!$E$29</f>
        <v>9493.1868500376822</v>
      </c>
      <c r="M29" s="321">
        <f>[52]СводПЗ!$F$29</f>
        <v>13497.014022896439</v>
      </c>
      <c r="N29" s="25">
        <f>[52]СводПЗ!$L$29</f>
        <v>76868.286589955358</v>
      </c>
      <c r="O29" s="33">
        <f>[52]СводПЗ!$J$29</f>
        <v>6459.1205843105136</v>
      </c>
      <c r="X29" s="15">
        <v>78477.954092487795</v>
      </c>
      <c r="Y29" s="15">
        <v>117718.60807555901</v>
      </c>
      <c r="Z29" s="4" t="s">
        <v>278</v>
      </c>
      <c r="AA29" s="15">
        <f>X28-X29</f>
        <v>17412.822170519095</v>
      </c>
      <c r="AB29" s="15">
        <f>Y28-Y29</f>
        <v>18614.866903192989</v>
      </c>
      <c r="AT29" s="92" t="e">
        <f>#REF!</f>
        <v>#REF!</v>
      </c>
      <c r="AU29" s="92" t="e">
        <f>D29-AT29</f>
        <v>#REF!</v>
      </c>
      <c r="AV29" s="97" t="e">
        <f>100%-(AT29/D29)</f>
        <v>#REF!</v>
      </c>
      <c r="AX29" s="25" t="e">
        <f t="shared" si="33"/>
        <v>#REF!</v>
      </c>
      <c r="AY29" s="25" t="e">
        <f>#REF!</f>
        <v>#REF!</v>
      </c>
      <c r="AZ29" s="25" t="e">
        <f>#REF!</f>
        <v>#REF!</v>
      </c>
      <c r="BA29" s="25" t="e">
        <f>#REF!</f>
        <v>#REF!</v>
      </c>
      <c r="BB29" s="25" t="e">
        <f>#REF!</f>
        <v>#REF!</v>
      </c>
      <c r="BC29" s="25" t="e">
        <f>#REF!</f>
        <v>#REF!</v>
      </c>
      <c r="BD29" s="25" t="e">
        <f>#REF!</f>
        <v>#REF!</v>
      </c>
    </row>
    <row r="30" spans="1:56" s="4" customFormat="1" ht="37.5" customHeight="1">
      <c r="A30" s="207" t="s">
        <v>144</v>
      </c>
      <c r="B30" s="59" t="s">
        <v>145</v>
      </c>
      <c r="C30" s="208"/>
      <c r="D30" s="25">
        <f>SUM(E30:H30)</f>
        <v>8305.5984000000008</v>
      </c>
      <c r="E30" s="60"/>
      <c r="F30" s="60"/>
      <c r="G30" s="25">
        <v>7976.9592000000002</v>
      </c>
      <c r="H30" s="61">
        <v>328.63920000000002</v>
      </c>
      <c r="K30" s="25">
        <f>SUM(L30:O30)</f>
        <v>8305.5984000000008</v>
      </c>
      <c r="L30" s="60"/>
      <c r="M30" s="60"/>
      <c r="N30" s="25">
        <f>[52]СводПЗ!$L$30</f>
        <v>7976.9592000000002</v>
      </c>
      <c r="O30" s="61">
        <f>[52]СводПЗ!$J$30</f>
        <v>328.63920000000002</v>
      </c>
      <c r="X30" s="15">
        <v>61065.131921968699</v>
      </c>
      <c r="Y30" s="15">
        <v>99103.741172366499</v>
      </c>
      <c r="Z30" s="4" t="s">
        <v>279</v>
      </c>
      <c r="AA30" s="15">
        <f>X29-X30</f>
        <v>17412.822170519095</v>
      </c>
      <c r="AB30" s="15">
        <f>Y29-Y30</f>
        <v>18614.866903192509</v>
      </c>
      <c r="AT30" s="92" t="e">
        <f>#REF!</f>
        <v>#REF!</v>
      </c>
      <c r="AU30" s="92" t="e">
        <f>D30-AT30</f>
        <v>#REF!</v>
      </c>
      <c r="AV30" s="97" t="e">
        <f>100%-(AT30/D30)</f>
        <v>#REF!</v>
      </c>
      <c r="AX30" s="25" t="e">
        <f t="shared" si="33"/>
        <v>#REF!</v>
      </c>
      <c r="AY30" s="25" t="e">
        <f>#REF!</f>
        <v>#REF!</v>
      </c>
      <c r="AZ30" s="25" t="e">
        <f>#REF!</f>
        <v>#REF!</v>
      </c>
      <c r="BA30" s="25" t="e">
        <f>#REF!</f>
        <v>#REF!</v>
      </c>
      <c r="BB30" s="25" t="e">
        <f>#REF!</f>
        <v>#REF!</v>
      </c>
      <c r="BC30" s="25" t="e">
        <f>#REF!</f>
        <v>#REF!</v>
      </c>
      <c r="BD30" s="25" t="e">
        <f>#REF!</f>
        <v>#REF!</v>
      </c>
    </row>
    <row r="31" spans="1:56" s="4" customFormat="1" ht="29.25" customHeight="1">
      <c r="A31" s="207" t="s">
        <v>146</v>
      </c>
      <c r="B31" s="59" t="s">
        <v>147</v>
      </c>
      <c r="C31" s="208"/>
      <c r="D31" s="25">
        <f>SUM(E31:H31)</f>
        <v>15738.068159999999</v>
      </c>
      <c r="E31" s="60">
        <v>1474.9399470820929</v>
      </c>
      <c r="F31" s="60">
        <v>2033.9009027118102</v>
      </c>
      <c r="G31" s="25">
        <v>11180.208468478861</v>
      </c>
      <c r="H31" s="61">
        <v>1049.018841727235</v>
      </c>
      <c r="K31" s="25">
        <f>[52]СводПЗ!$C$31</f>
        <v>7869.0340800000004</v>
      </c>
      <c r="L31" s="60">
        <f>$K$31*L90</f>
        <v>574.89206045934145</v>
      </c>
      <c r="M31" s="60">
        <f t="shared" ref="M31:O31" si="34">$K$31*M90</f>
        <v>933.40470639800094</v>
      </c>
      <c r="N31" s="60">
        <f t="shared" si="34"/>
        <v>6057.5230943875604</v>
      </c>
      <c r="O31" s="60">
        <f t="shared" si="34"/>
        <v>303.21421875509708</v>
      </c>
      <c r="X31" s="15"/>
      <c r="Y31" s="15"/>
      <c r="AT31" s="92" t="e">
        <f>#REF!</f>
        <v>#REF!</v>
      </c>
      <c r="AU31" s="92" t="e">
        <f>D31-AT31</f>
        <v>#REF!</v>
      </c>
      <c r="AV31" s="97" t="e">
        <f>100%-(AT31/D31)</f>
        <v>#REF!</v>
      </c>
      <c r="AX31" s="25" t="e">
        <f t="shared" si="33"/>
        <v>#REF!</v>
      </c>
      <c r="AY31" s="25" t="e">
        <f>#REF!</f>
        <v>#REF!</v>
      </c>
      <c r="AZ31" s="25" t="e">
        <f>#REF!</f>
        <v>#REF!</v>
      </c>
      <c r="BA31" s="25" t="e">
        <f>#REF!</f>
        <v>#REF!</v>
      </c>
      <c r="BB31" s="25" t="e">
        <f>#REF!</f>
        <v>#REF!</v>
      </c>
      <c r="BC31" s="25" t="e">
        <f>#REF!</f>
        <v>#REF!</v>
      </c>
      <c r="BD31" s="25" t="e">
        <f>#REF!</f>
        <v>#REF!</v>
      </c>
    </row>
    <row r="32" spans="1:56" s="6" customFormat="1" ht="50.25" customHeight="1">
      <c r="A32" s="78" t="s">
        <v>21</v>
      </c>
      <c r="B32" s="17" t="s">
        <v>22</v>
      </c>
      <c r="C32" s="43" t="s">
        <v>9</v>
      </c>
      <c r="D32" s="31">
        <f>SUM(E32:H32)</f>
        <v>2489153.803894788</v>
      </c>
      <c r="E32" s="46">
        <v>1099839.5662673169</v>
      </c>
      <c r="F32" s="46">
        <v>837186.90265264537</v>
      </c>
      <c r="G32" s="46">
        <v>500769.89668170922</v>
      </c>
      <c r="H32" s="46">
        <v>51357.438293116582</v>
      </c>
      <c r="K32" s="31">
        <f>SUM(L32:O32)</f>
        <v>2220718.321853674</v>
      </c>
      <c r="L32" s="46">
        <f>[52]СводПЗ!$E$32</f>
        <v>895527.52671471401</v>
      </c>
      <c r="M32" s="46">
        <f>[52]СводПЗ!$F$32</f>
        <v>736461.054635223</v>
      </c>
      <c r="N32" s="31">
        <f>[52]СводПЗ!$L$32</f>
        <v>579338.61477020709</v>
      </c>
      <c r="O32" s="46">
        <f>[52]СводПЗ!$J$32</f>
        <v>9391.1257335300597</v>
      </c>
      <c r="Q32" s="48"/>
      <c r="R32" s="48"/>
      <c r="S32" s="48"/>
      <c r="T32" s="48"/>
      <c r="U32" s="48"/>
      <c r="V32" s="48"/>
      <c r="W32" s="48"/>
      <c r="AT32" s="91" t="e">
        <f>#REF!</f>
        <v>#REF!</v>
      </c>
      <c r="AU32" s="91" t="e">
        <f>D32-AT32</f>
        <v>#REF!</v>
      </c>
      <c r="AV32" s="98" t="e">
        <f>100%-(AT32/D32)</f>
        <v>#REF!</v>
      </c>
      <c r="AX32" s="31" t="e">
        <f t="shared" si="33"/>
        <v>#REF!</v>
      </c>
      <c r="AY32" s="46" t="e">
        <f>#REF!</f>
        <v>#REF!</v>
      </c>
      <c r="AZ32" s="46" t="e">
        <f>#REF!</f>
        <v>#REF!</v>
      </c>
      <c r="BA32" s="46" t="e">
        <f>#REF!</f>
        <v>#REF!</v>
      </c>
      <c r="BB32" s="46" t="e">
        <f>#REF!</f>
        <v>#REF!</v>
      </c>
      <c r="BC32" s="46" t="e">
        <f>#REF!</f>
        <v>#REF!</v>
      </c>
      <c r="BD32" s="46" t="e">
        <f>#REF!</f>
        <v>#REF!</v>
      </c>
    </row>
    <row r="33" spans="1:56" s="6" customFormat="1" ht="40.5" customHeight="1">
      <c r="A33" s="19" t="s">
        <v>23</v>
      </c>
      <c r="B33" s="17" t="s">
        <v>24</v>
      </c>
      <c r="C33" s="209" t="s">
        <v>9</v>
      </c>
      <c r="D33" s="31">
        <f>SUM(E33:G33)</f>
        <v>0</v>
      </c>
      <c r="E33" s="31"/>
      <c r="F33" s="31"/>
      <c r="G33" s="31"/>
      <c r="H33" s="31"/>
      <c r="K33" s="31">
        <f>SUM(L33:N33)</f>
        <v>0</v>
      </c>
      <c r="L33" s="31"/>
      <c r="M33" s="31"/>
      <c r="N33" s="31"/>
      <c r="O33" s="31"/>
      <c r="AT33" s="91"/>
      <c r="AU33" s="92"/>
      <c r="AV33" s="97"/>
      <c r="AX33" s="31">
        <f>SUM(AY33:BC33)</f>
        <v>0</v>
      </c>
      <c r="AY33" s="31"/>
      <c r="AZ33" s="31"/>
      <c r="BA33" s="31"/>
      <c r="BB33" s="31"/>
      <c r="BC33" s="31"/>
      <c r="BD33" s="31"/>
    </row>
    <row r="34" spans="1:56" s="6" customFormat="1" ht="36" customHeight="1">
      <c r="A34" s="19" t="s">
        <v>25</v>
      </c>
      <c r="B34" s="17" t="s">
        <v>26</v>
      </c>
      <c r="C34" s="209" t="s">
        <v>9</v>
      </c>
      <c r="D34" s="31">
        <f>SUM(E34:H34)</f>
        <v>915347.05063624796</v>
      </c>
      <c r="E34" s="27">
        <f>E36+E37+E38+E39+E45+E68+E70+E75</f>
        <v>199103.09201767843</v>
      </c>
      <c r="F34" s="27">
        <f t="shared" ref="F34:AT34" si="35">F36+F37+F38+F39+F45+F68+F70+F75</f>
        <v>169679.97834059433</v>
      </c>
      <c r="G34" s="27">
        <f t="shared" ref="G34" si="36">G36+G37+G38+G39+G45+G68+G70+G75</f>
        <v>518370.65091040451</v>
      </c>
      <c r="H34" s="27">
        <f t="shared" si="35"/>
        <v>28193.329367570681</v>
      </c>
      <c r="K34" s="31">
        <f>SUM(L34:O34)</f>
        <v>858965.6412513227</v>
      </c>
      <c r="L34" s="27">
        <f>L36+L37+L38+L39+L45+L68+L70+L75</f>
        <v>164738.23756560116</v>
      </c>
      <c r="M34" s="27">
        <f t="shared" ref="M34:O34" si="37">M36+M37+M38+M39+M45+M68+M70+M75</f>
        <v>136072.90154033893</v>
      </c>
      <c r="N34" s="27">
        <f t="shared" ref="N34" si="38">N36+N37+N38+N39+N45+N68+N70+N75</f>
        <v>544973.56757845986</v>
      </c>
      <c r="O34" s="27">
        <f t="shared" si="37"/>
        <v>13180.934566922686</v>
      </c>
      <c r="X34" s="15"/>
      <c r="Y34" s="15"/>
      <c r="AT34" s="99" t="e">
        <f t="shared" si="35"/>
        <v>#REF!</v>
      </c>
      <c r="AU34" s="91" t="e">
        <f>D34-AT34</f>
        <v>#REF!</v>
      </c>
      <c r="AV34" s="98" t="e">
        <f>100%-(AT34/D34)</f>
        <v>#REF!</v>
      </c>
      <c r="AX34" s="31" t="e">
        <f>SUM(AY34:BD34)</f>
        <v>#REF!</v>
      </c>
      <c r="AY34" s="27" t="e">
        <f>AY36+AY37+AY38+AY39+AY45+AY68+AY70+AY75</f>
        <v>#REF!</v>
      </c>
      <c r="AZ34" s="27" t="e">
        <f t="shared" ref="AZ34:BD34" si="39">AZ36+AZ37+AZ38+AZ39+AZ45+AZ68+AZ70+AZ75</f>
        <v>#REF!</v>
      </c>
      <c r="BA34" s="27" t="e">
        <f t="shared" si="39"/>
        <v>#REF!</v>
      </c>
      <c r="BB34" s="27" t="e">
        <f t="shared" si="39"/>
        <v>#REF!</v>
      </c>
      <c r="BC34" s="27" t="e">
        <f t="shared" si="39"/>
        <v>#REF!</v>
      </c>
      <c r="BD34" s="27" t="e">
        <f t="shared" si="39"/>
        <v>#REF!</v>
      </c>
    </row>
    <row r="35" spans="1:56" s="4" customFormat="1" ht="27" customHeight="1">
      <c r="A35" s="13"/>
      <c r="B35" s="12" t="s">
        <v>7</v>
      </c>
      <c r="C35" s="211"/>
      <c r="D35" s="25"/>
      <c r="E35" s="31"/>
      <c r="F35" s="31"/>
      <c r="G35" s="31"/>
      <c r="H35" s="33"/>
      <c r="K35" s="25"/>
      <c r="L35" s="31"/>
      <c r="M35" s="31"/>
      <c r="N35" s="31"/>
      <c r="O35" s="33"/>
      <c r="X35" s="15"/>
      <c r="Y35" s="15"/>
      <c r="AT35" s="92"/>
      <c r="AU35" s="92"/>
      <c r="AV35" s="97"/>
      <c r="AX35" s="25"/>
      <c r="AY35" s="31"/>
      <c r="AZ35" s="31"/>
      <c r="BA35" s="31"/>
      <c r="BB35" s="32"/>
      <c r="BC35" s="33"/>
      <c r="BD35" s="33"/>
    </row>
    <row r="36" spans="1:56" s="4" customFormat="1" ht="27" customHeight="1">
      <c r="A36" s="13" t="s">
        <v>27</v>
      </c>
      <c r="B36" s="12" t="s">
        <v>28</v>
      </c>
      <c r="C36" s="211" t="s">
        <v>9</v>
      </c>
      <c r="D36" s="25">
        <f t="shared" ref="D36:D74" si="40">SUM(E36:H36)</f>
        <v>6258.5412933942844</v>
      </c>
      <c r="E36" s="25">
        <v>586.53784379658339</v>
      </c>
      <c r="F36" s="25">
        <v>808.81926910486698</v>
      </c>
      <c r="G36" s="25">
        <v>4446.0219422973596</v>
      </c>
      <c r="H36" s="33">
        <v>417.16223819547525</v>
      </c>
      <c r="K36" s="25">
        <f>[52]СводПЗ!$C$36</f>
        <v>6258.5412933942862</v>
      </c>
      <c r="L36" s="25">
        <f>$K$36*L90</f>
        <v>457.23346258900847</v>
      </c>
      <c r="M36" s="25">
        <f t="shared" ref="M36:O36" si="41">$K$36*M90</f>
        <v>742.37216906810738</v>
      </c>
      <c r="N36" s="25">
        <f t="shared" si="41"/>
        <v>4817.7778919867233</v>
      </c>
      <c r="O36" s="25">
        <f t="shared" si="41"/>
        <v>241.15776975044733</v>
      </c>
      <c r="X36" s="15"/>
      <c r="Y36" s="15"/>
      <c r="AT36" s="92" t="e">
        <f>#REF!</f>
        <v>#REF!</v>
      </c>
      <c r="AU36" s="92" t="e">
        <f t="shared" ref="AU36:AU67" si="42">D36-AT36</f>
        <v>#REF!</v>
      </c>
      <c r="AV36" s="97" t="e">
        <f t="shared" ref="AV36:AV67" si="43">100%-(AT36/D36)</f>
        <v>#REF!</v>
      </c>
      <c r="AX36" s="25" t="e">
        <f t="shared" ref="AX36:AX89" si="44">SUM(AY36:BD36)</f>
        <v>#REF!</v>
      </c>
      <c r="AY36" s="25" t="e">
        <f>#REF!</f>
        <v>#REF!</v>
      </c>
      <c r="AZ36" s="25" t="e">
        <f>#REF!</f>
        <v>#REF!</v>
      </c>
      <c r="BA36" s="25" t="e">
        <f>#REF!</f>
        <v>#REF!</v>
      </c>
      <c r="BB36" s="25" t="e">
        <f>#REF!</f>
        <v>#REF!</v>
      </c>
      <c r="BC36" s="25" t="e">
        <f>#REF!</f>
        <v>#REF!</v>
      </c>
      <c r="BD36" s="25" t="e">
        <f>#REF!</f>
        <v>#REF!</v>
      </c>
    </row>
    <row r="37" spans="1:56" s="4" customFormat="1" ht="27" customHeight="1">
      <c r="A37" s="13" t="s">
        <v>29</v>
      </c>
      <c r="B37" s="12" t="s">
        <v>30</v>
      </c>
      <c r="C37" s="211" t="s">
        <v>9</v>
      </c>
      <c r="D37" s="25">
        <f t="shared" si="40"/>
        <v>2234.5857982142852</v>
      </c>
      <c r="E37" s="25">
        <v>209.42086572895963</v>
      </c>
      <c r="F37" s="25">
        <v>288.78551204438469</v>
      </c>
      <c r="G37" s="25">
        <v>1587.4334010215616</v>
      </c>
      <c r="H37" s="33">
        <v>148.94601941937952</v>
      </c>
      <c r="K37" s="25">
        <f>[52]СводПЗ!$C$37</f>
        <v>1398.3066999999996</v>
      </c>
      <c r="L37" s="25">
        <f>$K$37*L90</f>
        <v>102.15681006646523</v>
      </c>
      <c r="M37" s="25">
        <f t="shared" ref="M37:O37" si="45">$K$37*M90</f>
        <v>165.86356616311124</v>
      </c>
      <c r="N37" s="25">
        <f t="shared" si="45"/>
        <v>1076.4059530273194</v>
      </c>
      <c r="O37" s="25">
        <f t="shared" si="45"/>
        <v>53.880370743103676</v>
      </c>
      <c r="X37" s="15"/>
      <c r="Y37" s="15"/>
      <c r="AT37" s="92" t="e">
        <f>#REF!</f>
        <v>#REF!</v>
      </c>
      <c r="AU37" s="92" t="e">
        <f t="shared" si="42"/>
        <v>#REF!</v>
      </c>
      <c r="AV37" s="97" t="e">
        <f t="shared" si="43"/>
        <v>#REF!</v>
      </c>
      <c r="AX37" s="25" t="e">
        <f t="shared" si="44"/>
        <v>#REF!</v>
      </c>
      <c r="AY37" s="25" t="e">
        <f>#REF!</f>
        <v>#REF!</v>
      </c>
      <c r="AZ37" s="25" t="e">
        <f>#REF!</f>
        <v>#REF!</v>
      </c>
      <c r="BA37" s="25" t="e">
        <f>#REF!</f>
        <v>#REF!</v>
      </c>
      <c r="BB37" s="25" t="e">
        <f>#REF!</f>
        <v>#REF!</v>
      </c>
      <c r="BC37" s="25" t="e">
        <f>#REF!</f>
        <v>#REF!</v>
      </c>
      <c r="BD37" s="25" t="e">
        <f>#REF!</f>
        <v>#REF!</v>
      </c>
    </row>
    <row r="38" spans="1:56" s="4" customFormat="1" ht="27" customHeight="1">
      <c r="A38" s="13" t="s">
        <v>31</v>
      </c>
      <c r="B38" s="12" t="s">
        <v>32</v>
      </c>
      <c r="C38" s="211" t="s">
        <v>9</v>
      </c>
      <c r="D38" s="25">
        <f t="shared" si="40"/>
        <v>20478.45736</v>
      </c>
      <c r="E38" s="25">
        <v>1919.1996443152584</v>
      </c>
      <c r="F38" s="25">
        <v>2646.522590142939</v>
      </c>
      <c r="G38" s="25">
        <v>14547.74627165265</v>
      </c>
      <c r="H38" s="33">
        <v>1364.9888538891528</v>
      </c>
      <c r="K38" s="25">
        <f>[52]СводПЗ!$C$38</f>
        <v>15026.88236</v>
      </c>
      <c r="L38" s="25">
        <f>$K$38*L90</f>
        <v>1097.8266550118349</v>
      </c>
      <c r="M38" s="25">
        <f t="shared" ref="M38:O38" si="46">$K$38*M90</f>
        <v>1782.450371254854</v>
      </c>
      <c r="N38" s="25">
        <f t="shared" si="46"/>
        <v>11567.580722988183</v>
      </c>
      <c r="O38" s="25">
        <f t="shared" si="46"/>
        <v>579.02461074512826</v>
      </c>
      <c r="X38" s="15"/>
      <c r="Y38" s="15"/>
      <c r="AT38" s="92" t="e">
        <f>#REF!</f>
        <v>#REF!</v>
      </c>
      <c r="AU38" s="92" t="e">
        <f t="shared" si="42"/>
        <v>#REF!</v>
      </c>
      <c r="AV38" s="97" t="e">
        <f t="shared" si="43"/>
        <v>#REF!</v>
      </c>
      <c r="AX38" s="25" t="e">
        <f>SUM(AY38:BD38)</f>
        <v>#REF!</v>
      </c>
      <c r="AY38" s="25" t="e">
        <f>#REF!</f>
        <v>#REF!</v>
      </c>
      <c r="AZ38" s="25" t="e">
        <f>#REF!</f>
        <v>#REF!</v>
      </c>
      <c r="BA38" s="25" t="e">
        <f>#REF!</f>
        <v>#REF!</v>
      </c>
      <c r="BB38" s="25" t="e">
        <f>#REF!</f>
        <v>#REF!</v>
      </c>
      <c r="BC38" s="25" t="e">
        <f>#REF!</f>
        <v>#REF!</v>
      </c>
      <c r="BD38" s="25" t="e">
        <f>#REF!</f>
        <v>#REF!</v>
      </c>
    </row>
    <row r="39" spans="1:56" s="4" customFormat="1" ht="27" customHeight="1">
      <c r="A39" s="13" t="s">
        <v>33</v>
      </c>
      <c r="B39" s="12" t="s">
        <v>34</v>
      </c>
      <c r="C39" s="209" t="s">
        <v>9</v>
      </c>
      <c r="D39" s="25">
        <f t="shared" si="40"/>
        <v>390838.78575275984</v>
      </c>
      <c r="E39" s="25">
        <f>SUM(E40:E44)</f>
        <v>170983.24303371712</v>
      </c>
      <c r="F39" s="25">
        <f t="shared" ref="F39:H39" si="47">SUM(F40:F44)</f>
        <v>130506.12212375256</v>
      </c>
      <c r="G39" s="25">
        <f t="shared" ref="G39" si="48">SUM(G40:G44)</f>
        <v>81359.742869789654</v>
      </c>
      <c r="H39" s="25">
        <f t="shared" si="47"/>
        <v>7989.6777255004772</v>
      </c>
      <c r="K39" s="25">
        <f t="shared" ref="K39:K72" si="49">SUM(L39:O39)</f>
        <v>327658.90089290589</v>
      </c>
      <c r="L39" s="25">
        <f>SUM(L40:L44)</f>
        <v>143451.66851664681</v>
      </c>
      <c r="M39" s="25">
        <f t="shared" ref="M39:O39" si="50">SUM(M40:M44)</f>
        <v>101806.1526480422</v>
      </c>
      <c r="N39" s="25">
        <f t="shared" ref="N39" si="51">SUM(N40:N44)</f>
        <v>81171.094973790634</v>
      </c>
      <c r="O39" s="25">
        <f t="shared" si="50"/>
        <v>1229.9847544262102</v>
      </c>
      <c r="X39" s="15"/>
      <c r="Y39" s="15"/>
      <c r="AT39" s="92" t="e">
        <f>SUM(AT40:AT44)</f>
        <v>#REF!</v>
      </c>
      <c r="AU39" s="92" t="e">
        <f t="shared" si="42"/>
        <v>#REF!</v>
      </c>
      <c r="AV39" s="97" t="e">
        <f t="shared" si="43"/>
        <v>#REF!</v>
      </c>
      <c r="AX39" s="25" t="e">
        <f t="shared" si="44"/>
        <v>#REF!</v>
      </c>
      <c r="AY39" s="25" t="e">
        <f>SUM(AY40:AY44)</f>
        <v>#REF!</v>
      </c>
      <c r="AZ39" s="25" t="e">
        <f t="shared" ref="AZ39:BD39" si="52">SUM(AZ40:AZ44)</f>
        <v>#REF!</v>
      </c>
      <c r="BA39" s="25" t="e">
        <f t="shared" si="52"/>
        <v>#REF!</v>
      </c>
      <c r="BB39" s="25" t="e">
        <f t="shared" si="52"/>
        <v>#REF!</v>
      </c>
      <c r="BC39" s="25" t="e">
        <f t="shared" si="52"/>
        <v>#REF!</v>
      </c>
      <c r="BD39" s="25" t="e">
        <f t="shared" si="52"/>
        <v>#REF!</v>
      </c>
    </row>
    <row r="40" spans="1:56" s="4" customFormat="1" ht="19.5" customHeight="1">
      <c r="A40" s="13"/>
      <c r="B40" s="18" t="s">
        <v>148</v>
      </c>
      <c r="C40" s="209" t="s">
        <v>9</v>
      </c>
      <c r="D40" s="28">
        <f t="shared" si="40"/>
        <v>7049.5699300135602</v>
      </c>
      <c r="E40" s="49">
        <v>3114.8721794794146</v>
      </c>
      <c r="F40" s="49">
        <v>2371.0096200189391</v>
      </c>
      <c r="G40" s="49">
        <v>1418.2379570035564</v>
      </c>
      <c r="H40" s="50">
        <v>145.45017351165043</v>
      </c>
      <c r="I40" s="214"/>
      <c r="J40" s="214"/>
      <c r="K40" s="28">
        <f>[52]СводПЗ!$C$40</f>
        <v>7049.5699299999997</v>
      </c>
      <c r="L40" s="49">
        <f>$K$40*L92</f>
        <v>3123.4157002076759</v>
      </c>
      <c r="M40" s="49">
        <f t="shared" ref="M40:O40" si="53">$K$40*M92</f>
        <v>2208.3313074915905</v>
      </c>
      <c r="N40" s="49">
        <f t="shared" si="53"/>
        <v>1691.366880526886</v>
      </c>
      <c r="O40" s="49">
        <f t="shared" si="53"/>
        <v>26.456041773847414</v>
      </c>
      <c r="X40" s="15"/>
      <c r="Y40" s="15"/>
      <c r="AT40" s="93" t="e">
        <f>#REF!</f>
        <v>#REF!</v>
      </c>
      <c r="AU40" s="93" t="e">
        <f t="shared" si="42"/>
        <v>#REF!</v>
      </c>
      <c r="AV40" s="97" t="e">
        <f t="shared" si="43"/>
        <v>#REF!</v>
      </c>
      <c r="AX40" s="28" t="e">
        <f t="shared" si="44"/>
        <v>#REF!</v>
      </c>
      <c r="AY40" s="49" t="e">
        <f>#REF!</f>
        <v>#REF!</v>
      </c>
      <c r="AZ40" s="49" t="e">
        <f>#REF!</f>
        <v>#REF!</v>
      </c>
      <c r="BA40" s="49" t="e">
        <f>#REF!</f>
        <v>#REF!</v>
      </c>
      <c r="BB40" s="49" t="e">
        <f>#REF!</f>
        <v>#REF!</v>
      </c>
      <c r="BC40" s="49" t="e">
        <f>#REF!</f>
        <v>#REF!</v>
      </c>
      <c r="BD40" s="49" t="e">
        <f>#REF!</f>
        <v>#REF!</v>
      </c>
    </row>
    <row r="41" spans="1:56" s="4" customFormat="1" ht="19.5" customHeight="1">
      <c r="A41" s="13"/>
      <c r="B41" s="18" t="s">
        <v>97</v>
      </c>
      <c r="C41" s="209" t="s">
        <v>9</v>
      </c>
      <c r="D41" s="28">
        <f t="shared" si="40"/>
        <v>378846.2362985785</v>
      </c>
      <c r="E41" s="49">
        <v>167394.268510314</v>
      </c>
      <c r="F41" s="49">
        <v>127418.84677923474</v>
      </c>
      <c r="G41" s="49">
        <v>76216.580234072419</v>
      </c>
      <c r="H41" s="50">
        <v>7816.5407749573169</v>
      </c>
      <c r="I41" s="214"/>
      <c r="J41" s="214"/>
      <c r="K41" s="177">
        <f>[52]СводПЗ!$C$41</f>
        <v>315666.35143873811</v>
      </c>
      <c r="L41" s="178">
        <f>$K$41*L92</f>
        <v>139860.62240693718</v>
      </c>
      <c r="M41" s="178">
        <f>$K$41*M92</f>
        <v>98884.881421952014</v>
      </c>
      <c r="N41" s="178">
        <f>$K$41*N92</f>
        <v>75736.196310097774</v>
      </c>
      <c r="O41" s="178">
        <f>$K$41*O92</f>
        <v>1184.6512997511686</v>
      </c>
      <c r="X41" s="15"/>
      <c r="Y41" s="15"/>
      <c r="AT41" s="93" t="e">
        <f>#REF!</f>
        <v>#REF!</v>
      </c>
      <c r="AU41" s="93" t="e">
        <f t="shared" si="42"/>
        <v>#REF!</v>
      </c>
      <c r="AV41" s="97" t="e">
        <f t="shared" si="43"/>
        <v>#REF!</v>
      </c>
      <c r="AX41" s="28" t="e">
        <f t="shared" si="44"/>
        <v>#REF!</v>
      </c>
      <c r="AY41" s="49" t="e">
        <f>#REF!</f>
        <v>#REF!</v>
      </c>
      <c r="AZ41" s="49" t="e">
        <f>#REF!</f>
        <v>#REF!</v>
      </c>
      <c r="BA41" s="49" t="e">
        <f>#REF!</f>
        <v>#REF!</v>
      </c>
      <c r="BB41" s="49" t="e">
        <f>#REF!</f>
        <v>#REF!</v>
      </c>
      <c r="BC41" s="49" t="e">
        <f>#REF!</f>
        <v>#REF!</v>
      </c>
      <c r="BD41" s="49" t="e">
        <f>#REF!</f>
        <v>#REF!</v>
      </c>
    </row>
    <row r="42" spans="1:56" s="4" customFormat="1" ht="19.5" customHeight="1" outlineLevel="1">
      <c r="A42" s="13"/>
      <c r="B42" s="18" t="s">
        <v>35</v>
      </c>
      <c r="C42" s="209" t="s">
        <v>9</v>
      </c>
      <c r="D42" s="28">
        <f t="shared" si="40"/>
        <v>128.84780000000001</v>
      </c>
      <c r="E42" s="49">
        <v>16.364254279270934</v>
      </c>
      <c r="F42" s="49">
        <v>23.503136651235732</v>
      </c>
      <c r="G42" s="49">
        <v>75.278962890270748</v>
      </c>
      <c r="H42" s="50">
        <v>13.701446179222581</v>
      </c>
      <c r="I42" s="214"/>
      <c r="J42" s="214"/>
      <c r="K42" s="28">
        <f t="shared" si="49"/>
        <v>128.84780000000001</v>
      </c>
      <c r="L42" s="49">
        <f>[52]СводПЗ!$E$42</f>
        <v>14.227238952021755</v>
      </c>
      <c r="M42" s="49">
        <f>[52]СводПЗ!$F$42</f>
        <v>22.404964494161934</v>
      </c>
      <c r="N42" s="28">
        <f>[52]СводПЗ!$L$42</f>
        <v>81.42297870058502</v>
      </c>
      <c r="O42" s="50">
        <f>[52]СводПЗ!$J$42</f>
        <v>10.792617853231292</v>
      </c>
      <c r="X42" s="15"/>
      <c r="Y42" s="15"/>
      <c r="AT42" s="93" t="e">
        <f>#REF!</f>
        <v>#REF!</v>
      </c>
      <c r="AU42" s="93" t="e">
        <f t="shared" si="42"/>
        <v>#REF!</v>
      </c>
      <c r="AV42" s="97" t="e">
        <f t="shared" si="43"/>
        <v>#REF!</v>
      </c>
      <c r="AX42" s="28" t="e">
        <f t="shared" si="44"/>
        <v>#REF!</v>
      </c>
      <c r="AY42" s="49" t="e">
        <f>#REF!</f>
        <v>#REF!</v>
      </c>
      <c r="AZ42" s="49" t="e">
        <f>#REF!</f>
        <v>#REF!</v>
      </c>
      <c r="BA42" s="49" t="e">
        <f>#REF!</f>
        <v>#REF!</v>
      </c>
      <c r="BB42" s="49" t="e">
        <f>#REF!</f>
        <v>#REF!</v>
      </c>
      <c r="BC42" s="49" t="e">
        <f>#REF!</f>
        <v>#REF!</v>
      </c>
      <c r="BD42" s="49" t="e">
        <f>#REF!</f>
        <v>#REF!</v>
      </c>
    </row>
    <row r="43" spans="1:56" s="4" customFormat="1" ht="19.5" customHeight="1" outlineLevel="1">
      <c r="A43" s="207"/>
      <c r="B43" s="56" t="s">
        <v>36</v>
      </c>
      <c r="C43" s="210"/>
      <c r="D43" s="28">
        <f t="shared" si="40"/>
        <v>4655.3017241677644</v>
      </c>
      <c r="E43" s="49">
        <v>442.85286298169564</v>
      </c>
      <c r="F43" s="49">
        <v>672.23627692475134</v>
      </c>
      <c r="G43" s="49">
        <v>3536.8140459516494</v>
      </c>
      <c r="H43" s="50">
        <v>3.3985383096677753</v>
      </c>
      <c r="I43" s="214"/>
      <c r="J43" s="214"/>
      <c r="K43" s="28">
        <f t="shared" si="49"/>
        <v>4655.3017241677635</v>
      </c>
      <c r="L43" s="49">
        <f>[52]СводПЗ!$E$43</f>
        <v>441.79944574277499</v>
      </c>
      <c r="M43" s="49">
        <f>[52]СводПЗ!$F$43</f>
        <v>671.69494553287348</v>
      </c>
      <c r="N43" s="28">
        <f>[52]СводПЗ!$L$43</f>
        <v>3539.8426682026261</v>
      </c>
      <c r="O43" s="50">
        <f>[52]СводПЗ!$J$43</f>
        <v>1.9646646894892064</v>
      </c>
      <c r="X43" s="15"/>
      <c r="Y43" s="15"/>
      <c r="AT43" s="93" t="e">
        <f>#REF!</f>
        <v>#REF!</v>
      </c>
      <c r="AU43" s="93" t="e">
        <f t="shared" si="42"/>
        <v>#REF!</v>
      </c>
      <c r="AV43" s="97" t="e">
        <f t="shared" si="43"/>
        <v>#REF!</v>
      </c>
      <c r="AX43" s="28" t="e">
        <f t="shared" si="44"/>
        <v>#REF!</v>
      </c>
      <c r="AY43" s="49" t="e">
        <f>#REF!</f>
        <v>#REF!</v>
      </c>
      <c r="AZ43" s="49" t="e">
        <f>#REF!</f>
        <v>#REF!</v>
      </c>
      <c r="BA43" s="49" t="e">
        <f>#REF!</f>
        <v>#REF!</v>
      </c>
      <c r="BB43" s="49" t="e">
        <f>#REF!</f>
        <v>#REF!</v>
      </c>
      <c r="BC43" s="49" t="e">
        <f>#REF!</f>
        <v>#REF!</v>
      </c>
      <c r="BD43" s="49" t="e">
        <f>#REF!</f>
        <v>#REF!</v>
      </c>
    </row>
    <row r="44" spans="1:56" s="4" customFormat="1" ht="37.5" customHeight="1" outlineLevel="1">
      <c r="A44" s="207"/>
      <c r="B44" s="56" t="s">
        <v>37</v>
      </c>
      <c r="C44" s="210"/>
      <c r="D44" s="28">
        <f t="shared" si="40"/>
        <v>158.83000000000001</v>
      </c>
      <c r="E44" s="49">
        <v>14.885226662727124</v>
      </c>
      <c r="F44" s="49">
        <v>20.526310922885013</v>
      </c>
      <c r="G44" s="49">
        <v>112.83166987176764</v>
      </c>
      <c r="H44" s="50">
        <v>10.58679254262022</v>
      </c>
      <c r="I44" s="214"/>
      <c r="J44" s="214"/>
      <c r="K44" s="28">
        <f>[52]СводПЗ!$C$44</f>
        <v>158.83000000000001</v>
      </c>
      <c r="L44" s="49">
        <f>$K$44*L90</f>
        <v>11.603724807194787</v>
      </c>
      <c r="M44" s="49">
        <f t="shared" ref="M44:O44" si="54">$K$44*M90</f>
        <v>18.840008571572294</v>
      </c>
      <c r="N44" s="49">
        <f t="shared" si="54"/>
        <v>122.26613626275925</v>
      </c>
      <c r="O44" s="49">
        <f t="shared" si="54"/>
        <v>6.1201303584736877</v>
      </c>
      <c r="X44" s="15"/>
      <c r="Y44" s="15"/>
      <c r="AT44" s="93" t="e">
        <f>#REF!</f>
        <v>#REF!</v>
      </c>
      <c r="AU44" s="93" t="e">
        <f t="shared" si="42"/>
        <v>#REF!</v>
      </c>
      <c r="AV44" s="97" t="e">
        <f t="shared" si="43"/>
        <v>#REF!</v>
      </c>
      <c r="AX44" s="28" t="e">
        <f t="shared" si="44"/>
        <v>#REF!</v>
      </c>
      <c r="AY44" s="49" t="e">
        <f>#REF!</f>
        <v>#REF!</v>
      </c>
      <c r="AZ44" s="49" t="e">
        <f>#REF!</f>
        <v>#REF!</v>
      </c>
      <c r="BA44" s="49" t="e">
        <f>#REF!</f>
        <v>#REF!</v>
      </c>
      <c r="BB44" s="49" t="e">
        <f>#REF!</f>
        <v>#REF!</v>
      </c>
      <c r="BC44" s="49" t="e">
        <f>#REF!</f>
        <v>#REF!</v>
      </c>
      <c r="BD44" s="49" t="e">
        <f>#REF!</f>
        <v>#REF!</v>
      </c>
    </row>
    <row r="45" spans="1:56" s="4" customFormat="1" ht="25.5" customHeight="1">
      <c r="A45" s="13" t="s">
        <v>38</v>
      </c>
      <c r="B45" s="12" t="s">
        <v>39</v>
      </c>
      <c r="C45" s="209" t="s">
        <v>9</v>
      </c>
      <c r="D45" s="25">
        <f t="shared" si="40"/>
        <v>422232.40846603562</v>
      </c>
      <c r="E45" s="33">
        <f>SUM(E46:E67)</f>
        <v>18500.474236874688</v>
      </c>
      <c r="F45" s="33">
        <f t="shared" ref="F45:H45" si="55">SUM(F46:F67)</f>
        <v>25901.191315607528</v>
      </c>
      <c r="G45" s="33">
        <f t="shared" ref="G45" si="56">SUM(G46:G67)</f>
        <v>364501.63942003867</v>
      </c>
      <c r="H45" s="33">
        <f t="shared" si="55"/>
        <v>13329.103493514727</v>
      </c>
      <c r="K45" s="25">
        <f t="shared" si="49"/>
        <v>436895.13103917858</v>
      </c>
      <c r="L45" s="33">
        <f>SUM(L46:L67)</f>
        <v>14350.099081205322</v>
      </c>
      <c r="M45" s="33">
        <f t="shared" ref="M45:O45" si="57">SUM(M46:M67)</f>
        <v>23010.368854798577</v>
      </c>
      <c r="N45" s="33">
        <f t="shared" ref="N45" si="58">SUM(N46:N67)</f>
        <v>391285.40462256223</v>
      </c>
      <c r="O45" s="33">
        <f t="shared" si="57"/>
        <v>8249.2584806124269</v>
      </c>
      <c r="X45" s="15"/>
      <c r="Y45" s="15"/>
      <c r="AT45" s="92" t="e">
        <f>SUM(AT46:AT67)</f>
        <v>#REF!</v>
      </c>
      <c r="AU45" s="92" t="e">
        <f t="shared" si="42"/>
        <v>#REF!</v>
      </c>
      <c r="AV45" s="97" t="e">
        <f t="shared" si="43"/>
        <v>#REF!</v>
      </c>
      <c r="AX45" s="25" t="e">
        <f t="shared" si="44"/>
        <v>#REF!</v>
      </c>
      <c r="AY45" s="33" t="e">
        <f>SUM(AY46:AY67)</f>
        <v>#REF!</v>
      </c>
      <c r="AZ45" s="33" t="e">
        <f t="shared" ref="AZ45:BD45" si="59">SUM(AZ46:AZ67)</f>
        <v>#REF!</v>
      </c>
      <c r="BA45" s="33" t="e">
        <f t="shared" si="59"/>
        <v>#REF!</v>
      </c>
      <c r="BB45" s="33" t="e">
        <f t="shared" si="59"/>
        <v>#REF!</v>
      </c>
      <c r="BC45" s="33" t="e">
        <f t="shared" si="59"/>
        <v>#REF!</v>
      </c>
      <c r="BD45" s="33" t="e">
        <f t="shared" si="59"/>
        <v>#REF!</v>
      </c>
    </row>
    <row r="46" spans="1:56" s="4" customFormat="1" ht="22.5" customHeight="1" outlineLevel="1">
      <c r="A46" s="9"/>
      <c r="B46" s="18" t="s">
        <v>149</v>
      </c>
      <c r="C46" s="209" t="s">
        <v>9</v>
      </c>
      <c r="D46" s="28">
        <f t="shared" si="40"/>
        <v>5683.5645714285702</v>
      </c>
      <c r="E46" s="29">
        <v>532.65218723137843</v>
      </c>
      <c r="F46" s="29">
        <v>734.51245698820458</v>
      </c>
      <c r="G46" s="49">
        <v>4037.562686005811</v>
      </c>
      <c r="H46" s="29">
        <v>378.83724120317623</v>
      </c>
      <c r="I46" s="214"/>
      <c r="J46" s="214"/>
      <c r="K46" s="28">
        <f>[52]СводПЗ!$C$46</f>
        <v>5683.5645714285711</v>
      </c>
      <c r="L46" s="29">
        <f>$K$46*L90</f>
        <v>415.22709318629421</v>
      </c>
      <c r="M46" s="29">
        <f t="shared" ref="M46:O46" si="60">$K$46*M90</f>
        <v>674.16990016243074</v>
      </c>
      <c r="N46" s="29">
        <f t="shared" si="60"/>
        <v>4375.165147317739</v>
      </c>
      <c r="O46" s="29">
        <f t="shared" si="60"/>
        <v>219.00243076210722</v>
      </c>
      <c r="X46" s="15"/>
      <c r="Y46" s="15"/>
      <c r="AT46" s="93" t="e">
        <f>#REF!</f>
        <v>#REF!</v>
      </c>
      <c r="AU46" s="93" t="e">
        <f t="shared" si="42"/>
        <v>#REF!</v>
      </c>
      <c r="AV46" s="97" t="e">
        <f t="shared" si="43"/>
        <v>#REF!</v>
      </c>
      <c r="AX46" s="28" t="e">
        <f t="shared" si="44"/>
        <v>#REF!</v>
      </c>
      <c r="AY46" s="29" t="e">
        <f>#REF!</f>
        <v>#REF!</v>
      </c>
      <c r="AZ46" s="29" t="e">
        <f>#REF!</f>
        <v>#REF!</v>
      </c>
      <c r="BA46" s="29" t="e">
        <f>#REF!</f>
        <v>#REF!</v>
      </c>
      <c r="BB46" s="29" t="e">
        <f>#REF!</f>
        <v>#REF!</v>
      </c>
      <c r="BC46" s="29" t="e">
        <f>#REF!</f>
        <v>#REF!</v>
      </c>
      <c r="BD46" s="29" t="e">
        <f>#REF!</f>
        <v>#REF!</v>
      </c>
    </row>
    <row r="47" spans="1:56" s="4" customFormat="1" ht="81" hidden="1" outlineLevel="1">
      <c r="A47" s="9"/>
      <c r="B47" s="18" t="s">
        <v>84</v>
      </c>
      <c r="C47" s="209" t="s">
        <v>9</v>
      </c>
      <c r="D47" s="28">
        <f t="shared" si="40"/>
        <v>0</v>
      </c>
      <c r="E47" s="29">
        <v>0</v>
      </c>
      <c r="F47" s="29">
        <v>0</v>
      </c>
      <c r="G47" s="49">
        <v>0</v>
      </c>
      <c r="H47" s="29">
        <v>0</v>
      </c>
      <c r="I47" s="214"/>
      <c r="J47" s="214"/>
      <c r="K47" s="28">
        <f t="shared" si="49"/>
        <v>0</v>
      </c>
      <c r="L47" s="29">
        <v>0</v>
      </c>
      <c r="M47" s="29">
        <v>0</v>
      </c>
      <c r="N47" s="29"/>
      <c r="O47" s="29">
        <v>0</v>
      </c>
      <c r="X47" s="15"/>
      <c r="Y47" s="15"/>
      <c r="AT47" s="93" t="e">
        <f>#REF!</f>
        <v>#REF!</v>
      </c>
      <c r="AU47" s="93" t="e">
        <f t="shared" si="42"/>
        <v>#REF!</v>
      </c>
      <c r="AV47" s="97" t="e">
        <f t="shared" si="43"/>
        <v>#REF!</v>
      </c>
      <c r="AX47" s="28" t="e">
        <f t="shared" si="44"/>
        <v>#REF!</v>
      </c>
      <c r="AY47" s="29" t="e">
        <f>#REF!</f>
        <v>#REF!</v>
      </c>
      <c r="AZ47" s="29" t="e">
        <f>#REF!</f>
        <v>#REF!</v>
      </c>
      <c r="BA47" s="29" t="e">
        <f>#REF!</f>
        <v>#REF!</v>
      </c>
      <c r="BB47" s="29" t="e">
        <f>#REF!</f>
        <v>#REF!</v>
      </c>
      <c r="BC47" s="29" t="e">
        <f>#REF!</f>
        <v>#REF!</v>
      </c>
      <c r="BD47" s="29" t="e">
        <f>#REF!</f>
        <v>#REF!</v>
      </c>
    </row>
    <row r="48" spans="1:56" s="4" customFormat="1" ht="52.5" customHeight="1" outlineLevel="1">
      <c r="A48" s="9"/>
      <c r="B48" s="18" t="s">
        <v>85</v>
      </c>
      <c r="C48" s="209" t="s">
        <v>9</v>
      </c>
      <c r="D48" s="28">
        <f t="shared" si="40"/>
        <v>11224.196428571428</v>
      </c>
      <c r="E48" s="29">
        <v>2688.4027686458444</v>
      </c>
      <c r="F48" s="29">
        <v>4056.7659885831386</v>
      </c>
      <c r="G48" s="49">
        <v>2193.3386703986653</v>
      </c>
      <c r="H48" s="29">
        <v>2285.6890009437789</v>
      </c>
      <c r="I48" s="214"/>
      <c r="J48" s="214"/>
      <c r="K48" s="28">
        <f t="shared" si="49"/>
        <v>11224.196428571428</v>
      </c>
      <c r="L48" s="29">
        <f>[52]СводПЗ!$E$48</f>
        <v>2644.130340953177</v>
      </c>
      <c r="M48" s="29">
        <f>[52]СводПЗ!$F$48</f>
        <v>4034.0152170756946</v>
      </c>
      <c r="N48" s="28">
        <f>[52]СводПЗ!$L$48</f>
        <v>2320.6239042649495</v>
      </c>
      <c r="O48" s="29">
        <f>[52]СводПЗ!$J$48</f>
        <v>2225.426966277606</v>
      </c>
      <c r="X48" s="15"/>
      <c r="Y48" s="15"/>
      <c r="AT48" s="93" t="e">
        <f>#REF!</f>
        <v>#REF!</v>
      </c>
      <c r="AU48" s="93" t="e">
        <f t="shared" si="42"/>
        <v>#REF!</v>
      </c>
      <c r="AV48" s="97" t="e">
        <f t="shared" si="43"/>
        <v>#REF!</v>
      </c>
      <c r="AX48" s="28" t="e">
        <f t="shared" si="44"/>
        <v>#REF!</v>
      </c>
      <c r="AY48" s="29" t="e">
        <f>#REF!</f>
        <v>#REF!</v>
      </c>
      <c r="AZ48" s="29" t="e">
        <f>#REF!</f>
        <v>#REF!</v>
      </c>
      <c r="BA48" s="29" t="e">
        <f>#REF!</f>
        <v>#REF!</v>
      </c>
      <c r="BB48" s="29" t="e">
        <f>#REF!</f>
        <v>#REF!</v>
      </c>
      <c r="BC48" s="29" t="e">
        <f>#REF!</f>
        <v>#REF!</v>
      </c>
      <c r="BD48" s="29" t="e">
        <f>#REF!</f>
        <v>#REF!</v>
      </c>
    </row>
    <row r="49" spans="1:56" s="4" customFormat="1" ht="36" customHeight="1" outlineLevel="1">
      <c r="A49" s="9"/>
      <c r="B49" s="18" t="s">
        <v>86</v>
      </c>
      <c r="C49" s="209" t="s">
        <v>9</v>
      </c>
      <c r="D49" s="28">
        <f t="shared" si="40"/>
        <v>39095.405430428575</v>
      </c>
      <c r="E49" s="29"/>
      <c r="F49" s="29"/>
      <c r="G49" s="49">
        <v>39095.405430428575</v>
      </c>
      <c r="H49" s="29"/>
      <c r="I49" s="214"/>
      <c r="J49" s="214"/>
      <c r="K49" s="28">
        <f t="shared" si="49"/>
        <v>39095.405430428575</v>
      </c>
      <c r="L49" s="29"/>
      <c r="M49" s="29"/>
      <c r="N49" s="28">
        <f>[52]СводПЗ!$L$49</f>
        <v>39095.405430428575</v>
      </c>
      <c r="O49" s="29"/>
      <c r="X49" s="15"/>
      <c r="Y49" s="15"/>
      <c r="AT49" s="93" t="e">
        <f>#REF!</f>
        <v>#REF!</v>
      </c>
      <c r="AU49" s="93" t="e">
        <f t="shared" si="42"/>
        <v>#REF!</v>
      </c>
      <c r="AV49" s="97" t="e">
        <f t="shared" si="43"/>
        <v>#REF!</v>
      </c>
      <c r="AX49" s="28" t="e">
        <f t="shared" si="44"/>
        <v>#REF!</v>
      </c>
      <c r="AY49" s="29" t="e">
        <f>#REF!</f>
        <v>#REF!</v>
      </c>
      <c r="AZ49" s="29" t="e">
        <f>#REF!</f>
        <v>#REF!</v>
      </c>
      <c r="BA49" s="29" t="e">
        <f>#REF!</f>
        <v>#REF!</v>
      </c>
      <c r="BB49" s="29" t="e">
        <f>#REF!</f>
        <v>#REF!</v>
      </c>
      <c r="BC49" s="29" t="e">
        <f>#REF!</f>
        <v>#REF!</v>
      </c>
      <c r="BD49" s="29" t="e">
        <f>#REF!</f>
        <v>#REF!</v>
      </c>
    </row>
    <row r="50" spans="1:56" s="4" customFormat="1" ht="53.25" customHeight="1" outlineLevel="1">
      <c r="A50" s="9"/>
      <c r="B50" s="18" t="s">
        <v>87</v>
      </c>
      <c r="C50" s="209" t="s">
        <v>9</v>
      </c>
      <c r="D50" s="28">
        <f t="shared" si="40"/>
        <v>1442.808</v>
      </c>
      <c r="E50" s="29"/>
      <c r="F50" s="29"/>
      <c r="G50" s="49">
        <v>1442.808</v>
      </c>
      <c r="H50" s="29"/>
      <c r="I50" s="214"/>
      <c r="J50" s="214"/>
      <c r="K50" s="28">
        <f t="shared" si="49"/>
        <v>1442.808</v>
      </c>
      <c r="L50" s="29"/>
      <c r="M50" s="29"/>
      <c r="N50" s="28">
        <f>[52]СводПЗ!$L$50</f>
        <v>1442.808</v>
      </c>
      <c r="O50" s="29"/>
      <c r="X50" s="15"/>
      <c r="Y50" s="15"/>
      <c r="AT50" s="93" t="e">
        <f>#REF!</f>
        <v>#REF!</v>
      </c>
      <c r="AU50" s="93" t="e">
        <f t="shared" si="42"/>
        <v>#REF!</v>
      </c>
      <c r="AV50" s="97" t="e">
        <f t="shared" si="43"/>
        <v>#REF!</v>
      </c>
      <c r="AX50" s="28" t="e">
        <f t="shared" si="44"/>
        <v>#REF!</v>
      </c>
      <c r="AY50" s="29" t="e">
        <f>#REF!</f>
        <v>#REF!</v>
      </c>
      <c r="AZ50" s="29" t="e">
        <f>#REF!</f>
        <v>#REF!</v>
      </c>
      <c r="BA50" s="29" t="e">
        <f>#REF!</f>
        <v>#REF!</v>
      </c>
      <c r="BB50" s="29" t="e">
        <f>#REF!</f>
        <v>#REF!</v>
      </c>
      <c r="BC50" s="29" t="e">
        <f>#REF!</f>
        <v>#REF!</v>
      </c>
      <c r="BD50" s="29" t="e">
        <f>#REF!</f>
        <v>#REF!</v>
      </c>
    </row>
    <row r="51" spans="1:56" s="4" customFormat="1" ht="34.5" customHeight="1" outlineLevel="1">
      <c r="A51" s="9"/>
      <c r="B51" s="18" t="s">
        <v>124</v>
      </c>
      <c r="C51" s="209" t="s">
        <v>9</v>
      </c>
      <c r="D51" s="28">
        <f t="shared" si="40"/>
        <v>2223.2142857142853</v>
      </c>
      <c r="E51" s="29"/>
      <c r="F51" s="29"/>
      <c r="G51" s="49">
        <v>2223.2142857142853</v>
      </c>
      <c r="H51" s="29"/>
      <c r="I51" s="214"/>
      <c r="J51" s="214"/>
      <c r="K51" s="28">
        <f t="shared" si="49"/>
        <v>2223.2142857142853</v>
      </c>
      <c r="L51" s="29"/>
      <c r="M51" s="29"/>
      <c r="N51" s="28">
        <f>[52]СводПЗ!$L$51</f>
        <v>2223.2142857142853</v>
      </c>
      <c r="O51" s="29"/>
      <c r="X51" s="15"/>
      <c r="Y51" s="15"/>
      <c r="AT51" s="93" t="e">
        <f>#REF!</f>
        <v>#REF!</v>
      </c>
      <c r="AU51" s="93" t="e">
        <f t="shared" si="42"/>
        <v>#REF!</v>
      </c>
      <c r="AV51" s="97" t="e">
        <f t="shared" si="43"/>
        <v>#REF!</v>
      </c>
      <c r="AX51" s="28" t="e">
        <f t="shared" si="44"/>
        <v>#REF!</v>
      </c>
      <c r="AY51" s="29" t="e">
        <f>#REF!</f>
        <v>#REF!</v>
      </c>
      <c r="AZ51" s="29" t="e">
        <f>#REF!</f>
        <v>#REF!</v>
      </c>
      <c r="BA51" s="29" t="e">
        <f>#REF!</f>
        <v>#REF!</v>
      </c>
      <c r="BB51" s="29" t="e">
        <f>#REF!</f>
        <v>#REF!</v>
      </c>
      <c r="BC51" s="29" t="e">
        <f>#REF!</f>
        <v>#REF!</v>
      </c>
      <c r="BD51" s="29" t="e">
        <f>#REF!</f>
        <v>#REF!</v>
      </c>
    </row>
    <row r="52" spans="1:56" s="4" customFormat="1" ht="35.25" customHeight="1" outlineLevel="1">
      <c r="A52" s="9"/>
      <c r="B52" s="18" t="s">
        <v>150</v>
      </c>
      <c r="C52" s="209" t="s">
        <v>9</v>
      </c>
      <c r="D52" s="28">
        <f t="shared" si="40"/>
        <v>4560</v>
      </c>
      <c r="E52" s="29"/>
      <c r="F52" s="29"/>
      <c r="G52" s="49">
        <v>4560</v>
      </c>
      <c r="H52" s="29"/>
      <c r="I52" s="214"/>
      <c r="J52" s="214"/>
      <c r="K52" s="28">
        <f t="shared" si="49"/>
        <v>4560</v>
      </c>
      <c r="L52" s="29"/>
      <c r="M52" s="29"/>
      <c r="N52" s="28">
        <f>[52]СводПЗ!$L$52</f>
        <v>4560</v>
      </c>
      <c r="O52" s="29"/>
      <c r="X52" s="15"/>
      <c r="Y52" s="15"/>
      <c r="AT52" s="93" t="e">
        <f>#REF!</f>
        <v>#REF!</v>
      </c>
      <c r="AU52" s="93" t="e">
        <f t="shared" si="42"/>
        <v>#REF!</v>
      </c>
      <c r="AV52" s="97" t="e">
        <f t="shared" si="43"/>
        <v>#REF!</v>
      </c>
      <c r="AX52" s="28" t="e">
        <f t="shared" si="44"/>
        <v>#REF!</v>
      </c>
      <c r="AY52" s="29" t="e">
        <f>#REF!</f>
        <v>#REF!</v>
      </c>
      <c r="AZ52" s="29" t="e">
        <f>#REF!</f>
        <v>#REF!</v>
      </c>
      <c r="BA52" s="29" t="e">
        <f>#REF!</f>
        <v>#REF!</v>
      </c>
      <c r="BB52" s="29" t="e">
        <f>#REF!</f>
        <v>#REF!</v>
      </c>
      <c r="BC52" s="29" t="e">
        <f>#REF!</f>
        <v>#REF!</v>
      </c>
      <c r="BD52" s="29" t="e">
        <f>#REF!</f>
        <v>#REF!</v>
      </c>
    </row>
    <row r="53" spans="1:56" s="4" customFormat="1" ht="20.25" customHeight="1" outlineLevel="1">
      <c r="A53" s="9"/>
      <c r="B53" s="18" t="s">
        <v>123</v>
      </c>
      <c r="C53" s="209" t="s">
        <v>9</v>
      </c>
      <c r="D53" s="28">
        <f t="shared" si="40"/>
        <v>22552.37260714285</v>
      </c>
      <c r="E53" s="29">
        <v>2113.5627906541563</v>
      </c>
      <c r="F53" s="29">
        <v>2914.5439286216024</v>
      </c>
      <c r="G53" s="49">
        <v>16021.040488788252</v>
      </c>
      <c r="H53" s="29">
        <v>1503.225399078842</v>
      </c>
      <c r="I53" s="214"/>
      <c r="J53" s="214"/>
      <c r="K53" s="28">
        <f>[52]СводПЗ!$C$53</f>
        <v>22552.372607142854</v>
      </c>
      <c r="L53" s="29">
        <f>$K$53*L90</f>
        <v>1647.6202573984995</v>
      </c>
      <c r="M53" s="29">
        <f t="shared" ref="M53:O53" si="61">$K$53*M90</f>
        <v>2675.104786424879</v>
      </c>
      <c r="N53" s="29">
        <f t="shared" si="61"/>
        <v>17360.646365506811</v>
      </c>
      <c r="O53" s="29">
        <f t="shared" si="61"/>
        <v>869.00119781266358</v>
      </c>
      <c r="X53" s="15"/>
      <c r="Y53" s="15"/>
      <c r="AT53" s="93" t="e">
        <f>#REF!</f>
        <v>#REF!</v>
      </c>
      <c r="AU53" s="93" t="e">
        <f t="shared" si="42"/>
        <v>#REF!</v>
      </c>
      <c r="AV53" s="97" t="e">
        <f t="shared" si="43"/>
        <v>#REF!</v>
      </c>
      <c r="AX53" s="28" t="e">
        <f t="shared" si="44"/>
        <v>#REF!</v>
      </c>
      <c r="AY53" s="29" t="e">
        <f>#REF!</f>
        <v>#REF!</v>
      </c>
      <c r="AZ53" s="29" t="e">
        <f>#REF!</f>
        <v>#REF!</v>
      </c>
      <c r="BA53" s="29" t="e">
        <f>#REF!</f>
        <v>#REF!</v>
      </c>
      <c r="BB53" s="29" t="e">
        <f>#REF!</f>
        <v>#REF!</v>
      </c>
      <c r="BC53" s="29" t="e">
        <f>#REF!</f>
        <v>#REF!</v>
      </c>
      <c r="BD53" s="29" t="e">
        <f>#REF!</f>
        <v>#REF!</v>
      </c>
    </row>
    <row r="54" spans="1:56" s="4" customFormat="1" ht="20.25" customHeight="1" outlineLevel="1">
      <c r="A54" s="9"/>
      <c r="B54" s="18" t="s">
        <v>125</v>
      </c>
      <c r="C54" s="209" t="s">
        <v>9</v>
      </c>
      <c r="D54" s="28">
        <f t="shared" si="40"/>
        <v>719.99999999999989</v>
      </c>
      <c r="E54" s="29">
        <v>67.476945143634893</v>
      </c>
      <c r="F54" s="29">
        <v>93.048818639282317</v>
      </c>
      <c r="G54" s="49">
        <v>511.4827318999728</v>
      </c>
      <c r="H54" s="29">
        <v>47.99150431710985</v>
      </c>
      <c r="I54" s="214"/>
      <c r="J54" s="214"/>
      <c r="K54" s="28">
        <f>[52]СводПЗ!$C$54</f>
        <v>720</v>
      </c>
      <c r="L54" s="29">
        <f>$K$54*L90</f>
        <v>52.601409438898479</v>
      </c>
      <c r="M54" s="29">
        <f t="shared" ref="M54:O54" si="62">$K$54*M90</f>
        <v>85.404559412781268</v>
      </c>
      <c r="N54" s="29">
        <f t="shared" si="62"/>
        <v>554.25057047904454</v>
      </c>
      <c r="O54" s="29">
        <f t="shared" si="62"/>
        <v>27.74346066927567</v>
      </c>
      <c r="X54" s="15"/>
      <c r="Y54" s="15"/>
      <c r="AT54" s="93" t="e">
        <f>#REF!</f>
        <v>#REF!</v>
      </c>
      <c r="AU54" s="93" t="e">
        <f t="shared" si="42"/>
        <v>#REF!</v>
      </c>
      <c r="AV54" s="97" t="e">
        <f t="shared" si="43"/>
        <v>#REF!</v>
      </c>
      <c r="AX54" s="28" t="e">
        <f t="shared" si="44"/>
        <v>#REF!</v>
      </c>
      <c r="AY54" s="29" t="e">
        <f>#REF!</f>
        <v>#REF!</v>
      </c>
      <c r="AZ54" s="29" t="e">
        <f>#REF!</f>
        <v>#REF!</v>
      </c>
      <c r="BA54" s="29" t="e">
        <f>#REF!</f>
        <v>#REF!</v>
      </c>
      <c r="BB54" s="29" t="e">
        <f>#REF!</f>
        <v>#REF!</v>
      </c>
      <c r="BC54" s="29" t="e">
        <f>#REF!</f>
        <v>#REF!</v>
      </c>
      <c r="BD54" s="29" t="e">
        <f>#REF!</f>
        <v>#REF!</v>
      </c>
    </row>
    <row r="55" spans="1:56" s="4" customFormat="1" ht="20.25" customHeight="1" outlineLevel="1">
      <c r="A55" s="9"/>
      <c r="B55" s="18" t="s">
        <v>151</v>
      </c>
      <c r="C55" s="209" t="s">
        <v>9</v>
      </c>
      <c r="D55" s="28">
        <f t="shared" si="40"/>
        <v>1347.9985937499998</v>
      </c>
      <c r="E55" s="29">
        <v>143.68574828732955</v>
      </c>
      <c r="F55" s="29">
        <v>207.96529359386497</v>
      </c>
      <c r="G55" s="49">
        <v>943.89386455175054</v>
      </c>
      <c r="H55" s="29">
        <v>52.453687317054701</v>
      </c>
      <c r="I55" s="214"/>
      <c r="J55" s="214"/>
      <c r="K55" s="28">
        <f t="shared" si="49"/>
        <v>1347.9985937499996</v>
      </c>
      <c r="L55" s="29">
        <f>[52]СводПЗ!$E$55</f>
        <v>127.42710606236093</v>
      </c>
      <c r="M55" s="29">
        <f>[52]СводПЗ!$F$55</f>
        <v>199.61028182786703</v>
      </c>
      <c r="N55" s="28">
        <f>[52]СводПЗ!$L$55</f>
        <v>990.63819699087969</v>
      </c>
      <c r="O55" s="29">
        <f>[52]СводПЗ!$J$55</f>
        <v>30.323008868892011</v>
      </c>
      <c r="X55" s="15"/>
      <c r="Y55" s="15"/>
      <c r="AT55" s="93" t="e">
        <f>#REF!</f>
        <v>#REF!</v>
      </c>
      <c r="AU55" s="93" t="e">
        <f t="shared" si="42"/>
        <v>#REF!</v>
      </c>
      <c r="AV55" s="97" t="e">
        <f t="shared" si="43"/>
        <v>#REF!</v>
      </c>
      <c r="AX55" s="28" t="e">
        <f t="shared" si="44"/>
        <v>#REF!</v>
      </c>
      <c r="AY55" s="29" t="e">
        <f>#REF!</f>
        <v>#REF!</v>
      </c>
      <c r="AZ55" s="29" t="e">
        <f>#REF!</f>
        <v>#REF!</v>
      </c>
      <c r="BA55" s="29" t="e">
        <f>#REF!</f>
        <v>#REF!</v>
      </c>
      <c r="BB55" s="29" t="e">
        <f>#REF!</f>
        <v>#REF!</v>
      </c>
      <c r="BC55" s="29" t="e">
        <f>#REF!</f>
        <v>#REF!</v>
      </c>
      <c r="BD55" s="29" t="e">
        <f>#REF!</f>
        <v>#REF!</v>
      </c>
    </row>
    <row r="56" spans="1:56" s="4" customFormat="1" ht="20.25" customHeight="1" outlineLevel="1">
      <c r="A56" s="9"/>
      <c r="B56" s="18" t="s">
        <v>88</v>
      </c>
      <c r="C56" s="209" t="s">
        <v>9</v>
      </c>
      <c r="D56" s="28">
        <f t="shared" si="40"/>
        <v>56063.999999999993</v>
      </c>
      <c r="E56" s="29">
        <v>5254.2047951843697</v>
      </c>
      <c r="F56" s="29">
        <v>7245.401344712116</v>
      </c>
      <c r="G56" s="49">
        <v>39827.455390611227</v>
      </c>
      <c r="H56" s="29">
        <v>3736.9384694922874</v>
      </c>
      <c r="I56" s="214"/>
      <c r="J56" s="214"/>
      <c r="K56" s="28">
        <f>[52]СводПЗ!$C$56</f>
        <v>56064</v>
      </c>
      <c r="L56" s="29">
        <f>$K$56*L90</f>
        <v>4095.8964149755616</v>
      </c>
      <c r="M56" s="29">
        <f t="shared" ref="M56:O56" si="63">$K$56*M90</f>
        <v>6650.1683596085686</v>
      </c>
      <c r="N56" s="29">
        <f t="shared" si="63"/>
        <v>43157.6444213016</v>
      </c>
      <c r="O56" s="29">
        <f t="shared" si="63"/>
        <v>2160.2908041142655</v>
      </c>
      <c r="X56" s="15"/>
      <c r="Y56" s="15"/>
      <c r="AT56" s="93" t="e">
        <f>#REF!</f>
        <v>#REF!</v>
      </c>
      <c r="AU56" s="93" t="e">
        <f t="shared" si="42"/>
        <v>#REF!</v>
      </c>
      <c r="AV56" s="97" t="e">
        <f t="shared" si="43"/>
        <v>#REF!</v>
      </c>
      <c r="AX56" s="28" t="e">
        <f t="shared" si="44"/>
        <v>#REF!</v>
      </c>
      <c r="AY56" s="29" t="e">
        <f>#REF!</f>
        <v>#REF!</v>
      </c>
      <c r="AZ56" s="29" t="e">
        <f>#REF!</f>
        <v>#REF!</v>
      </c>
      <c r="BA56" s="29" t="e">
        <f>#REF!</f>
        <v>#REF!</v>
      </c>
      <c r="BB56" s="29" t="e">
        <f>#REF!</f>
        <v>#REF!</v>
      </c>
      <c r="BC56" s="29" t="e">
        <f>#REF!</f>
        <v>#REF!</v>
      </c>
      <c r="BD56" s="29" t="e">
        <f>#REF!</f>
        <v>#REF!</v>
      </c>
    </row>
    <row r="57" spans="1:56" s="4" customFormat="1" ht="20.25" customHeight="1" outlineLevel="1">
      <c r="A57" s="9"/>
      <c r="B57" s="18" t="s">
        <v>40</v>
      </c>
      <c r="C57" s="209" t="s">
        <v>9</v>
      </c>
      <c r="D57" s="28">
        <f t="shared" si="40"/>
        <v>599.3850000000001</v>
      </c>
      <c r="E57" s="29">
        <v>214.89098405029395</v>
      </c>
      <c r="F57" s="29">
        <v>326.52334376273365</v>
      </c>
      <c r="G57" s="49">
        <v>57.970672186972457</v>
      </c>
      <c r="H57" s="29"/>
      <c r="I57" s="214"/>
      <c r="J57" s="214"/>
      <c r="K57" s="28">
        <f>[52]СводПЗ!$C$57</f>
        <v>599.3850000000001</v>
      </c>
      <c r="L57" s="29">
        <f>$K$57*L93</f>
        <v>214.89098405029398</v>
      </c>
      <c r="M57" s="29">
        <f t="shared" ref="M57:O57" si="64">$K$57*M93</f>
        <v>326.52334376273365</v>
      </c>
      <c r="N57" s="29">
        <f t="shared" si="64"/>
        <v>57.970672186972472</v>
      </c>
      <c r="O57" s="29">
        <f t="shared" si="64"/>
        <v>0</v>
      </c>
      <c r="X57" s="15"/>
      <c r="Y57" s="15"/>
      <c r="AT57" s="93" t="e">
        <f>#REF!</f>
        <v>#REF!</v>
      </c>
      <c r="AU57" s="93" t="e">
        <f t="shared" si="42"/>
        <v>#REF!</v>
      </c>
      <c r="AV57" s="97" t="e">
        <f t="shared" si="43"/>
        <v>#REF!</v>
      </c>
      <c r="AX57" s="28" t="e">
        <f t="shared" si="44"/>
        <v>#REF!</v>
      </c>
      <c r="AY57" s="29" t="e">
        <f>#REF!</f>
        <v>#REF!</v>
      </c>
      <c r="AZ57" s="29" t="e">
        <f>#REF!</f>
        <v>#REF!</v>
      </c>
      <c r="BA57" s="29" t="e">
        <f>#REF!</f>
        <v>#REF!</v>
      </c>
      <c r="BB57" s="29" t="e">
        <f>#REF!</f>
        <v>#REF!</v>
      </c>
      <c r="BC57" s="29" t="e">
        <f>#REF!</f>
        <v>#REF!</v>
      </c>
      <c r="BD57" s="29" t="e">
        <f>#REF!</f>
        <v>#REF!</v>
      </c>
    </row>
    <row r="58" spans="1:56" s="4" customFormat="1" ht="20.25" customHeight="1" outlineLevel="1">
      <c r="A58" s="63"/>
      <c r="B58" s="18" t="s">
        <v>166</v>
      </c>
      <c r="C58" s="209" t="s">
        <v>9</v>
      </c>
      <c r="D58" s="28">
        <f t="shared" si="40"/>
        <v>1974.2999999999993</v>
      </c>
      <c r="E58" s="58">
        <v>185.0274066626088</v>
      </c>
      <c r="F58" s="58">
        <v>255.14761477713196</v>
      </c>
      <c r="G58" s="49">
        <v>1402.5282744307169</v>
      </c>
      <c r="H58" s="58">
        <v>131.59670412954162</v>
      </c>
      <c r="I58" s="214"/>
      <c r="J58" s="214"/>
      <c r="K58" s="28">
        <f>[52]СводПЗ!$C$58</f>
        <v>1974.2999999999995</v>
      </c>
      <c r="L58" s="58">
        <f>$K$58*L90</f>
        <v>144.23744813224619</v>
      </c>
      <c r="M58" s="58">
        <f t="shared" ref="M58:O58" si="65">$K$58*M90</f>
        <v>234.18641895646394</v>
      </c>
      <c r="N58" s="58">
        <f t="shared" si="65"/>
        <v>1519.8012518010796</v>
      </c>
      <c r="O58" s="58">
        <f t="shared" si="65"/>
        <v>76.074881110209645</v>
      </c>
      <c r="X58" s="15"/>
      <c r="Y58" s="15"/>
      <c r="AT58" s="93" t="e">
        <f>#REF!</f>
        <v>#REF!</v>
      </c>
      <c r="AU58" s="93" t="e">
        <f t="shared" si="42"/>
        <v>#REF!</v>
      </c>
      <c r="AV58" s="97" t="e">
        <f t="shared" si="43"/>
        <v>#REF!</v>
      </c>
      <c r="AX58" s="28" t="e">
        <f t="shared" ref="AX58" si="66">SUM(AY58:BD58)</f>
        <v>#REF!</v>
      </c>
      <c r="AY58" s="29" t="e">
        <f>#REF!</f>
        <v>#REF!</v>
      </c>
      <c r="AZ58" s="29" t="e">
        <f>#REF!</f>
        <v>#REF!</v>
      </c>
      <c r="BA58" s="29" t="e">
        <f>#REF!</f>
        <v>#REF!</v>
      </c>
      <c r="BB58" s="29" t="e">
        <f>#REF!</f>
        <v>#REF!</v>
      </c>
      <c r="BC58" s="29" t="e">
        <f>#REF!</f>
        <v>#REF!</v>
      </c>
      <c r="BD58" s="29" t="e">
        <f>#REF!</f>
        <v>#REF!</v>
      </c>
    </row>
    <row r="59" spans="1:56" s="4" customFormat="1" ht="20.25" customHeight="1" outlineLevel="1">
      <c r="A59" s="9"/>
      <c r="B59" s="18" t="s">
        <v>115</v>
      </c>
      <c r="C59" s="209" t="s">
        <v>9</v>
      </c>
      <c r="D59" s="28">
        <f t="shared" si="40"/>
        <v>9240</v>
      </c>
      <c r="E59" s="29">
        <v>865.95412934331443</v>
      </c>
      <c r="F59" s="29">
        <v>1194.1265058707895</v>
      </c>
      <c r="G59" s="49">
        <v>6564.0283927163182</v>
      </c>
      <c r="H59" s="29">
        <v>615.89097206957649</v>
      </c>
      <c r="I59" s="214"/>
      <c r="J59" s="214"/>
      <c r="K59" s="28">
        <f>[52]СводПЗ!$C$59</f>
        <v>9240</v>
      </c>
      <c r="L59" s="29">
        <f>$K$59*L90</f>
        <v>675.05142113253055</v>
      </c>
      <c r="M59" s="29">
        <f t="shared" ref="M59:O59" si="67">$K$59*M90</f>
        <v>1096.025179130693</v>
      </c>
      <c r="N59" s="29">
        <f t="shared" si="67"/>
        <v>7112.8823211477384</v>
      </c>
      <c r="O59" s="29">
        <f t="shared" si="67"/>
        <v>356.0410785890378</v>
      </c>
      <c r="X59" s="15"/>
      <c r="Y59" s="15"/>
      <c r="AT59" s="93" t="e">
        <f>#REF!</f>
        <v>#REF!</v>
      </c>
      <c r="AU59" s="93" t="e">
        <f t="shared" si="42"/>
        <v>#REF!</v>
      </c>
      <c r="AV59" s="97" t="e">
        <f t="shared" si="43"/>
        <v>#REF!</v>
      </c>
      <c r="AX59" s="28" t="e">
        <f t="shared" si="44"/>
        <v>#REF!</v>
      </c>
      <c r="AY59" s="29" t="e">
        <f>#REF!</f>
        <v>#REF!</v>
      </c>
      <c r="AZ59" s="29" t="e">
        <f>#REF!</f>
        <v>#REF!</v>
      </c>
      <c r="BA59" s="29" t="e">
        <f>#REF!</f>
        <v>#REF!</v>
      </c>
      <c r="BB59" s="29" t="e">
        <f>#REF!</f>
        <v>#REF!</v>
      </c>
      <c r="BC59" s="29" t="e">
        <f>#REF!</f>
        <v>#REF!</v>
      </c>
      <c r="BD59" s="29" t="e">
        <f>#REF!</f>
        <v>#REF!</v>
      </c>
    </row>
    <row r="60" spans="1:56" s="4" customFormat="1" ht="20.25" customHeight="1" outlineLevel="1">
      <c r="A60" s="9"/>
      <c r="B60" s="18" t="s">
        <v>116</v>
      </c>
      <c r="C60" s="209" t="s">
        <v>9</v>
      </c>
      <c r="D60" s="28">
        <f t="shared" si="40"/>
        <v>10183.257142857141</v>
      </c>
      <c r="E60" s="29">
        <v>954.35428279458267</v>
      </c>
      <c r="F60" s="29">
        <v>1316.0278431151253</v>
      </c>
      <c r="G60" s="49">
        <v>7234.1113653728935</v>
      </c>
      <c r="H60" s="29">
        <v>678.76365157453927</v>
      </c>
      <c r="I60" s="214"/>
      <c r="J60" s="214"/>
      <c r="K60" s="28">
        <f>[52]СводПЗ!$C$60</f>
        <v>10183.257142857141</v>
      </c>
      <c r="L60" s="29">
        <f>$K$60*L90</f>
        <v>743.96344221252218</v>
      </c>
      <c r="M60" s="29">
        <f t="shared" ref="M60:O60" si="68">$K$60*M90</f>
        <v>1207.9119301010721</v>
      </c>
      <c r="N60" s="29">
        <f t="shared" si="68"/>
        <v>7838.9945566157994</v>
      </c>
      <c r="O60" s="29">
        <f t="shared" si="68"/>
        <v>392.3872139277467</v>
      </c>
      <c r="X60" s="15"/>
      <c r="Y60" s="15"/>
      <c r="AT60" s="93" t="e">
        <f>#REF!</f>
        <v>#REF!</v>
      </c>
      <c r="AU60" s="93" t="e">
        <f t="shared" si="42"/>
        <v>#REF!</v>
      </c>
      <c r="AV60" s="97" t="e">
        <f t="shared" si="43"/>
        <v>#REF!</v>
      </c>
      <c r="AX60" s="28" t="e">
        <f t="shared" si="44"/>
        <v>#REF!</v>
      </c>
      <c r="AY60" s="29" t="e">
        <f>#REF!</f>
        <v>#REF!</v>
      </c>
      <c r="AZ60" s="29" t="e">
        <f>#REF!</f>
        <v>#REF!</v>
      </c>
      <c r="BA60" s="29" t="e">
        <f>#REF!</f>
        <v>#REF!</v>
      </c>
      <c r="BB60" s="29" t="e">
        <f>#REF!</f>
        <v>#REF!</v>
      </c>
      <c r="BC60" s="29" t="e">
        <f>#REF!</f>
        <v>#REF!</v>
      </c>
      <c r="BD60" s="29" t="e">
        <f>#REF!</f>
        <v>#REF!</v>
      </c>
    </row>
    <row r="61" spans="1:56" s="4" customFormat="1" ht="39" customHeight="1" outlineLevel="1">
      <c r="A61" s="9"/>
      <c r="B61" s="18" t="s">
        <v>152</v>
      </c>
      <c r="C61" s="209" t="s">
        <v>9</v>
      </c>
      <c r="D61" s="28">
        <f t="shared" si="40"/>
        <v>375.28928571428571</v>
      </c>
      <c r="E61" s="29">
        <v>35.171353534912186</v>
      </c>
      <c r="F61" s="29">
        <v>48.500312060686625</v>
      </c>
      <c r="G61" s="49">
        <v>266.60276265268379</v>
      </c>
      <c r="H61" s="29">
        <v>25.014857466003075</v>
      </c>
      <c r="I61" s="214"/>
      <c r="J61" s="214"/>
      <c r="K61" s="28">
        <f>[52]СводПЗ!$C$61</f>
        <v>375.28928571428565</v>
      </c>
      <c r="L61" s="29">
        <f>$K$61*L90</f>
        <v>27.417701910956797</v>
      </c>
      <c r="M61" s="29">
        <f t="shared" ref="M61:O61" si="69">$K$61*M90</f>
        <v>44.515855692730497</v>
      </c>
      <c r="N61" s="29">
        <f t="shared" si="69"/>
        <v>288.89486208585549</v>
      </c>
      <c r="O61" s="29">
        <f t="shared" si="69"/>
        <v>14.460866024742838</v>
      </c>
      <c r="X61" s="15"/>
      <c r="Y61" s="15"/>
      <c r="AT61" s="93" t="e">
        <f>#REF!</f>
        <v>#REF!</v>
      </c>
      <c r="AU61" s="93" t="e">
        <f t="shared" si="42"/>
        <v>#REF!</v>
      </c>
      <c r="AV61" s="97" t="e">
        <f t="shared" si="43"/>
        <v>#REF!</v>
      </c>
      <c r="AX61" s="28" t="e">
        <f t="shared" si="44"/>
        <v>#REF!</v>
      </c>
      <c r="AY61" s="29" t="e">
        <f>#REF!</f>
        <v>#REF!</v>
      </c>
      <c r="AZ61" s="29" t="e">
        <f>#REF!</f>
        <v>#REF!</v>
      </c>
      <c r="BA61" s="29" t="e">
        <f>#REF!</f>
        <v>#REF!</v>
      </c>
      <c r="BB61" s="29" t="e">
        <f>#REF!</f>
        <v>#REF!</v>
      </c>
      <c r="BC61" s="29" t="e">
        <f>#REF!</f>
        <v>#REF!</v>
      </c>
      <c r="BD61" s="29" t="e">
        <f>#REF!</f>
        <v>#REF!</v>
      </c>
    </row>
    <row r="62" spans="1:56" s="4" customFormat="1" ht="36" customHeight="1" outlineLevel="1">
      <c r="A62" s="63"/>
      <c r="B62" s="56" t="s">
        <v>126</v>
      </c>
      <c r="C62" s="210"/>
      <c r="D62" s="28">
        <f t="shared" si="40"/>
        <v>41712.393749999996</v>
      </c>
      <c r="E62" s="58">
        <v>3909.2012567756233</v>
      </c>
      <c r="F62" s="58">
        <v>5390.6791125751151</v>
      </c>
      <c r="G62" s="49">
        <v>29632.179318524104</v>
      </c>
      <c r="H62" s="58">
        <v>2780.3340621251541</v>
      </c>
      <c r="I62" s="214"/>
      <c r="J62" s="214"/>
      <c r="K62" s="28">
        <f>[52]СводПЗ!$C$62</f>
        <v>41712.393749999996</v>
      </c>
      <c r="L62" s="58">
        <f>$K$62*L90</f>
        <v>3047.4037532226384</v>
      </c>
      <c r="M62" s="58">
        <f t="shared" ref="M62:O62" si="70">$K$62*M90</f>
        <v>4947.8175142655573</v>
      </c>
      <c r="N62" s="58">
        <f t="shared" si="70"/>
        <v>32109.886155533375</v>
      </c>
      <c r="O62" s="58">
        <f t="shared" si="70"/>
        <v>1607.2863269784239</v>
      </c>
      <c r="X62" s="15"/>
      <c r="Y62" s="15"/>
      <c r="AT62" s="93" t="e">
        <f>#REF!</f>
        <v>#REF!</v>
      </c>
      <c r="AU62" s="93" t="e">
        <f t="shared" si="42"/>
        <v>#REF!</v>
      </c>
      <c r="AV62" s="97" t="e">
        <f t="shared" si="43"/>
        <v>#REF!</v>
      </c>
      <c r="AX62" s="28" t="e">
        <f t="shared" si="44"/>
        <v>#REF!</v>
      </c>
      <c r="AY62" s="29" t="e">
        <f>#REF!</f>
        <v>#REF!</v>
      </c>
      <c r="AZ62" s="29" t="e">
        <f>#REF!</f>
        <v>#REF!</v>
      </c>
      <c r="BA62" s="29" t="e">
        <f>#REF!</f>
        <v>#REF!</v>
      </c>
      <c r="BB62" s="29" t="e">
        <f>#REF!</f>
        <v>#REF!</v>
      </c>
      <c r="BC62" s="29" t="e">
        <f>#REF!</f>
        <v>#REF!</v>
      </c>
      <c r="BD62" s="29" t="e">
        <f>#REF!</f>
        <v>#REF!</v>
      </c>
    </row>
    <row r="63" spans="1:56" s="4" customFormat="1" ht="40.5" customHeight="1" outlineLevel="1">
      <c r="A63" s="63"/>
      <c r="B63" s="56" t="s">
        <v>153</v>
      </c>
      <c r="C63" s="210"/>
      <c r="D63" s="28">
        <f t="shared" si="40"/>
        <v>13507.419798999999</v>
      </c>
      <c r="E63" s="58">
        <v>1265.8880900127374</v>
      </c>
      <c r="F63" s="58">
        <v>1745.6242432802806</v>
      </c>
      <c r="G63" s="49">
        <v>9595.5721940448657</v>
      </c>
      <c r="H63" s="58">
        <v>900.33527166211616</v>
      </c>
      <c r="I63" s="214"/>
      <c r="J63" s="214"/>
      <c r="K63" s="28">
        <f>[52]СводПЗ!$C$63</f>
        <v>4157.7245149999999</v>
      </c>
      <c r="L63" s="58">
        <f>$K$63*L90</f>
        <v>303.7530132606397</v>
      </c>
      <c r="M63" s="58">
        <f t="shared" ref="M63:O63" si="71">$K$63*M90</f>
        <v>493.17865328235376</v>
      </c>
      <c r="N63" s="58">
        <f t="shared" si="71"/>
        <v>3200.584978240915</v>
      </c>
      <c r="O63" s="58">
        <f t="shared" si="71"/>
        <v>160.20787021609135</v>
      </c>
      <c r="X63" s="15"/>
      <c r="Y63" s="15"/>
      <c r="AT63" s="93" t="e">
        <f>#REF!</f>
        <v>#REF!</v>
      </c>
      <c r="AU63" s="93" t="e">
        <f t="shared" si="42"/>
        <v>#REF!</v>
      </c>
      <c r="AV63" s="97" t="e">
        <f t="shared" si="43"/>
        <v>#REF!</v>
      </c>
      <c r="AX63" s="28" t="e">
        <f t="shared" si="44"/>
        <v>#REF!</v>
      </c>
      <c r="AY63" s="29" t="e">
        <f>#REF!</f>
        <v>#REF!</v>
      </c>
      <c r="AZ63" s="29" t="e">
        <f>#REF!</f>
        <v>#REF!</v>
      </c>
      <c r="BA63" s="29" t="e">
        <f>#REF!</f>
        <v>#REF!</v>
      </c>
      <c r="BB63" s="29" t="e">
        <f>#REF!</f>
        <v>#REF!</v>
      </c>
      <c r="BC63" s="29" t="e">
        <f>#REF!</f>
        <v>#REF!</v>
      </c>
      <c r="BD63" s="29" t="e">
        <f>#REF!</f>
        <v>#REF!</v>
      </c>
    </row>
    <row r="64" spans="1:56" s="4" customFormat="1" hidden="1" outlineLevel="1">
      <c r="A64" s="63"/>
      <c r="B64" s="56" t="s">
        <v>118</v>
      </c>
      <c r="C64" s="210"/>
      <c r="D64" s="28">
        <f t="shared" si="40"/>
        <v>0</v>
      </c>
      <c r="E64" s="58">
        <v>0</v>
      </c>
      <c r="F64" s="58">
        <v>0</v>
      </c>
      <c r="G64" s="49">
        <v>0</v>
      </c>
      <c r="H64" s="58">
        <v>0</v>
      </c>
      <c r="I64" s="214"/>
      <c r="J64" s="214"/>
      <c r="K64" s="28">
        <f t="shared" si="49"/>
        <v>0</v>
      </c>
      <c r="L64" s="58">
        <v>0</v>
      </c>
      <c r="M64" s="58">
        <v>0</v>
      </c>
      <c r="N64" s="58">
        <v>0</v>
      </c>
      <c r="O64" s="58">
        <v>0</v>
      </c>
      <c r="X64" s="15"/>
      <c r="Y64" s="15"/>
      <c r="AT64" s="93" t="e">
        <f>#REF!</f>
        <v>#REF!</v>
      </c>
      <c r="AU64" s="93" t="e">
        <f t="shared" si="42"/>
        <v>#REF!</v>
      </c>
      <c r="AV64" s="97" t="e">
        <f t="shared" si="43"/>
        <v>#REF!</v>
      </c>
      <c r="AX64" s="28" t="e">
        <f t="shared" si="44"/>
        <v>#REF!</v>
      </c>
      <c r="AY64" s="29" t="e">
        <f>#REF!</f>
        <v>#REF!</v>
      </c>
      <c r="AZ64" s="29" t="e">
        <f>#REF!</f>
        <v>#REF!</v>
      </c>
      <c r="BA64" s="29" t="e">
        <f>#REF!</f>
        <v>#REF!</v>
      </c>
      <c r="BB64" s="29" t="e">
        <f>#REF!</f>
        <v>#REF!</v>
      </c>
      <c r="BC64" s="29" t="e">
        <f>#REF!</f>
        <v>#REF!</v>
      </c>
      <c r="BD64" s="29" t="e">
        <f>#REF!</f>
        <v>#REF!</v>
      </c>
    </row>
    <row r="65" spans="1:56" s="4" customFormat="1" ht="27.75" customHeight="1" outlineLevel="1">
      <c r="A65" s="63"/>
      <c r="B65" s="56" t="s">
        <v>93</v>
      </c>
      <c r="C65" s="210"/>
      <c r="D65" s="28">
        <f t="shared" si="40"/>
        <v>2880.9999999999995</v>
      </c>
      <c r="E65" s="58">
        <v>270.00149855390572</v>
      </c>
      <c r="F65" s="58">
        <v>372.3245090274616</v>
      </c>
      <c r="G65" s="49">
        <v>2046.6413202830859</v>
      </c>
      <c r="H65" s="58">
        <v>192.03267213554651</v>
      </c>
      <c r="I65" s="214"/>
      <c r="J65" s="214"/>
      <c r="K65" s="28">
        <f>[52]СводПЗ!$C$65</f>
        <v>2880.9999999999995</v>
      </c>
      <c r="L65" s="58">
        <f>$K$65*L90</f>
        <v>210.47869526870346</v>
      </c>
      <c r="M65" s="58">
        <f t="shared" ref="M65:O65" si="72">$K$65*M90</f>
        <v>341.73685509475393</v>
      </c>
      <c r="N65" s="58">
        <f t="shared" si="72"/>
        <v>2217.7720743751765</v>
      </c>
      <c r="O65" s="58">
        <f t="shared" si="72"/>
        <v>111.01237526136555</v>
      </c>
      <c r="X65" s="15"/>
      <c r="Y65" s="15"/>
      <c r="AT65" s="93" t="e">
        <f>#REF!</f>
        <v>#REF!</v>
      </c>
      <c r="AU65" s="93" t="e">
        <f t="shared" si="42"/>
        <v>#REF!</v>
      </c>
      <c r="AV65" s="97" t="e">
        <f t="shared" si="43"/>
        <v>#REF!</v>
      </c>
      <c r="AX65" s="28" t="e">
        <f t="shared" si="44"/>
        <v>#REF!</v>
      </c>
      <c r="AY65" s="29" t="e">
        <f>#REF!</f>
        <v>#REF!</v>
      </c>
      <c r="AZ65" s="29" t="e">
        <f>#REF!</f>
        <v>#REF!</v>
      </c>
      <c r="BA65" s="29" t="e">
        <f>#REF!</f>
        <v>#REF!</v>
      </c>
      <c r="BB65" s="29" t="e">
        <f>#REF!</f>
        <v>#REF!</v>
      </c>
      <c r="BC65" s="29" t="e">
        <f>#REF!</f>
        <v>#REF!</v>
      </c>
      <c r="BD65" s="29" t="e">
        <f>#REF!</f>
        <v>#REF!</v>
      </c>
    </row>
    <row r="66" spans="1:56" s="4" customFormat="1" outlineLevel="1">
      <c r="A66" s="63"/>
      <c r="B66" s="56" t="s">
        <v>154</v>
      </c>
      <c r="C66" s="210"/>
      <c r="D66" s="28">
        <f t="shared" si="40"/>
        <v>1284</v>
      </c>
      <c r="E66" s="58"/>
      <c r="F66" s="58"/>
      <c r="G66" s="49">
        <v>1284</v>
      </c>
      <c r="H66" s="58"/>
      <c r="I66" s="214"/>
      <c r="J66" s="214"/>
      <c r="K66" s="28">
        <f t="shared" si="49"/>
        <v>1284</v>
      </c>
      <c r="L66" s="58"/>
      <c r="M66" s="58"/>
      <c r="N66" s="28">
        <f>[52]СводПЗ!$L$66</f>
        <v>1284</v>
      </c>
      <c r="O66" s="58"/>
      <c r="X66" s="15"/>
      <c r="Y66" s="15"/>
      <c r="AT66" s="93" t="e">
        <f>#REF!</f>
        <v>#REF!</v>
      </c>
      <c r="AU66" s="93" t="e">
        <f t="shared" si="42"/>
        <v>#REF!</v>
      </c>
      <c r="AV66" s="97" t="e">
        <f t="shared" si="43"/>
        <v>#REF!</v>
      </c>
      <c r="AX66" s="28" t="e">
        <f t="shared" si="44"/>
        <v>#REF!</v>
      </c>
      <c r="AY66" s="29" t="e">
        <f>#REF!</f>
        <v>#REF!</v>
      </c>
      <c r="AZ66" s="29" t="e">
        <f>#REF!</f>
        <v>#REF!</v>
      </c>
      <c r="BA66" s="29" t="e">
        <f>#REF!</f>
        <v>#REF!</v>
      </c>
      <c r="BB66" s="29" t="e">
        <f>#REF!</f>
        <v>#REF!</v>
      </c>
      <c r="BC66" s="29" t="e">
        <f>#REF!</f>
        <v>#REF!</v>
      </c>
      <c r="BD66" s="29" t="e">
        <f>#REF!</f>
        <v>#REF!</v>
      </c>
    </row>
    <row r="67" spans="1:56" s="4" customFormat="1" outlineLevel="1">
      <c r="A67" s="63"/>
      <c r="B67" s="56" t="s">
        <v>127</v>
      </c>
      <c r="C67" s="210"/>
      <c r="D67" s="28">
        <f t="shared" si="40"/>
        <v>195561.80357142852</v>
      </c>
      <c r="E67" s="58"/>
      <c r="F67" s="58"/>
      <c r="G67" s="49">
        <v>195561.80357142852</v>
      </c>
      <c r="H67" s="58"/>
      <c r="I67" s="214"/>
      <c r="J67" s="214"/>
      <c r="K67" s="28">
        <f t="shared" si="49"/>
        <v>219574.22142857141</v>
      </c>
      <c r="L67" s="58"/>
      <c r="M67" s="58"/>
      <c r="N67" s="28">
        <f>[52]СводПЗ!$L$67</f>
        <v>219574.22142857141</v>
      </c>
      <c r="O67" s="58"/>
      <c r="X67" s="15"/>
      <c r="Y67" s="15"/>
      <c r="AT67" s="93" t="e">
        <f>#REF!</f>
        <v>#REF!</v>
      </c>
      <c r="AU67" s="93" t="e">
        <f t="shared" si="42"/>
        <v>#REF!</v>
      </c>
      <c r="AV67" s="97" t="e">
        <f t="shared" si="43"/>
        <v>#REF!</v>
      </c>
      <c r="AX67" s="28" t="e">
        <f t="shared" si="44"/>
        <v>#REF!</v>
      </c>
      <c r="AY67" s="29" t="e">
        <f>#REF!</f>
        <v>#REF!</v>
      </c>
      <c r="AZ67" s="29" t="e">
        <f>#REF!</f>
        <v>#REF!</v>
      </c>
      <c r="BA67" s="29" t="e">
        <f>#REF!</f>
        <v>#REF!</v>
      </c>
      <c r="BB67" s="29" t="e">
        <f>#REF!</f>
        <v>#REF!</v>
      </c>
      <c r="BC67" s="29" t="e">
        <f>#REF!</f>
        <v>#REF!</v>
      </c>
      <c r="BD67" s="29" t="e">
        <f>#REF!</f>
        <v>#REF!</v>
      </c>
    </row>
    <row r="68" spans="1:56" s="4" customFormat="1" ht="44.25" customHeight="1">
      <c r="A68" s="79" t="s">
        <v>41</v>
      </c>
      <c r="B68" s="12" t="s">
        <v>108</v>
      </c>
      <c r="C68" s="209" t="s">
        <v>9</v>
      </c>
      <c r="D68" s="25">
        <f t="shared" si="40"/>
        <v>24630.262846479996</v>
      </c>
      <c r="E68" s="33">
        <f t="shared" ref="E68:H68" si="73">E69</f>
        <v>2308.298465229499</v>
      </c>
      <c r="F68" s="33">
        <f t="shared" si="73"/>
        <v>3183.0789731110704</v>
      </c>
      <c r="G68" s="33">
        <f t="shared" si="73"/>
        <v>17497.158511294434</v>
      </c>
      <c r="H68" s="33">
        <f t="shared" si="73"/>
        <v>1641.7268968449932</v>
      </c>
      <c r="K68" s="25">
        <f t="shared" si="49"/>
        <v>24630.262846479996</v>
      </c>
      <c r="L68" s="33">
        <f t="shared" ref="L68:O68" si="74">L69</f>
        <v>1799.4257507991438</v>
      </c>
      <c r="M68" s="33">
        <f t="shared" si="74"/>
        <v>2921.5788147564167</v>
      </c>
      <c r="N68" s="33">
        <f t="shared" si="74"/>
        <v>18960.190602375493</v>
      </c>
      <c r="O68" s="33">
        <f t="shared" si="74"/>
        <v>949.06767854894395</v>
      </c>
      <c r="X68" s="15"/>
      <c r="Y68" s="15"/>
      <c r="AT68" s="92" t="e">
        <f>AT69</f>
        <v>#REF!</v>
      </c>
      <c r="AU68" s="92" t="e">
        <f t="shared" ref="AU68:AU89" si="75">D68-AT68</f>
        <v>#REF!</v>
      </c>
      <c r="AV68" s="97" t="e">
        <f t="shared" ref="AV68:AV89" si="76">100%-(AT68/D68)</f>
        <v>#REF!</v>
      </c>
      <c r="AX68" s="25" t="e">
        <f t="shared" si="44"/>
        <v>#REF!</v>
      </c>
      <c r="AY68" s="33" t="e">
        <f t="shared" ref="AY68:BD68" si="77">AY69</f>
        <v>#REF!</v>
      </c>
      <c r="AZ68" s="33" t="e">
        <f t="shared" si="77"/>
        <v>#REF!</v>
      </c>
      <c r="BA68" s="33" t="e">
        <f t="shared" si="77"/>
        <v>#REF!</v>
      </c>
      <c r="BB68" s="33" t="e">
        <f>BB69</f>
        <v>#REF!</v>
      </c>
      <c r="BC68" s="33" t="e">
        <f t="shared" si="77"/>
        <v>#REF!</v>
      </c>
      <c r="BD68" s="33" t="e">
        <f t="shared" si="77"/>
        <v>#REF!</v>
      </c>
    </row>
    <row r="69" spans="1:56" s="4" customFormat="1" ht="25.5" customHeight="1" outlineLevel="1">
      <c r="A69" s="13"/>
      <c r="B69" s="18" t="s">
        <v>168</v>
      </c>
      <c r="C69" s="209" t="s">
        <v>9</v>
      </c>
      <c r="D69" s="28">
        <f t="shared" si="40"/>
        <v>24630.262846479996</v>
      </c>
      <c r="E69" s="29">
        <v>2308.298465229499</v>
      </c>
      <c r="F69" s="29">
        <v>3183.0789731110704</v>
      </c>
      <c r="G69" s="49">
        <v>17497.158511294434</v>
      </c>
      <c r="H69" s="29">
        <v>1641.7268968449932</v>
      </c>
      <c r="I69" s="214"/>
      <c r="J69" s="214"/>
      <c r="K69" s="28">
        <f>[52]СводПЗ!$C$69</f>
        <v>24630.262846479996</v>
      </c>
      <c r="L69" s="29">
        <f>$K$69*L90</f>
        <v>1799.4257507991438</v>
      </c>
      <c r="M69" s="29">
        <f t="shared" ref="M69:O69" si="78">$K$69*M90</f>
        <v>2921.5788147564167</v>
      </c>
      <c r="N69" s="29">
        <f t="shared" si="78"/>
        <v>18960.190602375493</v>
      </c>
      <c r="O69" s="29">
        <f t="shared" si="78"/>
        <v>949.06767854894395</v>
      </c>
      <c r="X69" s="15"/>
      <c r="Y69" s="15"/>
      <c r="AT69" s="93" t="e">
        <f>#REF!</f>
        <v>#REF!</v>
      </c>
      <c r="AU69" s="93" t="e">
        <f t="shared" si="75"/>
        <v>#REF!</v>
      </c>
      <c r="AV69" s="97" t="e">
        <f t="shared" si="76"/>
        <v>#REF!</v>
      </c>
      <c r="AX69" s="28" t="e">
        <f t="shared" si="44"/>
        <v>#REF!</v>
      </c>
      <c r="AY69" s="29" t="e">
        <f>#REF!</f>
        <v>#REF!</v>
      </c>
      <c r="AZ69" s="29" t="e">
        <f>#REF!</f>
        <v>#REF!</v>
      </c>
      <c r="BA69" s="29" t="e">
        <f>#REF!</f>
        <v>#REF!</v>
      </c>
      <c r="BB69" s="29" t="e">
        <f>#REF!</f>
        <v>#REF!</v>
      </c>
      <c r="BC69" s="29" t="e">
        <f>#REF!</f>
        <v>#REF!</v>
      </c>
      <c r="BD69" s="29" t="e">
        <f>#REF!</f>
        <v>#REF!</v>
      </c>
    </row>
    <row r="70" spans="1:56" s="4" customFormat="1" ht="25.5" customHeight="1" outlineLevel="1">
      <c r="A70" s="207" t="s">
        <v>43</v>
      </c>
      <c r="B70" s="65" t="s">
        <v>160</v>
      </c>
      <c r="C70" s="210"/>
      <c r="D70" s="25">
        <f t="shared" si="40"/>
        <v>5755.7888171200002</v>
      </c>
      <c r="E70" s="61">
        <f>SUM(E71:E74)</f>
        <v>567.51610114249934</v>
      </c>
      <c r="F70" s="61">
        <f t="shared" ref="F70:H70" si="79">SUM(F71:F74)</f>
        <v>789.22704102149214</v>
      </c>
      <c r="G70" s="61">
        <f t="shared" ref="G70" si="80">SUM(G71:G74)</f>
        <v>3956.4709385695528</v>
      </c>
      <c r="H70" s="61">
        <f t="shared" si="79"/>
        <v>442.57473638645547</v>
      </c>
      <c r="K70" s="25">
        <f t="shared" si="49"/>
        <v>5755.7888171200002</v>
      </c>
      <c r="L70" s="61">
        <f>SUM(L71:L74)</f>
        <v>452.82006774319626</v>
      </c>
      <c r="M70" s="61">
        <f t="shared" ref="M70:O70" si="81">SUM(M71:M74)</f>
        <v>730.28689735483226</v>
      </c>
      <c r="N70" s="61">
        <f t="shared" ref="N70" si="82">SUM(N71:N74)</f>
        <v>4286.2272269779996</v>
      </c>
      <c r="O70" s="61">
        <f t="shared" si="81"/>
        <v>286.45462504397187</v>
      </c>
      <c r="X70" s="15"/>
      <c r="Y70" s="15"/>
      <c r="AT70" s="92" t="e">
        <f>SUM(AT71:AT74)</f>
        <v>#REF!</v>
      </c>
      <c r="AU70" s="92" t="e">
        <f t="shared" si="75"/>
        <v>#REF!</v>
      </c>
      <c r="AV70" s="97" t="e">
        <f t="shared" si="76"/>
        <v>#REF!</v>
      </c>
      <c r="AX70" s="25" t="e">
        <f t="shared" si="44"/>
        <v>#REF!</v>
      </c>
      <c r="AY70" s="61" t="e">
        <f>SUM(AY71:AY74)</f>
        <v>#REF!</v>
      </c>
      <c r="AZ70" s="61" t="e">
        <f t="shared" ref="AZ70:BD70" si="83">SUM(AZ71:AZ74)</f>
        <v>#REF!</v>
      </c>
      <c r="BA70" s="61" t="e">
        <f t="shared" si="83"/>
        <v>#REF!</v>
      </c>
      <c r="BB70" s="61" t="e">
        <f t="shared" si="83"/>
        <v>#REF!</v>
      </c>
      <c r="BC70" s="61" t="e">
        <f t="shared" si="83"/>
        <v>#REF!</v>
      </c>
      <c r="BD70" s="61" t="e">
        <f t="shared" si="83"/>
        <v>#REF!</v>
      </c>
    </row>
    <row r="71" spans="1:56" s="4" customFormat="1" ht="56.25" customHeight="1" outlineLevel="1">
      <c r="A71" s="207"/>
      <c r="B71" s="56" t="s">
        <v>90</v>
      </c>
      <c r="C71" s="210"/>
      <c r="D71" s="28">
        <f t="shared" si="40"/>
        <v>228.50450973599996</v>
      </c>
      <c r="E71" s="58">
        <v>36.081415530352459</v>
      </c>
      <c r="F71" s="58">
        <v>52.545424106373261</v>
      </c>
      <c r="G71" s="49">
        <v>128.33851873757945</v>
      </c>
      <c r="H71" s="58">
        <v>11.539151361694788</v>
      </c>
      <c r="I71" s="214"/>
      <c r="J71" s="214"/>
      <c r="K71" s="28">
        <f t="shared" si="49"/>
        <v>228.50450973599993</v>
      </c>
      <c r="L71" s="58">
        <f>[52]СводПЗ!$E$71</f>
        <v>32.504718768587239</v>
      </c>
      <c r="M71" s="58">
        <f>[52]СводПЗ!$F$71</f>
        <v>50.707426620822901</v>
      </c>
      <c r="N71" s="28">
        <f>[52]СводПЗ!$L$71</f>
        <v>138.6216838477111</v>
      </c>
      <c r="O71" s="58">
        <f>[52]СводПЗ!$J$71</f>
        <v>6.6706804988787098</v>
      </c>
      <c r="X71" s="15"/>
      <c r="Y71" s="15"/>
      <c r="AT71" s="93" t="e">
        <f>#REF!</f>
        <v>#REF!</v>
      </c>
      <c r="AU71" s="93" t="e">
        <f t="shared" si="75"/>
        <v>#REF!</v>
      </c>
      <c r="AV71" s="97" t="e">
        <f t="shared" si="76"/>
        <v>#REF!</v>
      </c>
      <c r="AX71" s="28" t="e">
        <f t="shared" si="44"/>
        <v>#REF!</v>
      </c>
      <c r="AY71" s="58" t="e">
        <f>#REF!</f>
        <v>#REF!</v>
      </c>
      <c r="AZ71" s="58" t="e">
        <f>#REF!</f>
        <v>#REF!</v>
      </c>
      <c r="BA71" s="58" t="e">
        <f>#REF!</f>
        <v>#REF!</v>
      </c>
      <c r="BB71" s="58" t="e">
        <f>#REF!</f>
        <v>#REF!</v>
      </c>
      <c r="BC71" s="58" t="e">
        <f>#REF!</f>
        <v>#REF!</v>
      </c>
      <c r="BD71" s="58" t="e">
        <f>#REF!</f>
        <v>#REF!</v>
      </c>
    </row>
    <row r="72" spans="1:56" s="4" customFormat="1" ht="55.5" customHeight="1" outlineLevel="1">
      <c r="A72" s="207"/>
      <c r="B72" s="56" t="s">
        <v>105</v>
      </c>
      <c r="C72" s="210"/>
      <c r="D72" s="28">
        <f t="shared" si="40"/>
        <v>148.92859858399999</v>
      </c>
      <c r="E72" s="58">
        <v>27.386056270961983</v>
      </c>
      <c r="F72" s="58">
        <v>41.612665629452472</v>
      </c>
      <c r="G72" s="49">
        <v>7.3878766835855387</v>
      </c>
      <c r="H72" s="58">
        <v>72.542000000000002</v>
      </c>
      <c r="I72" s="214"/>
      <c r="J72" s="214"/>
      <c r="K72" s="28">
        <f t="shared" si="49"/>
        <v>148.92859858399999</v>
      </c>
      <c r="L72" s="58">
        <f>[52]СводПЗ!$E$72</f>
        <v>27.386056270961983</v>
      </c>
      <c r="M72" s="58">
        <f>[52]СводПЗ!$F$72</f>
        <v>41.612665629452472</v>
      </c>
      <c r="N72" s="28">
        <f>[52]СводПЗ!$L$72</f>
        <v>7.3878766835855387</v>
      </c>
      <c r="O72" s="58">
        <f>[52]СводПЗ!$J$72</f>
        <v>72.542000000000002</v>
      </c>
      <c r="X72" s="15"/>
      <c r="Y72" s="15"/>
      <c r="AT72" s="93" t="e">
        <f>#REF!</f>
        <v>#REF!</v>
      </c>
      <c r="AU72" s="93" t="e">
        <f t="shared" si="75"/>
        <v>#REF!</v>
      </c>
      <c r="AV72" s="97" t="e">
        <f t="shared" si="76"/>
        <v>#REF!</v>
      </c>
      <c r="AX72" s="28" t="e">
        <f t="shared" si="44"/>
        <v>#REF!</v>
      </c>
      <c r="AY72" s="58" t="e">
        <f>#REF!</f>
        <v>#REF!</v>
      </c>
      <c r="AZ72" s="58" t="e">
        <f>#REF!</f>
        <v>#REF!</v>
      </c>
      <c r="BA72" s="58" t="e">
        <f>#REF!</f>
        <v>#REF!</v>
      </c>
      <c r="BB72" s="58" t="e">
        <f>#REF!</f>
        <v>#REF!</v>
      </c>
      <c r="BC72" s="58" t="e">
        <f>#REF!</f>
        <v>#REF!</v>
      </c>
      <c r="BD72" s="58" t="e">
        <f>#REF!</f>
        <v>#REF!</v>
      </c>
    </row>
    <row r="73" spans="1:56" s="4" customFormat="1" outlineLevel="1">
      <c r="A73" s="207"/>
      <c r="B73" s="56" t="s">
        <v>91</v>
      </c>
      <c r="C73" s="210"/>
      <c r="D73" s="28">
        <f t="shared" si="40"/>
        <v>4257.4697088000003</v>
      </c>
      <c r="E73" s="58">
        <v>399.00145832136781</v>
      </c>
      <c r="F73" s="58">
        <v>550.21184277273505</v>
      </c>
      <c r="G73" s="49">
        <v>3024.4753300533421</v>
      </c>
      <c r="H73" s="58">
        <v>283.7810776525551</v>
      </c>
      <c r="I73" s="214"/>
      <c r="J73" s="214"/>
      <c r="K73" s="28">
        <f>[52]СводПЗ!$C$73</f>
        <v>4257.4697088000003</v>
      </c>
      <c r="L73" s="58">
        <f>$K$73*L90</f>
        <v>311.04014906430098</v>
      </c>
      <c r="M73" s="58">
        <f t="shared" ref="M73:O73" si="84">$K$73*M90</f>
        <v>505.01017318517529</v>
      </c>
      <c r="N73" s="58">
        <f t="shared" si="84"/>
        <v>3277.3680762495164</v>
      </c>
      <c r="O73" s="58">
        <f t="shared" si="84"/>
        <v>164.05131030100745</v>
      </c>
      <c r="X73" s="15"/>
      <c r="Y73" s="15"/>
      <c r="AT73" s="93" t="e">
        <f>#REF!</f>
        <v>#REF!</v>
      </c>
      <c r="AU73" s="93" t="e">
        <f t="shared" si="75"/>
        <v>#REF!</v>
      </c>
      <c r="AV73" s="97" t="e">
        <f t="shared" si="76"/>
        <v>#REF!</v>
      </c>
      <c r="AX73" s="28" t="e">
        <f t="shared" si="44"/>
        <v>#REF!</v>
      </c>
      <c r="AY73" s="58" t="e">
        <f>#REF!</f>
        <v>#REF!</v>
      </c>
      <c r="AZ73" s="58" t="e">
        <f>#REF!</f>
        <v>#REF!</v>
      </c>
      <c r="BA73" s="58" t="e">
        <f>#REF!</f>
        <v>#REF!</v>
      </c>
      <c r="BB73" s="58" t="e">
        <f>#REF!</f>
        <v>#REF!</v>
      </c>
      <c r="BC73" s="58" t="e">
        <f>#REF!</f>
        <v>#REF!</v>
      </c>
      <c r="BD73" s="58" t="e">
        <f>#REF!</f>
        <v>#REF!</v>
      </c>
    </row>
    <row r="74" spans="1:56" s="4" customFormat="1" ht="23.25" customHeight="1" outlineLevel="1">
      <c r="A74" s="207"/>
      <c r="B74" s="56" t="s">
        <v>129</v>
      </c>
      <c r="C74" s="210"/>
      <c r="D74" s="28">
        <f t="shared" si="40"/>
        <v>1120.886</v>
      </c>
      <c r="E74" s="58">
        <v>105.04717101981713</v>
      </c>
      <c r="F74" s="58">
        <v>144.85710851293135</v>
      </c>
      <c r="G74" s="49">
        <v>796.26921309504587</v>
      </c>
      <c r="H74" s="58">
        <v>74.71250737220555</v>
      </c>
      <c r="I74" s="214"/>
      <c r="J74" s="214"/>
      <c r="K74" s="28">
        <f>[52]СводПЗ!$C$74</f>
        <v>1120.886</v>
      </c>
      <c r="L74" s="58">
        <f>$K$74*L90</f>
        <v>81.889143639346059</v>
      </c>
      <c r="M74" s="58">
        <f t="shared" ref="M74:O74" si="85">$K$74*M90</f>
        <v>132.95663191938161</v>
      </c>
      <c r="N74" s="58">
        <f t="shared" si="85"/>
        <v>862.84959019718656</v>
      </c>
      <c r="O74" s="58">
        <f t="shared" si="85"/>
        <v>43.190634244085736</v>
      </c>
      <c r="X74" s="15"/>
      <c r="Y74" s="15"/>
      <c r="AT74" s="93" t="e">
        <f>#REF!</f>
        <v>#REF!</v>
      </c>
      <c r="AU74" s="93" t="e">
        <f t="shared" si="75"/>
        <v>#REF!</v>
      </c>
      <c r="AV74" s="97" t="e">
        <f t="shared" si="76"/>
        <v>#REF!</v>
      </c>
      <c r="AX74" s="28" t="e">
        <f t="shared" si="44"/>
        <v>#REF!</v>
      </c>
      <c r="AY74" s="58" t="e">
        <f>#REF!</f>
        <v>#REF!</v>
      </c>
      <c r="AZ74" s="58" t="e">
        <f>#REF!</f>
        <v>#REF!</v>
      </c>
      <c r="BA74" s="58" t="e">
        <f>#REF!</f>
        <v>#REF!</v>
      </c>
      <c r="BB74" s="58" t="e">
        <f>#REF!</f>
        <v>#REF!</v>
      </c>
      <c r="BC74" s="58" t="e">
        <f>#REF!</f>
        <v>#REF!</v>
      </c>
      <c r="BD74" s="58" t="e">
        <f>#REF!</f>
        <v>#REF!</v>
      </c>
    </row>
    <row r="75" spans="1:56" s="4" customFormat="1" ht="30" customHeight="1">
      <c r="A75" s="13" t="s">
        <v>159</v>
      </c>
      <c r="B75" s="12" t="s">
        <v>44</v>
      </c>
      <c r="C75" s="209" t="s">
        <v>9</v>
      </c>
      <c r="D75" s="25">
        <f t="shared" ref="D75:H75" si="86">SUM(D76:D89)</f>
        <v>42918.220302243899</v>
      </c>
      <c r="E75" s="25">
        <f t="shared" si="86"/>
        <v>4028.4018268738014</v>
      </c>
      <c r="F75" s="25">
        <f t="shared" si="86"/>
        <v>5556.2315158095189</v>
      </c>
      <c r="G75" s="25">
        <f t="shared" ref="G75" si="87">SUM(G76:G89)</f>
        <v>30474.437555740558</v>
      </c>
      <c r="H75" s="25">
        <f t="shared" si="86"/>
        <v>2859.1494038200231</v>
      </c>
      <c r="K75" s="25">
        <f t="shared" ref="K75:O75" si="88">SUM(K76:K89)</f>
        <v>41341.827302243895</v>
      </c>
      <c r="L75" s="25">
        <f t="shared" si="88"/>
        <v>3027.0072215393811</v>
      </c>
      <c r="M75" s="25">
        <f t="shared" si="88"/>
        <v>4913.8282189008278</v>
      </c>
      <c r="N75" s="25">
        <f t="shared" ref="N75" si="89">SUM(N76:N89)</f>
        <v>31808.885584751228</v>
      </c>
      <c r="O75" s="25">
        <f t="shared" si="88"/>
        <v>1592.1062770524541</v>
      </c>
      <c r="X75" s="15"/>
      <c r="Y75" s="15"/>
      <c r="AT75" s="92" t="e">
        <f>SUM(AT76:AT89)</f>
        <v>#REF!</v>
      </c>
      <c r="AU75" s="92" t="e">
        <f t="shared" si="75"/>
        <v>#REF!</v>
      </c>
      <c r="AV75" s="97" t="e">
        <f t="shared" si="76"/>
        <v>#REF!</v>
      </c>
      <c r="AX75" s="25" t="e">
        <f t="shared" ref="AX75:BD75" si="90">SUM(AX76:AX89)</f>
        <v>#REF!</v>
      </c>
      <c r="AY75" s="25" t="e">
        <f t="shared" si="90"/>
        <v>#REF!</v>
      </c>
      <c r="AZ75" s="25" t="e">
        <f t="shared" si="90"/>
        <v>#REF!</v>
      </c>
      <c r="BA75" s="25" t="e">
        <f t="shared" si="90"/>
        <v>#REF!</v>
      </c>
      <c r="BB75" s="25" t="e">
        <f t="shared" si="90"/>
        <v>#REF!</v>
      </c>
      <c r="BC75" s="25" t="e">
        <f t="shared" si="90"/>
        <v>#REF!</v>
      </c>
      <c r="BD75" s="25" t="e">
        <f t="shared" si="90"/>
        <v>#REF!</v>
      </c>
    </row>
    <row r="76" spans="1:56" s="4" customFormat="1" ht="39" customHeight="1">
      <c r="A76" s="13"/>
      <c r="B76" s="18" t="s">
        <v>182</v>
      </c>
      <c r="C76" s="209" t="s">
        <v>9</v>
      </c>
      <c r="D76" s="28">
        <f t="shared" ref="D76:D92" si="91">SUM(E76:H76)</f>
        <v>1946.9999999999998</v>
      </c>
      <c r="E76" s="28">
        <v>182.46890582591269</v>
      </c>
      <c r="F76" s="28">
        <v>251.61951373705924</v>
      </c>
      <c r="G76" s="49">
        <v>1383.1345541795099</v>
      </c>
      <c r="H76" s="50">
        <v>129.77702625751789</v>
      </c>
      <c r="I76" s="214"/>
      <c r="J76" s="214"/>
      <c r="K76" s="28">
        <f>[52]СводПЗ!$C$76</f>
        <v>1947.0000000000002</v>
      </c>
      <c r="L76" s="28">
        <f>$K$76*L90</f>
        <v>142.24297802435467</v>
      </c>
      <c r="M76" s="28">
        <f t="shared" ref="M76:O76" si="92">$K$76*M90</f>
        <v>230.94816274539605</v>
      </c>
      <c r="N76" s="28">
        <f t="shared" si="92"/>
        <v>1498.7859176704164</v>
      </c>
      <c r="O76" s="28">
        <f t="shared" si="92"/>
        <v>75.022941559832972</v>
      </c>
      <c r="X76" s="15"/>
      <c r="Y76" s="15"/>
      <c r="AT76" s="93" t="e">
        <f>#REF!</f>
        <v>#REF!</v>
      </c>
      <c r="AU76" s="93" t="e">
        <f t="shared" si="75"/>
        <v>#REF!</v>
      </c>
      <c r="AV76" s="97" t="e">
        <f t="shared" si="76"/>
        <v>#REF!</v>
      </c>
      <c r="AX76" s="28" t="e">
        <f t="shared" si="44"/>
        <v>#REF!</v>
      </c>
      <c r="AY76" s="28" t="e">
        <f>#REF!</f>
        <v>#REF!</v>
      </c>
      <c r="AZ76" s="28" t="e">
        <f>#REF!</f>
        <v>#REF!</v>
      </c>
      <c r="BA76" s="28" t="e">
        <f>#REF!</f>
        <v>#REF!</v>
      </c>
      <c r="BB76" s="28" t="e">
        <f>#REF!</f>
        <v>#REF!</v>
      </c>
      <c r="BC76" s="28" t="e">
        <f>#REF!</f>
        <v>#REF!</v>
      </c>
      <c r="BD76" s="28" t="e">
        <f>#REF!</f>
        <v>#REF!</v>
      </c>
    </row>
    <row r="77" spans="1:56" s="4" customFormat="1" ht="37.5" customHeight="1">
      <c r="A77" s="13"/>
      <c r="B77" s="18" t="s">
        <v>104</v>
      </c>
      <c r="C77" s="209" t="s">
        <v>9</v>
      </c>
      <c r="D77" s="28">
        <f t="shared" si="91"/>
        <v>1454.9999999999998</v>
      </c>
      <c r="E77" s="49">
        <v>136.35965997776216</v>
      </c>
      <c r="F77" s="49">
        <v>188.03615433354966</v>
      </c>
      <c r="G77" s="49">
        <v>1033.6213540478618</v>
      </c>
      <c r="H77" s="50">
        <v>96.982831640826163</v>
      </c>
      <c r="I77" s="214"/>
      <c r="J77" s="214"/>
      <c r="K77" s="28">
        <f>[52]СводПЗ!$C$77</f>
        <v>1455</v>
      </c>
      <c r="L77" s="49">
        <f>$K$77*L90</f>
        <v>106.29868157444068</v>
      </c>
      <c r="M77" s="49">
        <f t="shared" ref="M77:O77" si="93">$K$77*M90</f>
        <v>172.58838047999549</v>
      </c>
      <c r="N77" s="49">
        <f t="shared" si="93"/>
        <v>1120.0480278430691</v>
      </c>
      <c r="O77" s="49">
        <f t="shared" si="93"/>
        <v>56.064910102494586</v>
      </c>
      <c r="X77" s="15"/>
      <c r="Y77" s="15"/>
      <c r="AT77" s="93" t="e">
        <f>#REF!</f>
        <v>#REF!</v>
      </c>
      <c r="AU77" s="93" t="e">
        <f t="shared" si="75"/>
        <v>#REF!</v>
      </c>
      <c r="AV77" s="97" t="e">
        <f t="shared" si="76"/>
        <v>#REF!</v>
      </c>
      <c r="AX77" s="28" t="e">
        <f t="shared" si="44"/>
        <v>#REF!</v>
      </c>
      <c r="AY77" s="28" t="e">
        <f>#REF!</f>
        <v>#REF!</v>
      </c>
      <c r="AZ77" s="28" t="e">
        <f>#REF!</f>
        <v>#REF!</v>
      </c>
      <c r="BA77" s="28" t="e">
        <f>#REF!</f>
        <v>#REF!</v>
      </c>
      <c r="BB77" s="28" t="e">
        <f>#REF!</f>
        <v>#REF!</v>
      </c>
      <c r="BC77" s="28" t="e">
        <f>#REF!</f>
        <v>#REF!</v>
      </c>
      <c r="BD77" s="28" t="e">
        <f>#REF!</f>
        <v>#REF!</v>
      </c>
    </row>
    <row r="78" spans="1:56" s="4" customFormat="1" ht="20.25" customHeight="1">
      <c r="A78" s="13"/>
      <c r="B78" s="18" t="s">
        <v>117</v>
      </c>
      <c r="C78" s="209" t="s">
        <v>9</v>
      </c>
      <c r="D78" s="28">
        <f t="shared" si="91"/>
        <v>1079.6035714285713</v>
      </c>
      <c r="E78" s="49">
        <v>101.17826523077503</v>
      </c>
      <c r="F78" s="49">
        <v>139.52199572247028</v>
      </c>
      <c r="G78" s="49">
        <v>766.94247789340716</v>
      </c>
      <c r="H78" s="50">
        <v>71.960832581918751</v>
      </c>
      <c r="I78" s="214"/>
      <c r="J78" s="214"/>
      <c r="K78" s="28">
        <f>[52]СводПЗ!$C$78</f>
        <v>1079.6035714285713</v>
      </c>
      <c r="L78" s="49">
        <f>$K$78*L90</f>
        <v>78.873152072793559</v>
      </c>
      <c r="M78" s="49">
        <f t="shared" ref="M78:O78" si="94">$K$78*M90</f>
        <v>128.05981577544759</v>
      </c>
      <c r="N78" s="49">
        <f t="shared" si="94"/>
        <v>831.0706879937494</v>
      </c>
      <c r="O78" s="49">
        <f t="shared" si="94"/>
        <v>41.599915586580714</v>
      </c>
      <c r="X78" s="15"/>
      <c r="Y78" s="15"/>
      <c r="AT78" s="93" t="e">
        <f>#REF!</f>
        <v>#REF!</v>
      </c>
      <c r="AU78" s="93" t="e">
        <f t="shared" si="75"/>
        <v>#REF!</v>
      </c>
      <c r="AV78" s="97" t="e">
        <f t="shared" si="76"/>
        <v>#REF!</v>
      </c>
      <c r="AX78" s="28" t="e">
        <f t="shared" si="44"/>
        <v>#REF!</v>
      </c>
      <c r="AY78" s="28" t="e">
        <f>#REF!</f>
        <v>#REF!</v>
      </c>
      <c r="AZ78" s="28" t="e">
        <f>#REF!</f>
        <v>#REF!</v>
      </c>
      <c r="BA78" s="28" t="e">
        <f>#REF!</f>
        <v>#REF!</v>
      </c>
      <c r="BB78" s="28" t="e">
        <f>#REF!</f>
        <v>#REF!</v>
      </c>
      <c r="BC78" s="28" t="e">
        <f>#REF!</f>
        <v>#REF!</v>
      </c>
      <c r="BD78" s="28" t="e">
        <f>#REF!</f>
        <v>#REF!</v>
      </c>
    </row>
    <row r="79" spans="1:56" s="4" customFormat="1" ht="20.25" customHeight="1">
      <c r="A79" s="13"/>
      <c r="B79" s="18" t="s">
        <v>155</v>
      </c>
      <c r="C79" s="209" t="s">
        <v>9</v>
      </c>
      <c r="D79" s="28">
        <f t="shared" si="91"/>
        <v>319.07734806629833</v>
      </c>
      <c r="E79" s="49">
        <v>29.903284322286265</v>
      </c>
      <c r="F79" s="49">
        <v>41.235792072394652</v>
      </c>
      <c r="G79" s="49">
        <v>226.67021343937336</v>
      </c>
      <c r="H79" s="50">
        <v>21.268058232244059</v>
      </c>
      <c r="I79" s="214"/>
      <c r="J79" s="214"/>
      <c r="K79" s="28">
        <f>[52]СводПЗ!$C$79</f>
        <v>319.07734806629838</v>
      </c>
      <c r="L79" s="49">
        <f>$K$79*L90</f>
        <v>23.310997539324006</v>
      </c>
      <c r="M79" s="49">
        <f t="shared" ref="M79:O79" si="95">$K$79*M90</f>
        <v>37.84813934750121</v>
      </c>
      <c r="N79" s="49">
        <f t="shared" si="95"/>
        <v>245.62333637873132</v>
      </c>
      <c r="O79" s="49">
        <f t="shared" si="95"/>
        <v>12.294874800741852</v>
      </c>
      <c r="X79" s="15"/>
      <c r="Y79" s="15"/>
      <c r="AT79" s="93" t="e">
        <f>#REF!</f>
        <v>#REF!</v>
      </c>
      <c r="AU79" s="93" t="e">
        <f t="shared" si="75"/>
        <v>#REF!</v>
      </c>
      <c r="AV79" s="97" t="e">
        <f t="shared" si="76"/>
        <v>#REF!</v>
      </c>
      <c r="AX79" s="28" t="e">
        <f t="shared" si="44"/>
        <v>#REF!</v>
      </c>
      <c r="AY79" s="28" t="e">
        <f>#REF!</f>
        <v>#REF!</v>
      </c>
      <c r="AZ79" s="28" t="e">
        <f>#REF!</f>
        <v>#REF!</v>
      </c>
      <c r="BA79" s="28" t="e">
        <f>#REF!</f>
        <v>#REF!</v>
      </c>
      <c r="BB79" s="28" t="e">
        <f>#REF!</f>
        <v>#REF!</v>
      </c>
      <c r="BC79" s="28" t="e">
        <f>#REF!</f>
        <v>#REF!</v>
      </c>
      <c r="BD79" s="28" t="e">
        <f>#REF!</f>
        <v>#REF!</v>
      </c>
    </row>
    <row r="80" spans="1:56" s="4" customFormat="1" ht="39" customHeight="1">
      <c r="A80" s="13"/>
      <c r="B80" s="18" t="s">
        <v>156</v>
      </c>
      <c r="C80" s="209" t="s">
        <v>9</v>
      </c>
      <c r="D80" s="28">
        <f t="shared" si="91"/>
        <v>53.805714285714274</v>
      </c>
      <c r="E80" s="49">
        <v>11.235504977027016</v>
      </c>
      <c r="F80" s="49">
        <v>16.671600429063247</v>
      </c>
      <c r="G80" s="49">
        <v>23.871063043464844</v>
      </c>
      <c r="H80" s="50">
        <v>2.0275458361591667</v>
      </c>
      <c r="I80" s="214"/>
      <c r="J80" s="214"/>
      <c r="K80" s="28">
        <f t="shared" ref="K80:K92" si="96">SUM(L80:O80)</f>
        <v>53.805714285714281</v>
      </c>
      <c r="L80" s="49">
        <f>[52]СводПЗ!$E$80</f>
        <v>10.6070431084537</v>
      </c>
      <c r="M80" s="49">
        <f>[52]СводПЗ!$F$80</f>
        <v>16.348645643924584</v>
      </c>
      <c r="N80" s="28">
        <f>[52]СводПЗ!$L$80</f>
        <v>25.677919366608041</v>
      </c>
      <c r="O80" s="50">
        <f>[52]СводПЗ!$J$80</f>
        <v>1.17210616672795</v>
      </c>
      <c r="X80" s="15"/>
      <c r="Y80" s="15"/>
      <c r="AT80" s="93" t="e">
        <f>#REF!</f>
        <v>#REF!</v>
      </c>
      <c r="AU80" s="93" t="e">
        <f t="shared" si="75"/>
        <v>#REF!</v>
      </c>
      <c r="AV80" s="97" t="e">
        <f t="shared" si="76"/>
        <v>#REF!</v>
      </c>
      <c r="AX80" s="28" t="e">
        <f t="shared" si="44"/>
        <v>#REF!</v>
      </c>
      <c r="AY80" s="28" t="e">
        <f>#REF!</f>
        <v>#REF!</v>
      </c>
      <c r="AZ80" s="28" t="e">
        <f>#REF!</f>
        <v>#REF!</v>
      </c>
      <c r="BA80" s="28" t="e">
        <f>#REF!</f>
        <v>#REF!</v>
      </c>
      <c r="BB80" s="28" t="e">
        <f>#REF!</f>
        <v>#REF!</v>
      </c>
      <c r="BC80" s="28" t="e">
        <f>#REF!</f>
        <v>#REF!</v>
      </c>
      <c r="BD80" s="28" t="e">
        <f>#REF!</f>
        <v>#REF!</v>
      </c>
    </row>
    <row r="81" spans="1:56" s="4" customFormat="1" ht="19.5" customHeight="1">
      <c r="A81" s="13"/>
      <c r="B81" s="18" t="s">
        <v>128</v>
      </c>
      <c r="C81" s="209" t="s">
        <v>9</v>
      </c>
      <c r="D81" s="28">
        <f t="shared" si="91"/>
        <v>3363.9782603333329</v>
      </c>
      <c r="E81" s="49">
        <v>315.26524519012867</v>
      </c>
      <c r="F81" s="49">
        <v>434.74194868367323</v>
      </c>
      <c r="G81" s="49">
        <v>2389.7455425658491</v>
      </c>
      <c r="H81" s="50">
        <v>224.22552389368172</v>
      </c>
      <c r="I81" s="214"/>
      <c r="J81" s="214"/>
      <c r="K81" s="28">
        <f>[52]СводПЗ!$C$81</f>
        <v>3363.9782603333329</v>
      </c>
      <c r="L81" s="49">
        <f>$K$81*L90</f>
        <v>245.76388585464869</v>
      </c>
      <c r="M81" s="49">
        <f t="shared" ref="M81:O81" si="97">$K$81*M90</f>
        <v>399.02650166380931</v>
      </c>
      <c r="N81" s="49">
        <f t="shared" si="97"/>
        <v>2589.5650970400743</v>
      </c>
      <c r="O81" s="49">
        <f t="shared" si="97"/>
        <v>129.62277577480029</v>
      </c>
      <c r="X81" s="15"/>
      <c r="Y81" s="15"/>
      <c r="AT81" s="93" t="e">
        <f>#REF!</f>
        <v>#REF!</v>
      </c>
      <c r="AU81" s="93" t="e">
        <f t="shared" si="75"/>
        <v>#REF!</v>
      </c>
      <c r="AV81" s="97" t="e">
        <f t="shared" si="76"/>
        <v>#REF!</v>
      </c>
      <c r="AX81" s="28" t="e">
        <f t="shared" si="44"/>
        <v>#REF!</v>
      </c>
      <c r="AY81" s="28" t="e">
        <f>#REF!</f>
        <v>#REF!</v>
      </c>
      <c r="AZ81" s="28" t="e">
        <f>#REF!</f>
        <v>#REF!</v>
      </c>
      <c r="BA81" s="28" t="e">
        <f>#REF!</f>
        <v>#REF!</v>
      </c>
      <c r="BB81" s="28" t="e">
        <f>#REF!</f>
        <v>#REF!</v>
      </c>
      <c r="BC81" s="28" t="e">
        <f>#REF!</f>
        <v>#REF!</v>
      </c>
      <c r="BD81" s="28" t="e">
        <f>#REF!</f>
        <v>#REF!</v>
      </c>
    </row>
    <row r="82" spans="1:56" s="4" customFormat="1" ht="19.5" customHeight="1">
      <c r="A82" s="13"/>
      <c r="B82" s="18" t="s">
        <v>121</v>
      </c>
      <c r="C82" s="209" t="s">
        <v>9</v>
      </c>
      <c r="D82" s="28">
        <f t="shared" si="91"/>
        <v>5638.1569999999992</v>
      </c>
      <c r="E82" s="28">
        <v>528.39668138916818</v>
      </c>
      <c r="F82" s="28">
        <v>728.64423354555561</v>
      </c>
      <c r="G82" s="49">
        <v>4005.3054795013268</v>
      </c>
      <c r="H82" s="29">
        <v>375.8106055639488</v>
      </c>
      <c r="I82" s="214"/>
      <c r="J82" s="214"/>
      <c r="K82" s="28">
        <f>[52]СводПЗ!$C$82</f>
        <v>5638.1570000000002</v>
      </c>
      <c r="L82" s="28">
        <f>$K$82*L90</f>
        <v>411.90972894137718</v>
      </c>
      <c r="M82" s="28">
        <f t="shared" ref="M82:O82" si="98">$K$82*M90</f>
        <v>668.78377011817872</v>
      </c>
      <c r="N82" s="28">
        <f t="shared" si="98"/>
        <v>4340.2107412505811</v>
      </c>
      <c r="O82" s="28">
        <f t="shared" si="98"/>
        <v>217.25275968986293</v>
      </c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T82" s="93" t="e">
        <f>#REF!</f>
        <v>#REF!</v>
      </c>
      <c r="AU82" s="93" t="e">
        <f t="shared" si="75"/>
        <v>#REF!</v>
      </c>
      <c r="AV82" s="97" t="e">
        <f t="shared" si="76"/>
        <v>#REF!</v>
      </c>
      <c r="AX82" s="28" t="e">
        <f t="shared" si="44"/>
        <v>#REF!</v>
      </c>
      <c r="AY82" s="28" t="e">
        <f>#REF!</f>
        <v>#REF!</v>
      </c>
      <c r="AZ82" s="28" t="e">
        <f>#REF!</f>
        <v>#REF!</v>
      </c>
      <c r="BA82" s="28" t="e">
        <f>#REF!</f>
        <v>#REF!</v>
      </c>
      <c r="BB82" s="28" t="e">
        <f>#REF!</f>
        <v>#REF!</v>
      </c>
      <c r="BC82" s="28" t="e">
        <f>#REF!</f>
        <v>#REF!</v>
      </c>
      <c r="BD82" s="28" t="e">
        <f>#REF!</f>
        <v>#REF!</v>
      </c>
    </row>
    <row r="83" spans="1:56" s="4" customFormat="1" ht="19.5" customHeight="1">
      <c r="A83" s="13"/>
      <c r="B83" s="18" t="s">
        <v>114</v>
      </c>
      <c r="C83" s="209" t="s">
        <v>9</v>
      </c>
      <c r="D83" s="28">
        <f t="shared" si="91"/>
        <v>0</v>
      </c>
      <c r="E83" s="28">
        <v>0</v>
      </c>
      <c r="F83" s="28">
        <v>0</v>
      </c>
      <c r="G83" s="49">
        <v>0</v>
      </c>
      <c r="H83" s="29">
        <v>0</v>
      </c>
      <c r="I83" s="214"/>
      <c r="J83" s="214"/>
      <c r="K83" s="28">
        <f t="shared" si="96"/>
        <v>0</v>
      </c>
      <c r="L83" s="28">
        <v>0</v>
      </c>
      <c r="M83" s="28">
        <v>0</v>
      </c>
      <c r="N83" s="28">
        <v>0</v>
      </c>
      <c r="O83" s="29">
        <v>0</v>
      </c>
      <c r="X83" s="15"/>
      <c r="Y83" s="15"/>
      <c r="AT83" s="93" t="e">
        <f>#REF!</f>
        <v>#REF!</v>
      </c>
      <c r="AU83" s="93" t="e">
        <f t="shared" si="75"/>
        <v>#REF!</v>
      </c>
      <c r="AV83" s="97" t="e">
        <f t="shared" si="76"/>
        <v>#REF!</v>
      </c>
      <c r="AX83" s="28" t="e">
        <f t="shared" si="44"/>
        <v>#REF!</v>
      </c>
      <c r="AY83" s="28" t="e">
        <f>#REF!</f>
        <v>#REF!</v>
      </c>
      <c r="AZ83" s="28" t="e">
        <f>#REF!</f>
        <v>#REF!</v>
      </c>
      <c r="BA83" s="28" t="e">
        <f>#REF!</f>
        <v>#REF!</v>
      </c>
      <c r="BB83" s="28" t="e">
        <f>#REF!</f>
        <v>#REF!</v>
      </c>
      <c r="BC83" s="28" t="e">
        <f>#REF!</f>
        <v>#REF!</v>
      </c>
      <c r="BD83" s="28" t="e">
        <f>#REF!</f>
        <v>#REF!</v>
      </c>
    </row>
    <row r="84" spans="1:56" s="4" customFormat="1" ht="19.5" customHeight="1">
      <c r="A84" s="13"/>
      <c r="B84" s="18" t="s">
        <v>119</v>
      </c>
      <c r="C84" s="209" t="s">
        <v>9</v>
      </c>
      <c r="D84" s="28">
        <f t="shared" si="91"/>
        <v>7555.9349999999995</v>
      </c>
      <c r="E84" s="28">
        <v>708.12696042204288</v>
      </c>
      <c r="F84" s="28">
        <v>976.48725759056322</v>
      </c>
      <c r="G84" s="49">
        <v>5367.6809386925306</v>
      </c>
      <c r="H84" s="29">
        <v>503.63984329486311</v>
      </c>
      <c r="I84" s="214"/>
      <c r="J84" s="214"/>
      <c r="K84" s="28">
        <f>[52]СводПЗ!$C$84</f>
        <v>7555.9349999999995</v>
      </c>
      <c r="L84" s="28">
        <f>$K$84*L90</f>
        <v>552.01782031764355</v>
      </c>
      <c r="M84" s="28">
        <f t="shared" ref="M84:O84" si="99">$K$84*M90</f>
        <v>896.26569392585202</v>
      </c>
      <c r="N84" s="28">
        <f t="shared" si="99"/>
        <v>5816.501783684138</v>
      </c>
      <c r="O84" s="28">
        <f t="shared" si="99"/>
        <v>291.14970207236593</v>
      </c>
      <c r="X84" s="15"/>
      <c r="Y84" s="15"/>
      <c r="AT84" s="93" t="e">
        <f>#REF!</f>
        <v>#REF!</v>
      </c>
      <c r="AU84" s="93" t="e">
        <f t="shared" si="75"/>
        <v>#REF!</v>
      </c>
      <c r="AV84" s="97" t="e">
        <f t="shared" si="76"/>
        <v>#REF!</v>
      </c>
      <c r="AX84" s="28" t="e">
        <f t="shared" si="44"/>
        <v>#REF!</v>
      </c>
      <c r="AY84" s="28" t="e">
        <f>#REF!</f>
        <v>#REF!</v>
      </c>
      <c r="AZ84" s="28" t="e">
        <f>#REF!</f>
        <v>#REF!</v>
      </c>
      <c r="BA84" s="28" t="e">
        <f>#REF!</f>
        <v>#REF!</v>
      </c>
      <c r="BB84" s="28" t="e">
        <f>#REF!</f>
        <v>#REF!</v>
      </c>
      <c r="BC84" s="28" t="e">
        <f>#REF!</f>
        <v>#REF!</v>
      </c>
      <c r="BD84" s="28" t="e">
        <f>#REF!</f>
        <v>#REF!</v>
      </c>
    </row>
    <row r="85" spans="1:56" s="4" customFormat="1" ht="19.5" customHeight="1">
      <c r="A85" s="13"/>
      <c r="B85" s="18" t="s">
        <v>176</v>
      </c>
      <c r="C85" s="209"/>
      <c r="D85" s="28">
        <f t="shared" si="91"/>
        <v>10333.674999999999</v>
      </c>
      <c r="E85" s="28">
        <v>968.45114042659895</v>
      </c>
      <c r="F85" s="28">
        <v>1335.4670152115077</v>
      </c>
      <c r="G85" s="49">
        <v>7340.9671105089619</v>
      </c>
      <c r="H85" s="29">
        <v>688.78973385293079</v>
      </c>
      <c r="I85" s="214"/>
      <c r="J85" s="214"/>
      <c r="K85" s="28">
        <f>[52]СводПЗ!$C$85</f>
        <v>8757.2819999999992</v>
      </c>
      <c r="L85" s="28">
        <f>$K$85*L90</f>
        <v>639.78524451929957</v>
      </c>
      <c r="M85" s="28">
        <f t="shared" ref="M85:O85" si="100">$K$85*M90</f>
        <v>1038.7664039770555</v>
      </c>
      <c r="N85" s="28">
        <f t="shared" si="100"/>
        <v>6741.2896449248165</v>
      </c>
      <c r="O85" s="28">
        <f t="shared" si="100"/>
        <v>337.44070657882747</v>
      </c>
      <c r="X85" s="15"/>
      <c r="Y85" s="15"/>
      <c r="AT85" s="93" t="e">
        <f>#REF!</f>
        <v>#REF!</v>
      </c>
      <c r="AU85" s="93" t="e">
        <f t="shared" si="75"/>
        <v>#REF!</v>
      </c>
      <c r="AV85" s="97" t="e">
        <f t="shared" si="76"/>
        <v>#REF!</v>
      </c>
      <c r="AX85" s="28" t="e">
        <f t="shared" si="44"/>
        <v>#REF!</v>
      </c>
      <c r="AY85" s="28" t="e">
        <f>#REF!</f>
        <v>#REF!</v>
      </c>
      <c r="AZ85" s="28" t="e">
        <f>#REF!</f>
        <v>#REF!</v>
      </c>
      <c r="BA85" s="28" t="e">
        <f>#REF!</f>
        <v>#REF!</v>
      </c>
      <c r="BB85" s="28" t="e">
        <f>#REF!</f>
        <v>#REF!</v>
      </c>
      <c r="BC85" s="28" t="e">
        <f>#REF!</f>
        <v>#REF!</v>
      </c>
      <c r="BD85" s="28" t="e">
        <f>#REF!</f>
        <v>#REF!</v>
      </c>
    </row>
    <row r="86" spans="1:56" s="4" customFormat="1" ht="19.5" customHeight="1">
      <c r="A86" s="207"/>
      <c r="B86" s="18" t="s">
        <v>167</v>
      </c>
      <c r="C86" s="209"/>
      <c r="D86" s="28">
        <f t="shared" si="91"/>
        <v>871.19999999999982</v>
      </c>
      <c r="E86" s="57">
        <v>81.647103623798216</v>
      </c>
      <c r="F86" s="57">
        <v>112.5890705535316</v>
      </c>
      <c r="G86" s="49">
        <v>618.89410559896714</v>
      </c>
      <c r="H86" s="58">
        <v>58.069720223702923</v>
      </c>
      <c r="I86" s="214"/>
      <c r="J86" s="214"/>
      <c r="K86" s="28">
        <f>[52]СводПЗ!$C$86</f>
        <v>871.2</v>
      </c>
      <c r="L86" s="57">
        <f>$K$86*L90</f>
        <v>63.647705421067165</v>
      </c>
      <c r="M86" s="57">
        <f t="shared" ref="M86:O86" si="101">$K$86*M90</f>
        <v>103.33951688946534</v>
      </c>
      <c r="N86" s="57">
        <f t="shared" si="101"/>
        <v>670.64319027964393</v>
      </c>
      <c r="O86" s="57">
        <f t="shared" si="101"/>
        <v>33.569587409823562</v>
      </c>
      <c r="X86" s="15"/>
      <c r="Y86" s="15"/>
      <c r="AT86" s="93" t="e">
        <f>#REF!</f>
        <v>#REF!</v>
      </c>
      <c r="AU86" s="93" t="e">
        <f t="shared" si="75"/>
        <v>#REF!</v>
      </c>
      <c r="AV86" s="97" t="e">
        <f t="shared" si="76"/>
        <v>#REF!</v>
      </c>
      <c r="AX86" s="28" t="e">
        <f t="shared" ref="AX86" si="102">SUM(AY86:BD86)</f>
        <v>#REF!</v>
      </c>
      <c r="AY86" s="28" t="e">
        <f>#REF!</f>
        <v>#REF!</v>
      </c>
      <c r="AZ86" s="28" t="e">
        <f>#REF!</f>
        <v>#REF!</v>
      </c>
      <c r="BA86" s="28" t="e">
        <f>#REF!</f>
        <v>#REF!</v>
      </c>
      <c r="BB86" s="28" t="e">
        <f>#REF!</f>
        <v>#REF!</v>
      </c>
      <c r="BC86" s="28" t="e">
        <f>#REF!</f>
        <v>#REF!</v>
      </c>
      <c r="BD86" s="28" t="e">
        <f>#REF!</f>
        <v>#REF!</v>
      </c>
    </row>
    <row r="87" spans="1:56" s="4" customFormat="1" ht="19.5" customHeight="1">
      <c r="A87" s="13"/>
      <c r="B87" s="18" t="s">
        <v>94</v>
      </c>
      <c r="C87" s="209" t="s">
        <v>9</v>
      </c>
      <c r="D87" s="28">
        <f t="shared" si="91"/>
        <v>3605.5003167014129</v>
      </c>
      <c r="E87" s="49">
        <v>337.90020428530477</v>
      </c>
      <c r="F87" s="49">
        <v>465.95492371197872</v>
      </c>
      <c r="G87" s="49">
        <v>2561.3210442398004</v>
      </c>
      <c r="H87" s="53">
        <v>240.3241444643289</v>
      </c>
      <c r="I87" s="214"/>
      <c r="J87" s="214"/>
      <c r="K87" s="28">
        <f>[52]СводПЗ!$C$87</f>
        <v>3605.5003167014129</v>
      </c>
      <c r="L87" s="49">
        <f>$K$87*L90</f>
        <v>263.40888665401275</v>
      </c>
      <c r="M87" s="49">
        <f t="shared" ref="M87:O87" si="103">$K$87*M90</f>
        <v>427.67523057017712</v>
      </c>
      <c r="N87" s="49">
        <f t="shared" si="103"/>
        <v>2775.4869547140747</v>
      </c>
      <c r="O87" s="49">
        <f t="shared" si="103"/>
        <v>138.92924476314809</v>
      </c>
      <c r="X87" s="15"/>
      <c r="Y87" s="15"/>
      <c r="AT87" s="93" t="e">
        <f>#REF!</f>
        <v>#REF!</v>
      </c>
      <c r="AU87" s="93" t="e">
        <f t="shared" si="75"/>
        <v>#REF!</v>
      </c>
      <c r="AV87" s="97" t="e">
        <f t="shared" si="76"/>
        <v>#REF!</v>
      </c>
      <c r="AX87" s="28" t="e">
        <f t="shared" si="44"/>
        <v>#REF!</v>
      </c>
      <c r="AY87" s="28" t="e">
        <f>#REF!</f>
        <v>#REF!</v>
      </c>
      <c r="AZ87" s="28" t="e">
        <f>#REF!</f>
        <v>#REF!</v>
      </c>
      <c r="BA87" s="28" t="e">
        <f>#REF!</f>
        <v>#REF!</v>
      </c>
      <c r="BB87" s="28" t="e">
        <f>#REF!</f>
        <v>#REF!</v>
      </c>
      <c r="BC87" s="28" t="e">
        <f>#REF!</f>
        <v>#REF!</v>
      </c>
      <c r="BD87" s="28" t="e">
        <f>#REF!</f>
        <v>#REF!</v>
      </c>
    </row>
    <row r="88" spans="1:56" s="4" customFormat="1" ht="35.25" customHeight="1">
      <c r="A88" s="13"/>
      <c r="B88" s="18" t="s">
        <v>157</v>
      </c>
      <c r="C88" s="209" t="s">
        <v>9</v>
      </c>
      <c r="D88" s="28">
        <f t="shared" si="91"/>
        <v>6382.8595199999991</v>
      </c>
      <c r="E88" s="49">
        <v>598.18869679245518</v>
      </c>
      <c r="F88" s="49">
        <v>824.88546927291179</v>
      </c>
      <c r="G88" s="49">
        <v>4534.3367008657633</v>
      </c>
      <c r="H88" s="50">
        <v>425.44865306886902</v>
      </c>
      <c r="I88" s="214"/>
      <c r="J88" s="214"/>
      <c r="K88" s="28">
        <f>[52]СводПЗ!$C$88</f>
        <v>6382.8595199999982</v>
      </c>
      <c r="L88" s="49">
        <f>$K$88*L90</f>
        <v>466.31584305901521</v>
      </c>
      <c r="M88" s="49">
        <f t="shared" ref="M88:O88" si="104">$K$88*M90</f>
        <v>757.11847930455053</v>
      </c>
      <c r="N88" s="49">
        <f t="shared" si="104"/>
        <v>4913.4771253438885</v>
      </c>
      <c r="O88" s="49">
        <f t="shared" si="104"/>
        <v>245.94807229254408</v>
      </c>
      <c r="X88" s="15"/>
      <c r="Y88" s="15"/>
      <c r="AT88" s="93" t="e">
        <f>#REF!</f>
        <v>#REF!</v>
      </c>
      <c r="AU88" s="93" t="e">
        <f t="shared" si="75"/>
        <v>#REF!</v>
      </c>
      <c r="AV88" s="97" t="e">
        <f t="shared" si="76"/>
        <v>#REF!</v>
      </c>
      <c r="AX88" s="28" t="e">
        <f t="shared" si="44"/>
        <v>#REF!</v>
      </c>
      <c r="AY88" s="28" t="e">
        <f>#REF!</f>
        <v>#REF!</v>
      </c>
      <c r="AZ88" s="28" t="e">
        <f>#REF!</f>
        <v>#REF!</v>
      </c>
      <c r="BA88" s="28" t="e">
        <f>#REF!</f>
        <v>#REF!</v>
      </c>
      <c r="BB88" s="28" t="e">
        <f>#REF!</f>
        <v>#REF!</v>
      </c>
      <c r="BC88" s="28" t="e">
        <f>#REF!</f>
        <v>#REF!</v>
      </c>
      <c r="BD88" s="28" t="e">
        <f>#REF!</f>
        <v>#REF!</v>
      </c>
    </row>
    <row r="89" spans="1:56" s="4" customFormat="1" ht="19.5" customHeight="1">
      <c r="A89" s="13"/>
      <c r="B89" s="18" t="s">
        <v>158</v>
      </c>
      <c r="C89" s="209" t="s">
        <v>9</v>
      </c>
      <c r="D89" s="28">
        <f t="shared" si="91"/>
        <v>312.42857142857139</v>
      </c>
      <c r="E89" s="49">
        <v>29.280174410541569</v>
      </c>
      <c r="F89" s="49">
        <v>40.376540945260004</v>
      </c>
      <c r="G89" s="49">
        <v>221.94697116373825</v>
      </c>
      <c r="H89" s="50">
        <v>20.824884909031599</v>
      </c>
      <c r="I89" s="214"/>
      <c r="J89" s="214"/>
      <c r="K89" s="28">
        <f>[52]СводПЗ!$C$89</f>
        <v>312.42857142857144</v>
      </c>
      <c r="L89" s="49">
        <f>$K$89*L90</f>
        <v>22.825254452950592</v>
      </c>
      <c r="M89" s="49">
        <f t="shared" ref="M89:O89" si="105">$K$89*M90</f>
        <v>37.059478459474732</v>
      </c>
      <c r="N89" s="49">
        <f t="shared" si="105"/>
        <v>240.50515826144255</v>
      </c>
      <c r="O89" s="49">
        <f t="shared" si="105"/>
        <v>12.03868025470355</v>
      </c>
      <c r="X89" s="15"/>
      <c r="Y89" s="15"/>
      <c r="AT89" s="93" t="e">
        <f>#REF!</f>
        <v>#REF!</v>
      </c>
      <c r="AU89" s="93" t="e">
        <f t="shared" si="75"/>
        <v>#REF!</v>
      </c>
      <c r="AV89" s="97" t="e">
        <f t="shared" si="76"/>
        <v>#REF!</v>
      </c>
      <c r="AX89" s="28" t="e">
        <f t="shared" si="44"/>
        <v>#REF!</v>
      </c>
      <c r="AY89" s="28" t="e">
        <f>#REF!</f>
        <v>#REF!</v>
      </c>
      <c r="AZ89" s="28" t="e">
        <f>#REF!</f>
        <v>#REF!</v>
      </c>
      <c r="BA89" s="28" t="e">
        <f>#REF!</f>
        <v>#REF!</v>
      </c>
      <c r="BB89" s="28" t="e">
        <f>#REF!</f>
        <v>#REF!</v>
      </c>
      <c r="BC89" s="28" t="e">
        <f>#REF!</f>
        <v>#REF!</v>
      </c>
      <c r="BD89" s="28" t="e">
        <f>#REF!</f>
        <v>#REF!</v>
      </c>
    </row>
    <row r="90" spans="1:56" s="4" customFormat="1" ht="37.5" customHeight="1">
      <c r="A90" s="107"/>
      <c r="B90" s="110" t="s">
        <v>184</v>
      </c>
      <c r="C90" s="108"/>
      <c r="D90" s="108">
        <f t="shared" si="91"/>
        <v>1</v>
      </c>
      <c r="E90" s="230">
        <f>E26/$D$26</f>
        <v>9.3072622588082576E-2</v>
      </c>
      <c r="F90" s="230">
        <f t="shared" ref="F90:H90" si="106">F26/$D$26</f>
        <v>0.12834454139923065</v>
      </c>
      <c r="G90" s="230">
        <f t="shared" ref="G90" si="107">G26/$D$26</f>
        <v>0.71211449062049514</v>
      </c>
      <c r="H90" s="230">
        <f t="shared" si="106"/>
        <v>6.6468345392191611E-2</v>
      </c>
      <c r="I90" s="231"/>
      <c r="J90" s="231"/>
      <c r="K90" s="108">
        <f t="shared" si="96"/>
        <v>0.99999999999999989</v>
      </c>
      <c r="L90" s="230">
        <f>[52]СводПЗ!$E$90</f>
        <v>7.3057513109581224E-2</v>
      </c>
      <c r="M90" s="230">
        <f>[52]СводПЗ!$F$90</f>
        <v>0.11861744362886288</v>
      </c>
      <c r="N90" s="232">
        <f>[52]СводПЗ!$G$90+[52]СводПЗ!$H$90+[52]СводПЗ!$I$90</f>
        <v>0.76979245899867299</v>
      </c>
      <c r="O90" s="230">
        <f>[52]СводПЗ!$J$90</f>
        <v>3.8532584262882877E-2</v>
      </c>
      <c r="Q90" s="197"/>
      <c r="R90" s="197"/>
      <c r="S90" s="197"/>
      <c r="T90" s="197"/>
      <c r="U90" s="197"/>
      <c r="V90" s="197"/>
      <c r="W90" s="197"/>
      <c r="X90" s="240"/>
      <c r="Y90" s="240"/>
      <c r="Z90" s="240"/>
      <c r="AA90" s="240"/>
      <c r="AB90" s="240"/>
      <c r="AC90" s="240"/>
      <c r="AD90" s="240"/>
      <c r="AE90" s="240"/>
      <c r="AF90" s="197"/>
      <c r="AG90" s="197"/>
      <c r="AT90" s="151" t="e">
        <f>AY90+AZ90+BA90+BB90+BC90+BD90</f>
        <v>#REF!</v>
      </c>
      <c r="AU90" s="93"/>
      <c r="AV90" s="97"/>
      <c r="AX90" s="108" t="e">
        <f>SUM(AY90:BD90)</f>
        <v>#REF!</v>
      </c>
      <c r="AY90" s="109" t="e">
        <f>#REF!</f>
        <v>#REF!</v>
      </c>
      <c r="AZ90" s="109" t="e">
        <f>#REF!</f>
        <v>#REF!</v>
      </c>
      <c r="BA90" s="109" t="e">
        <f>#REF!</f>
        <v>#REF!</v>
      </c>
      <c r="BB90" s="109" t="e">
        <f>#REF!</f>
        <v>#REF!</v>
      </c>
      <c r="BC90" s="109" t="e">
        <f>#REF!</f>
        <v>#REF!</v>
      </c>
      <c r="BD90" s="109" t="e">
        <f>#REF!</f>
        <v>#REF!</v>
      </c>
    </row>
    <row r="91" spans="1:56" s="4" customFormat="1" ht="37.5" customHeight="1">
      <c r="A91" s="107"/>
      <c r="B91" s="110" t="s">
        <v>185</v>
      </c>
      <c r="C91" s="108"/>
      <c r="D91" s="108">
        <f t="shared" si="91"/>
        <v>0.99999999999999989</v>
      </c>
      <c r="E91" s="230">
        <f>(E8+E33+E34)/($D$8+$D$33+$D$34)</f>
        <v>0.16079218264292713</v>
      </c>
      <c r="F91" s="230">
        <f t="shared" ref="F91:H91" si="108">(F8+F33+F34)/($D$8+$D$33+$D$34)</f>
        <v>0.15534803384397219</v>
      </c>
      <c r="G91" s="230">
        <f t="shared" ref="G91" si="109">(G8+G33+G34)/($D$8+$D$33+$D$34)</f>
        <v>0.66071820773657308</v>
      </c>
      <c r="H91" s="230">
        <f t="shared" si="108"/>
        <v>2.3141575776527534E-2</v>
      </c>
      <c r="I91" s="231"/>
      <c r="J91" s="231"/>
      <c r="K91" s="108">
        <f t="shared" si="96"/>
        <v>1</v>
      </c>
      <c r="L91" s="230">
        <f>(L8+L33+L34)/($K$8+$K$33+$K$34)</f>
        <v>0.1441540075696161</v>
      </c>
      <c r="M91" s="230">
        <f t="shared" ref="M91:O91" si="110">(M8+M33+M34)/($K$8+$K$33+$K$34)</f>
        <v>0.13134858926447257</v>
      </c>
      <c r="N91" s="230">
        <f t="shared" si="110"/>
        <v>0.71306336489061084</v>
      </c>
      <c r="O91" s="230">
        <f t="shared" si="110"/>
        <v>1.1434038275300462E-2</v>
      </c>
      <c r="Q91" s="235"/>
      <c r="R91" s="235"/>
      <c r="S91" s="235"/>
      <c r="T91" s="235"/>
      <c r="U91" s="235"/>
      <c r="V91" s="235"/>
      <c r="W91" s="235"/>
      <c r="X91" s="240"/>
      <c r="Y91" s="240"/>
      <c r="Z91" s="240"/>
      <c r="AA91" s="240"/>
      <c r="AB91" s="240"/>
      <c r="AC91" s="240"/>
      <c r="AD91" s="240"/>
      <c r="AE91" s="240"/>
      <c r="AF91" s="196"/>
      <c r="AG91" s="196"/>
      <c r="AT91" s="151" t="e">
        <f t="shared" ref="AT91:AT92" si="111">AY91+AZ91+BA91+BB91+BC91+BD91</f>
        <v>#REF!</v>
      </c>
      <c r="AU91" s="93"/>
      <c r="AV91" s="97"/>
      <c r="AX91" s="108" t="e">
        <f t="shared" ref="AX91:AX92" si="112">SUM(AY91:BD91)</f>
        <v>#REF!</v>
      </c>
      <c r="AY91" s="109" t="e">
        <f>#REF!</f>
        <v>#REF!</v>
      </c>
      <c r="AZ91" s="109" t="e">
        <f>#REF!</f>
        <v>#REF!</v>
      </c>
      <c r="BA91" s="109" t="e">
        <f>#REF!</f>
        <v>#REF!</v>
      </c>
      <c r="BB91" s="109" t="e">
        <f>#REF!</f>
        <v>#REF!</v>
      </c>
      <c r="BC91" s="109" t="e">
        <f>#REF!</f>
        <v>#REF!</v>
      </c>
      <c r="BD91" s="109" t="e">
        <f>#REF!</f>
        <v>#REF!</v>
      </c>
    </row>
    <row r="92" spans="1:56" s="4" customFormat="1" ht="37.5" customHeight="1">
      <c r="A92" s="107"/>
      <c r="B92" s="150" t="s">
        <v>186</v>
      </c>
      <c r="C92" s="108"/>
      <c r="D92" s="108">
        <f t="shared" si="91"/>
        <v>1</v>
      </c>
      <c r="E92" s="230">
        <f>E32/$D$32</f>
        <v>0.44185279533405847</v>
      </c>
      <c r="F92" s="230">
        <f t="shared" ref="F92:H92" si="113">F32/$D$32</f>
        <v>0.33633393860302885</v>
      </c>
      <c r="G92" s="230">
        <f t="shared" ref="G92" si="114">G32/$D$32</f>
        <v>0.20118077713725555</v>
      </c>
      <c r="H92" s="230">
        <f t="shared" si="113"/>
        <v>2.0632488925657149E-2</v>
      </c>
      <c r="I92" s="231"/>
      <c r="J92" s="231"/>
      <c r="K92" s="108">
        <f t="shared" si="96"/>
        <v>1</v>
      </c>
      <c r="L92" s="230">
        <f>[52]СводПЗ!$E$92</f>
        <v>0.44306471617732801</v>
      </c>
      <c r="M92" s="230">
        <f>[52]СводПЗ!$F$92</f>
        <v>0.31325759293398353</v>
      </c>
      <c r="N92" s="230">
        <f>[52]СводПЗ!$G$92+[52]СводПЗ!$H$92+[52]СводПЗ!$I$92</f>
        <v>0.2399248319148011</v>
      </c>
      <c r="O92" s="233">
        <f>[52]СводПЗ!$J$92</f>
        <v>3.7528589738874203E-3</v>
      </c>
      <c r="Q92" s="236"/>
      <c r="R92" s="236"/>
      <c r="S92" s="236"/>
      <c r="T92" s="236"/>
      <c r="U92" s="236"/>
      <c r="V92" s="236"/>
      <c r="W92" s="236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T92" s="151" t="e">
        <f t="shared" si="111"/>
        <v>#REF!</v>
      </c>
      <c r="AU92" s="93"/>
      <c r="AV92" s="97"/>
      <c r="AX92" s="108" t="e">
        <f t="shared" si="112"/>
        <v>#REF!</v>
      </c>
      <c r="AY92" s="109" t="e">
        <f>#REF!</f>
        <v>#REF!</v>
      </c>
      <c r="AZ92" s="109" t="e">
        <f>#REF!</f>
        <v>#REF!</v>
      </c>
      <c r="BA92" s="109" t="e">
        <f>#REF!</f>
        <v>#REF!</v>
      </c>
      <c r="BB92" s="109" t="e">
        <f>#REF!</f>
        <v>#REF!</v>
      </c>
      <c r="BC92" s="109" t="e">
        <f>#REF!</f>
        <v>#REF!</v>
      </c>
      <c r="BD92" s="109" t="e">
        <f>#REF!</f>
        <v>#REF!</v>
      </c>
    </row>
    <row r="93" spans="1:56" s="4" customFormat="1" ht="37.5" customHeight="1">
      <c r="A93" s="107"/>
      <c r="B93" s="150" t="s">
        <v>202</v>
      </c>
      <c r="C93" s="108"/>
      <c r="D93" s="108">
        <f t="shared" ref="D93" si="115">SUM(E93:H93)</f>
        <v>1</v>
      </c>
      <c r="E93" s="230">
        <v>0.3585191221840619</v>
      </c>
      <c r="F93" s="230">
        <v>0.54476395599278193</v>
      </c>
      <c r="G93" s="230">
        <v>9.6716921823156166E-2</v>
      </c>
      <c r="H93" s="230">
        <v>0</v>
      </c>
      <c r="I93" s="231"/>
      <c r="J93" s="231"/>
      <c r="K93" s="108">
        <f t="shared" ref="K93" si="116">SUM(L93:O93)</f>
        <v>1</v>
      </c>
      <c r="L93" s="230">
        <f>[52]Вед.пути!$H$3</f>
        <v>0.3585191221840619</v>
      </c>
      <c r="M93" s="230">
        <f>[52]Вед.пути!$I$3</f>
        <v>0.54476395599278193</v>
      </c>
      <c r="N93" s="232">
        <f>[52]Вед.пути!$J$3+[52]Вед.пути!$K$3+[52]Вед.пути!$L$3</f>
        <v>9.6716921823156166E-2</v>
      </c>
      <c r="O93" s="233">
        <f>[52]Вед.пути!$M$3</f>
        <v>0</v>
      </c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T93" s="151" t="e">
        <f t="shared" ref="AT93" si="117">AY93+AZ93+BA93+BB93+BC93+BD93</f>
        <v>#REF!</v>
      </c>
      <c r="AU93" s="93"/>
      <c r="AV93" s="97"/>
      <c r="AX93" s="108" t="e">
        <f t="shared" ref="AX93" si="118">SUM(AY93:BD93)</f>
        <v>#REF!</v>
      </c>
      <c r="AY93" s="109" t="e">
        <f>#REF!</f>
        <v>#REF!</v>
      </c>
      <c r="AZ93" s="109" t="e">
        <f>#REF!</f>
        <v>#REF!</v>
      </c>
      <c r="BA93" s="109" t="e">
        <f>#REF!</f>
        <v>#REF!</v>
      </c>
      <c r="BB93" s="109" t="e">
        <f>#REF!</f>
        <v>#REF!</v>
      </c>
      <c r="BC93" s="109" t="e">
        <f>#REF!</f>
        <v>#REF!</v>
      </c>
      <c r="BD93" s="109" t="e">
        <f>#REF!</f>
        <v>#REF!</v>
      </c>
    </row>
    <row r="94" spans="1:56" s="4" customFormat="1" ht="39.75" customHeight="1">
      <c r="A94" s="19" t="s">
        <v>45</v>
      </c>
      <c r="B94" s="17" t="s">
        <v>274</v>
      </c>
      <c r="C94" s="211" t="s">
        <v>9</v>
      </c>
      <c r="D94" s="27">
        <f>D95+D135</f>
        <v>3278689.6052555027</v>
      </c>
      <c r="E94" s="27">
        <f>E95+E135</f>
        <v>1374586.8400986097</v>
      </c>
      <c r="F94" s="27">
        <f>F95+F135</f>
        <v>1058621.0469626</v>
      </c>
      <c r="G94" s="27">
        <f>G95+G135</f>
        <v>768102.16992851906</v>
      </c>
      <c r="H94" s="27">
        <f>H95+H135</f>
        <v>77379.548265773759</v>
      </c>
      <c r="I94" s="6"/>
      <c r="J94" s="6"/>
      <c r="K94" s="27">
        <f>K95+K135</f>
        <v>3265785.47149661</v>
      </c>
      <c r="L94" s="27">
        <f>L95+L135</f>
        <v>1373029.7971164046</v>
      </c>
      <c r="M94" s="27">
        <f>M95+M135</f>
        <v>984098.05570865341</v>
      </c>
      <c r="N94" s="27">
        <f>N95+N135</f>
        <v>889491.33523575694</v>
      </c>
      <c r="O94" s="27">
        <f>O95+O135</f>
        <v>19166.283435795147</v>
      </c>
      <c r="Q94" s="15"/>
      <c r="R94" s="15"/>
      <c r="S94" s="15"/>
      <c r="T94" s="15"/>
      <c r="U94" s="15"/>
      <c r="V94" s="15"/>
      <c r="W94" s="15"/>
      <c r="X94" s="317"/>
      <c r="Y94" s="317"/>
      <c r="Z94" s="317"/>
      <c r="AA94" s="317"/>
      <c r="AB94" s="317"/>
      <c r="AC94" s="317"/>
      <c r="AD94" s="317"/>
      <c r="AE94" s="317"/>
      <c r="AF94" s="15"/>
      <c r="AG94" s="241"/>
      <c r="AT94" s="99" t="e">
        <f>AT95+AT135</f>
        <v>#REF!</v>
      </c>
      <c r="AU94" s="91" t="e">
        <f>D94-AT94</f>
        <v>#REF!</v>
      </c>
      <c r="AV94" s="105" t="e">
        <f>100%-(AT94/D94)</f>
        <v>#REF!</v>
      </c>
      <c r="AX94" s="27" t="e">
        <f t="shared" ref="AX94:BD94" si="119">AX95+AX135</f>
        <v>#REF!</v>
      </c>
      <c r="AY94" s="27" t="e">
        <f t="shared" si="119"/>
        <v>#REF!</v>
      </c>
      <c r="AZ94" s="27" t="e">
        <f t="shared" si="119"/>
        <v>#REF!</v>
      </c>
      <c r="BA94" s="27" t="e">
        <f t="shared" si="119"/>
        <v>#REF!</v>
      </c>
      <c r="BB94" s="27" t="e">
        <f t="shared" si="119"/>
        <v>#REF!</v>
      </c>
      <c r="BC94" s="27" t="e">
        <f t="shared" si="119"/>
        <v>#REF!</v>
      </c>
      <c r="BD94" s="27" t="e">
        <f t="shared" si="119"/>
        <v>#REF!</v>
      </c>
    </row>
    <row r="95" spans="1:56" s="4" customFormat="1" ht="42" customHeight="1">
      <c r="A95" s="19" t="s">
        <v>46</v>
      </c>
      <c r="B95" s="17" t="s">
        <v>47</v>
      </c>
      <c r="C95" s="211" t="s">
        <v>9</v>
      </c>
      <c r="D95" s="27">
        <f>D97+D98+D99+D100+D101+D107+D108+D109+D112+D113+D114+D117</f>
        <v>218490.58824175212</v>
      </c>
      <c r="E95" s="27">
        <f>E97+E98+E99+E100+E101+E107+E108+E109+E112+E113+E114+E117</f>
        <v>22429.350152546129</v>
      </c>
      <c r="F95" s="27">
        <f>F97+F98+F99+F100+F101+F107+F108+F109+F112+F113+F114+F117</f>
        <v>29372.258661248019</v>
      </c>
      <c r="G95" s="27">
        <f>G97+G98+G99+G100+G101+G107+G108+G109+G112+G113+G114+G117</f>
        <v>152448.95349102729</v>
      </c>
      <c r="H95" s="27">
        <f>H97+H98+H99+H100+H101+H107+H108+H109+H112+H113+H114+H117</f>
        <v>14240.025936930659</v>
      </c>
      <c r="I95" s="6"/>
      <c r="J95" s="6"/>
      <c r="K95" s="27">
        <f>K97+K98+K99+K100+K101+K107+K108+K109+K112+K113+K114+K117</f>
        <v>205400.59825860927</v>
      </c>
      <c r="L95" s="27">
        <f>L97+L98+L99+L100+L101+L107+L108+L109+L112+L113+L114+L117</f>
        <v>17081.241861821803</v>
      </c>
      <c r="M95" s="27">
        <f>M97+M98+M99+M100+M101+M107+M108+M109+M112+M113+M114+M117</f>
        <v>25409.256866543037</v>
      </c>
      <c r="N95" s="27">
        <f>N97+N98+N99+N100+N101+N107+N108+N109+N112+N113+N114+N117</f>
        <v>155229.00892952981</v>
      </c>
      <c r="O95" s="27">
        <f>O97+O98+O99+O100+O101+O107+O108+O109+O112+O113+O114+O117</f>
        <v>7681.0906007146014</v>
      </c>
      <c r="Q95" s="15"/>
      <c r="R95" s="15"/>
      <c r="S95" s="15"/>
      <c r="T95" s="15"/>
      <c r="U95" s="15"/>
      <c r="V95" s="15"/>
      <c r="W95" s="15"/>
      <c r="X95" s="317"/>
      <c r="Y95" s="317"/>
      <c r="Z95" s="317"/>
      <c r="AA95" s="317"/>
      <c r="AB95" s="317"/>
      <c r="AC95" s="317"/>
      <c r="AD95" s="317"/>
      <c r="AE95" s="317"/>
      <c r="AF95" s="15"/>
      <c r="AG95" s="15"/>
      <c r="AT95" s="99" t="e">
        <f>AT97+AT98+AT99+AT100+AT101+AT107+AT108+AT109+AT112+AT113+AT114+AT117</f>
        <v>#REF!</v>
      </c>
      <c r="AU95" s="91" t="e">
        <f>D95-AT95</f>
        <v>#REF!</v>
      </c>
      <c r="AV95" s="98" t="e">
        <f>100%-(AT95/D95)</f>
        <v>#REF!</v>
      </c>
      <c r="AX95" s="27" t="e">
        <f t="shared" ref="AX95:BD95" si="120">AX97+AX98+AX99+AX100+AX101+AX107+AX108+AX109+AX112+AX113+AX114+AX117</f>
        <v>#REF!</v>
      </c>
      <c r="AY95" s="27" t="e">
        <f t="shared" si="120"/>
        <v>#REF!</v>
      </c>
      <c r="AZ95" s="27" t="e">
        <f t="shared" si="120"/>
        <v>#REF!</v>
      </c>
      <c r="BA95" s="27" t="e">
        <f t="shared" si="120"/>
        <v>#REF!</v>
      </c>
      <c r="BB95" s="27" t="e">
        <f t="shared" si="120"/>
        <v>#REF!</v>
      </c>
      <c r="BC95" s="27" t="e">
        <f t="shared" si="120"/>
        <v>#REF!</v>
      </c>
      <c r="BD95" s="27" t="e">
        <f t="shared" si="120"/>
        <v>#REF!</v>
      </c>
    </row>
    <row r="96" spans="1:56" s="4" customFormat="1">
      <c r="A96" s="13"/>
      <c r="B96" s="12" t="s">
        <v>7</v>
      </c>
      <c r="C96" s="211"/>
      <c r="D96" s="25"/>
      <c r="E96" s="25"/>
      <c r="F96" s="25"/>
      <c r="G96" s="25"/>
      <c r="H96" s="33"/>
      <c r="K96" s="25"/>
      <c r="L96" s="25"/>
      <c r="M96" s="25"/>
      <c r="N96" s="25"/>
      <c r="O96" s="33"/>
      <c r="Q96" s="15"/>
      <c r="R96" s="15"/>
      <c r="S96" s="15"/>
      <c r="T96" s="15"/>
      <c r="U96" s="15"/>
      <c r="V96" s="15"/>
      <c r="W96" s="15"/>
      <c r="X96" s="317"/>
      <c r="Y96" s="317"/>
      <c r="Z96" s="317"/>
      <c r="AA96" s="317"/>
      <c r="AB96" s="317"/>
      <c r="AC96" s="317"/>
      <c r="AD96" s="317"/>
      <c r="AE96" s="317"/>
      <c r="AF96" s="15"/>
      <c r="AG96" s="15"/>
      <c r="AT96" s="92"/>
      <c r="AU96" s="92"/>
      <c r="AV96" s="97"/>
      <c r="AX96" s="25"/>
      <c r="AY96" s="25"/>
      <c r="AZ96" s="25"/>
      <c r="BA96" s="25"/>
      <c r="BB96" s="32"/>
      <c r="BC96" s="33"/>
      <c r="BD96" s="33"/>
    </row>
    <row r="97" spans="1:56" s="4" customFormat="1" ht="39.75" customHeight="1">
      <c r="A97" s="13" t="s">
        <v>49</v>
      </c>
      <c r="B97" s="12" t="s">
        <v>48</v>
      </c>
      <c r="C97" s="211" t="s">
        <v>9</v>
      </c>
      <c r="D97" s="25">
        <f>SUM(E97:H97)</f>
        <v>131547.80799999999</v>
      </c>
      <c r="E97" s="25">
        <v>12328.394755807522</v>
      </c>
      <c r="F97" s="25">
        <v>17000.511290259903</v>
      </c>
      <c r="G97" s="33">
        <v>93450.600293462659</v>
      </c>
      <c r="H97" s="33">
        <v>8768.3016604699133</v>
      </c>
      <c r="K97" s="25">
        <f>L97+M97+N97+O97</f>
        <v>131541.34399999998</v>
      </c>
      <c r="L97" s="321">
        <f>'[53]Свод АУП'!$E$12</f>
        <v>9610.0834637319331</v>
      </c>
      <c r="M97" s="321">
        <f>'[53]Свод АУП'!$F$12</f>
        <v>15603.097956784859</v>
      </c>
      <c r="N97" s="25">
        <v>101259.53465775032</v>
      </c>
      <c r="O97" s="25">
        <v>5068.627921732862</v>
      </c>
      <c r="Q97" s="15"/>
      <c r="R97" s="15"/>
      <c r="S97" s="15"/>
      <c r="T97" s="15"/>
      <c r="U97" s="15"/>
      <c r="V97" s="15"/>
      <c r="W97" s="15"/>
      <c r="X97" s="15">
        <v>9610.0834637319367</v>
      </c>
      <c r="Y97" s="15">
        <v>15603.097956784799</v>
      </c>
      <c r="Z97" s="15" t="s">
        <v>277</v>
      </c>
      <c r="AA97" s="15"/>
      <c r="AF97" s="15"/>
      <c r="AG97" s="15"/>
      <c r="AT97" s="92" t="e">
        <f>#REF!</f>
        <v>#REF!</v>
      </c>
      <c r="AU97" s="92" t="e">
        <f>D97-AT97</f>
        <v>#REF!</v>
      </c>
      <c r="AV97" s="97" t="e">
        <f>100%-(AT97/D97)</f>
        <v>#REF!</v>
      </c>
      <c r="AX97" s="25" t="e">
        <f t="shared" ref="AX97:AX99" si="121">SUM(AY97:BD97)</f>
        <v>#REF!</v>
      </c>
      <c r="AY97" s="25" t="e">
        <f>#REF!</f>
        <v>#REF!</v>
      </c>
      <c r="AZ97" s="25" t="e">
        <f>#REF!</f>
        <v>#REF!</v>
      </c>
      <c r="BA97" s="25" t="e">
        <f>#REF!</f>
        <v>#REF!</v>
      </c>
      <c r="BB97" s="25" t="e">
        <f>#REF!</f>
        <v>#REF!</v>
      </c>
      <c r="BC97" s="25" t="e">
        <f>#REF!</f>
        <v>#REF!</v>
      </c>
      <c r="BD97" s="25" t="e">
        <f>#REF!</f>
        <v>#REF!</v>
      </c>
    </row>
    <row r="98" spans="1:56" s="4" customFormat="1" ht="24.75" customHeight="1">
      <c r="A98" s="13" t="s">
        <v>50</v>
      </c>
      <c r="B98" s="12" t="s">
        <v>20</v>
      </c>
      <c r="C98" s="211" t="s">
        <v>9</v>
      </c>
      <c r="D98" s="25">
        <f>SUM(E98:H98)</f>
        <v>13023.232991999999</v>
      </c>
      <c r="E98" s="25">
        <v>1220.5110808249447</v>
      </c>
      <c r="F98" s="25">
        <v>1683.0506177357304</v>
      </c>
      <c r="G98" s="33">
        <v>9251.6094290528017</v>
      </c>
      <c r="H98" s="33">
        <v>868.06186438652139</v>
      </c>
      <c r="K98" s="25">
        <f>L98+M98+N98+O98</f>
        <v>13022.593055999998</v>
      </c>
      <c r="L98" s="321">
        <f>'[53]Свод АУП'!$E$13</f>
        <v>951.39826290946155</v>
      </c>
      <c r="M98" s="321">
        <f>'[53]Свод АУП'!$F$13</f>
        <v>1544.7066977217012</v>
      </c>
      <c r="N98" s="25">
        <v>10024.693931117283</v>
      </c>
      <c r="O98" s="25">
        <v>501.79416425155341</v>
      </c>
      <c r="Q98" s="15"/>
      <c r="R98" s="15"/>
      <c r="S98" s="15"/>
      <c r="T98" s="15"/>
      <c r="U98" s="15"/>
      <c r="V98" s="15"/>
      <c r="W98" s="15"/>
      <c r="X98" s="15">
        <v>8408.8230307654449</v>
      </c>
      <c r="Y98" s="15">
        <v>13652.710712186761</v>
      </c>
      <c r="Z98" s="15" t="s">
        <v>278</v>
      </c>
      <c r="AA98" s="15">
        <f>X97-X98</f>
        <v>1201.2604329664919</v>
      </c>
      <c r="AB98" s="15">
        <f>Y97-Y98</f>
        <v>1950.3872445980378</v>
      </c>
      <c r="AF98" s="15"/>
      <c r="AG98" s="15"/>
      <c r="AT98" s="92" t="e">
        <f>#REF!</f>
        <v>#REF!</v>
      </c>
      <c r="AU98" s="92" t="e">
        <f>D98-AT98</f>
        <v>#REF!</v>
      </c>
      <c r="AV98" s="97" t="e">
        <f>100%-(AT98/D98)</f>
        <v>#REF!</v>
      </c>
      <c r="AX98" s="25" t="e">
        <f t="shared" si="121"/>
        <v>#REF!</v>
      </c>
      <c r="AY98" s="25" t="e">
        <f>#REF!</f>
        <v>#REF!</v>
      </c>
      <c r="AZ98" s="25" t="e">
        <f>#REF!</f>
        <v>#REF!</v>
      </c>
      <c r="BA98" s="25" t="e">
        <f>#REF!</f>
        <v>#REF!</v>
      </c>
      <c r="BB98" s="25" t="e">
        <f>#REF!</f>
        <v>#REF!</v>
      </c>
      <c r="BC98" s="25" t="e">
        <f>#REF!</f>
        <v>#REF!</v>
      </c>
      <c r="BD98" s="25" t="e">
        <f>#REF!</f>
        <v>#REF!</v>
      </c>
    </row>
    <row r="99" spans="1:56" s="4" customFormat="1" ht="25.5" customHeight="1">
      <c r="A99" s="207" t="s">
        <v>51</v>
      </c>
      <c r="B99" s="59" t="s">
        <v>161</v>
      </c>
      <c r="C99" s="208"/>
      <c r="D99" s="25">
        <f>SUM(E99:H99)</f>
        <v>1246.3063199999999</v>
      </c>
      <c r="E99" s="60">
        <v>116.80130998167428</v>
      </c>
      <c r="F99" s="60">
        <v>161.06573713704353</v>
      </c>
      <c r="G99" s="33">
        <v>885.36689074694698</v>
      </c>
      <c r="H99" s="61">
        <v>83.072382134335129</v>
      </c>
      <c r="K99" s="25">
        <f>'[53]Свод АУП'!$C$14</f>
        <v>623.15316000000007</v>
      </c>
      <c r="L99" s="60">
        <f>$K$99*L90</f>
        <v>45.526020155976973</v>
      </c>
      <c r="M99" s="60">
        <f t="shared" ref="M99:O99" si="122">$K$99*M90</f>
        <v>73.916834828447776</v>
      </c>
      <c r="N99" s="60">
        <f t="shared" ref="N99" si="123">$K$99*N90</f>
        <v>479.69860336919356</v>
      </c>
      <c r="O99" s="60">
        <f t="shared" si="122"/>
        <v>24.011701646381738</v>
      </c>
      <c r="Q99" s="15"/>
      <c r="R99" s="15"/>
      <c r="S99" s="15"/>
      <c r="T99" s="15"/>
      <c r="U99" s="15"/>
      <c r="V99" s="15"/>
      <c r="W99" s="15"/>
      <c r="X99" s="15">
        <v>7207.5625977989512</v>
      </c>
      <c r="Y99" s="15">
        <v>11702.323467588649</v>
      </c>
      <c r="Z99" s="15" t="s">
        <v>279</v>
      </c>
      <c r="AA99" s="15">
        <f>X98-X99</f>
        <v>1201.2604329664937</v>
      </c>
      <c r="AB99" s="15">
        <f>Y98-Y99</f>
        <v>1950.3872445981124</v>
      </c>
      <c r="AF99" s="15"/>
      <c r="AG99" s="15"/>
      <c r="AT99" s="92" t="e">
        <f>#REF!</f>
        <v>#REF!</v>
      </c>
      <c r="AU99" s="92" t="e">
        <f>D99-AT99</f>
        <v>#REF!</v>
      </c>
      <c r="AV99" s="97" t="e">
        <f>100%-(AT99/D99)</f>
        <v>#REF!</v>
      </c>
      <c r="AX99" s="25" t="e">
        <f t="shared" si="121"/>
        <v>#REF!</v>
      </c>
      <c r="AY99" s="25" t="e">
        <f>#REF!</f>
        <v>#REF!</v>
      </c>
      <c r="AZ99" s="25" t="e">
        <f>#REF!</f>
        <v>#REF!</v>
      </c>
      <c r="BA99" s="25" t="e">
        <f>#REF!</f>
        <v>#REF!</v>
      </c>
      <c r="BB99" s="25" t="e">
        <f>#REF!</f>
        <v>#REF!</v>
      </c>
      <c r="BC99" s="25" t="e">
        <f>#REF!</f>
        <v>#REF!</v>
      </c>
      <c r="BD99" s="25" t="e">
        <f>#REF!</f>
        <v>#REF!</v>
      </c>
    </row>
    <row r="100" spans="1:56" s="4" customFormat="1" ht="39.75" customHeight="1">
      <c r="A100" s="13" t="s">
        <v>51</v>
      </c>
      <c r="B100" s="12" t="s">
        <v>22</v>
      </c>
      <c r="C100" s="43" t="s">
        <v>9</v>
      </c>
      <c r="D100" s="25">
        <f>SUM(E100:H100)</f>
        <v>5232.0325734999969</v>
      </c>
      <c r="E100" s="35">
        <v>2311.7882178798213</v>
      </c>
      <c r="F100" s="35">
        <v>1759.710122344595</v>
      </c>
      <c r="G100" s="33">
        <v>1052.5843791441646</v>
      </c>
      <c r="H100" s="35">
        <v>107.94985413141616</v>
      </c>
      <c r="K100" s="25">
        <f>'[53]Свод АУП'!$C$15</f>
        <v>5232.0325435000004</v>
      </c>
      <c r="L100" s="35">
        <f>$K$100*L92</f>
        <v>2318.1290139163712</v>
      </c>
      <c r="M100" s="35">
        <f>$K$100*M92</f>
        <v>1638.9739207290777</v>
      </c>
      <c r="N100" s="35">
        <f t="shared" ref="N100" si="124">$K$100*N92</f>
        <v>1255.2945285720068</v>
      </c>
      <c r="O100" s="35">
        <f t="shared" ref="O100" si="125">$K$100*O92</f>
        <v>19.635080282545001</v>
      </c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F100" s="15"/>
      <c r="AG100" s="15"/>
      <c r="AT100" s="92" t="e">
        <f>#REF!</f>
        <v>#REF!</v>
      </c>
      <c r="AU100" s="92" t="e">
        <f>D100-AT100</f>
        <v>#REF!</v>
      </c>
      <c r="AV100" s="97" t="e">
        <f>100%-(AT100/D100)</f>
        <v>#REF!</v>
      </c>
      <c r="AX100" s="25" t="e">
        <f>SUM(AY100:BD100)</f>
        <v>#REF!</v>
      </c>
      <c r="AY100" s="25" t="e">
        <f>#REF!</f>
        <v>#REF!</v>
      </c>
      <c r="AZ100" s="25" t="e">
        <f>#REF!</f>
        <v>#REF!</v>
      </c>
      <c r="BA100" s="25" t="e">
        <f>#REF!</f>
        <v>#REF!</v>
      </c>
      <c r="BB100" s="25" t="e">
        <f>#REF!</f>
        <v>#REF!</v>
      </c>
      <c r="BC100" s="25" t="e">
        <f>#REF!</f>
        <v>#REF!</v>
      </c>
      <c r="BD100" s="25" t="e">
        <f>#REF!</f>
        <v>#REF!</v>
      </c>
    </row>
    <row r="101" spans="1:56" s="4" customFormat="1" ht="30.75" customHeight="1">
      <c r="A101" s="13" t="s">
        <v>54</v>
      </c>
      <c r="B101" s="12" t="s">
        <v>39</v>
      </c>
      <c r="C101" s="211" t="s">
        <v>9</v>
      </c>
      <c r="D101" s="25">
        <f>SUM(D103:D106)</f>
        <v>25588.812061714285</v>
      </c>
      <c r="E101" s="25">
        <f t="shared" ref="E101:AT101" si="126">SUM(E103:E106)</f>
        <v>2398.131760804275</v>
      </c>
      <c r="F101" s="25">
        <f t="shared" si="126"/>
        <v>3306.9565732293504</v>
      </c>
      <c r="G101" s="25">
        <f t="shared" ref="G101" si="127">SUM(G103:G106)</f>
        <v>18178.104860278614</v>
      </c>
      <c r="H101" s="25">
        <f t="shared" si="126"/>
        <v>1705.618867402047</v>
      </c>
      <c r="K101" s="25">
        <f>SUM(K103:K106)</f>
        <v>25588.812061714285</v>
      </c>
      <c r="L101" s="25">
        <f t="shared" ref="L101:O101" si="128">SUM(L103:L106)</f>
        <v>1869.4549726573016</v>
      </c>
      <c r="M101" s="25">
        <f t="shared" si="128"/>
        <v>3035.2794722599615</v>
      </c>
      <c r="N101" s="25">
        <f t="shared" ref="N101" si="129">SUM(N103:N106)</f>
        <v>19698.074559841945</v>
      </c>
      <c r="O101" s="25">
        <f t="shared" si="128"/>
        <v>986.0030569550795</v>
      </c>
      <c r="Q101" s="15"/>
      <c r="R101" s="15"/>
      <c r="S101" s="15"/>
      <c r="T101" s="15"/>
      <c r="U101" s="15"/>
      <c r="V101" s="15"/>
      <c r="W101" s="15"/>
      <c r="AA101" s="15"/>
      <c r="AF101" s="15"/>
      <c r="AG101" s="15"/>
      <c r="AT101" s="101" t="e">
        <f t="shared" si="126"/>
        <v>#REF!</v>
      </c>
      <c r="AU101" s="92" t="e">
        <f>D101-AT101</f>
        <v>#REF!</v>
      </c>
      <c r="AV101" s="97" t="e">
        <f>100%-(AT101/D101)</f>
        <v>#REF!</v>
      </c>
      <c r="AX101" s="25" t="e">
        <f>SUM(AX103:AX106)</f>
        <v>#REF!</v>
      </c>
      <c r="AY101" s="25" t="e">
        <f t="shared" ref="AY101:BD101" si="130">SUM(AY103:AY106)</f>
        <v>#REF!</v>
      </c>
      <c r="AZ101" s="25" t="e">
        <f t="shared" si="130"/>
        <v>#REF!</v>
      </c>
      <c r="BA101" s="25" t="e">
        <f t="shared" si="130"/>
        <v>#REF!</v>
      </c>
      <c r="BB101" s="25" t="e">
        <f t="shared" si="130"/>
        <v>#REF!</v>
      </c>
      <c r="BC101" s="25" t="e">
        <f t="shared" si="130"/>
        <v>#REF!</v>
      </c>
      <c r="BD101" s="25" t="e">
        <f t="shared" si="130"/>
        <v>#REF!</v>
      </c>
    </row>
    <row r="102" spans="1:56" s="4" customFormat="1">
      <c r="A102" s="13"/>
      <c r="B102" s="12" t="s">
        <v>7</v>
      </c>
      <c r="C102" s="211"/>
      <c r="D102" s="25"/>
      <c r="E102" s="25"/>
      <c r="F102" s="25"/>
      <c r="G102" s="25"/>
      <c r="H102" s="33"/>
      <c r="K102" s="25"/>
      <c r="L102" s="25"/>
      <c r="M102" s="25"/>
      <c r="N102" s="25"/>
      <c r="O102" s="33"/>
      <c r="Q102" s="15"/>
      <c r="R102" s="15"/>
      <c r="S102" s="15"/>
      <c r="T102" s="15"/>
      <c r="U102" s="15"/>
      <c r="V102" s="15"/>
      <c r="W102" s="15"/>
      <c r="Z102" s="15"/>
      <c r="AA102" s="15"/>
      <c r="AF102" s="15"/>
      <c r="AG102" s="15"/>
      <c r="AT102" s="92"/>
      <c r="AU102" s="92"/>
      <c r="AV102" s="97"/>
      <c r="AX102" s="25"/>
      <c r="AY102" s="25"/>
      <c r="AZ102" s="25"/>
      <c r="BA102" s="25"/>
      <c r="BB102" s="32"/>
      <c r="BC102" s="33"/>
      <c r="BD102" s="33"/>
    </row>
    <row r="103" spans="1:56" s="4" customFormat="1" ht="36" customHeight="1">
      <c r="A103" s="9"/>
      <c r="B103" s="18" t="s">
        <v>52</v>
      </c>
      <c r="C103" s="9" t="s">
        <v>9</v>
      </c>
      <c r="D103" s="28">
        <f t="shared" ref="D103:D113" si="131">SUM(E103:H103)</f>
        <v>18023.565714285716</v>
      </c>
      <c r="E103" s="28">
        <v>1689.13215971605</v>
      </c>
      <c r="F103" s="28">
        <v>2329.2659685857752</v>
      </c>
      <c r="G103" s="29">
        <v>12803.809208502145</v>
      </c>
      <c r="H103" s="29">
        <v>1201.3583774817446</v>
      </c>
      <c r="I103" s="214"/>
      <c r="J103" s="214"/>
      <c r="K103" s="28">
        <f>'[53]Свод АУП'!$C$18</f>
        <v>18023.565714285716</v>
      </c>
      <c r="L103" s="28">
        <f>$K$103*L90</f>
        <v>1316.7568884528273</v>
      </c>
      <c r="M103" s="28">
        <f t="shared" ref="M103:O103" si="132">$K$103*M90</f>
        <v>2137.9092901053918</v>
      </c>
      <c r="N103" s="28">
        <f t="shared" ref="N103" si="133">$K$103*N90</f>
        <v>13874.404971124175</v>
      </c>
      <c r="O103" s="28">
        <f t="shared" si="132"/>
        <v>694.49456460332112</v>
      </c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F103" s="15"/>
      <c r="AG103" s="15"/>
      <c r="AT103" s="93" t="e">
        <f>#REF!</f>
        <v>#REF!</v>
      </c>
      <c r="AU103" s="93" t="e">
        <f t="shared" ref="AU103:AU140" si="134">D103-AT103</f>
        <v>#REF!</v>
      </c>
      <c r="AV103" s="97" t="e">
        <f t="shared" ref="AV103:AV136" si="135">100%-(AT103/D103)</f>
        <v>#REF!</v>
      </c>
      <c r="AX103" s="28" t="e">
        <f t="shared" ref="AX103:AX113" si="136">SUM(AY103:BD103)</f>
        <v>#REF!</v>
      </c>
      <c r="AY103" s="28" t="e">
        <f>#REF!</f>
        <v>#REF!</v>
      </c>
      <c r="AZ103" s="28" t="e">
        <f>#REF!</f>
        <v>#REF!</v>
      </c>
      <c r="BA103" s="28" t="e">
        <f>#REF!</f>
        <v>#REF!</v>
      </c>
      <c r="BB103" s="28" t="e">
        <f>#REF!</f>
        <v>#REF!</v>
      </c>
      <c r="BC103" s="28" t="e">
        <f>#REF!</f>
        <v>#REF!</v>
      </c>
      <c r="BD103" s="28" t="e">
        <f>#REF!</f>
        <v>#REF!</v>
      </c>
    </row>
    <row r="104" spans="1:56" s="4" customFormat="1" ht="20.25" customHeight="1">
      <c r="A104" s="9"/>
      <c r="B104" s="18" t="s">
        <v>53</v>
      </c>
      <c r="C104" s="9" t="s">
        <v>9</v>
      </c>
      <c r="D104" s="28">
        <f t="shared" si="131"/>
        <v>4719.9199999999992</v>
      </c>
      <c r="E104" s="28">
        <v>442.34136516992385</v>
      </c>
      <c r="F104" s="28">
        <v>609.97636121100174</v>
      </c>
      <c r="G104" s="29">
        <v>3352.9966332629438</v>
      </c>
      <c r="H104" s="29">
        <v>314.6056403561293</v>
      </c>
      <c r="I104" s="214"/>
      <c r="J104" s="214"/>
      <c r="K104" s="28">
        <f>'[53]Свод АУП'!$C$19</f>
        <v>4719.92</v>
      </c>
      <c r="L104" s="28">
        <f>$K$104*L90</f>
        <v>344.82561727617463</v>
      </c>
      <c r="M104" s="28">
        <f t="shared" ref="M104:O104" si="137">$K$104*M90</f>
        <v>559.8648445327425</v>
      </c>
      <c r="N104" s="28">
        <f t="shared" ref="N104" si="138">$K$104*N90</f>
        <v>3633.3588230770165</v>
      </c>
      <c r="O104" s="28">
        <f t="shared" si="137"/>
        <v>181.87071511406614</v>
      </c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F104" s="15"/>
      <c r="AG104" s="15"/>
      <c r="AT104" s="93" t="e">
        <f>#REF!</f>
        <v>#REF!</v>
      </c>
      <c r="AU104" s="93" t="e">
        <f t="shared" si="134"/>
        <v>#REF!</v>
      </c>
      <c r="AV104" s="97" t="e">
        <f t="shared" si="135"/>
        <v>#REF!</v>
      </c>
      <c r="AX104" s="28" t="e">
        <f t="shared" si="136"/>
        <v>#REF!</v>
      </c>
      <c r="AY104" s="28" t="e">
        <f>#REF!</f>
        <v>#REF!</v>
      </c>
      <c r="AZ104" s="28" t="e">
        <f>#REF!</f>
        <v>#REF!</v>
      </c>
      <c r="BA104" s="28" t="e">
        <f>#REF!</f>
        <v>#REF!</v>
      </c>
      <c r="BB104" s="28" t="e">
        <f>#REF!</f>
        <v>#REF!</v>
      </c>
      <c r="BC104" s="28" t="e">
        <f>#REF!</f>
        <v>#REF!</v>
      </c>
      <c r="BD104" s="28" t="e">
        <f>#REF!</f>
        <v>#REF!</v>
      </c>
    </row>
    <row r="105" spans="1:56" s="4" customFormat="1" ht="20.25" hidden="1" customHeight="1">
      <c r="A105" s="9"/>
      <c r="B105" s="18" t="s">
        <v>42</v>
      </c>
      <c r="C105" s="9" t="s">
        <v>9</v>
      </c>
      <c r="D105" s="28">
        <f t="shared" si="131"/>
        <v>0</v>
      </c>
      <c r="E105" s="28">
        <v>0</v>
      </c>
      <c r="F105" s="28">
        <v>0</v>
      </c>
      <c r="G105" s="29">
        <v>0</v>
      </c>
      <c r="H105" s="29">
        <v>0</v>
      </c>
      <c r="I105" s="214"/>
      <c r="J105" s="214"/>
      <c r="K105" s="28">
        <v>0</v>
      </c>
      <c r="L105" s="28"/>
      <c r="M105" s="28"/>
      <c r="N105" s="28"/>
      <c r="O105" s="29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F105" s="15"/>
      <c r="AG105" s="15"/>
      <c r="AT105" s="93" t="e">
        <f>#REF!</f>
        <v>#REF!</v>
      </c>
      <c r="AU105" s="93" t="e">
        <f t="shared" si="134"/>
        <v>#REF!</v>
      </c>
      <c r="AV105" s="97" t="e">
        <f t="shared" si="135"/>
        <v>#REF!</v>
      </c>
      <c r="AX105" s="28" t="e">
        <f t="shared" si="136"/>
        <v>#REF!</v>
      </c>
      <c r="AY105" s="28" t="e">
        <f>#REF!</f>
        <v>#REF!</v>
      </c>
      <c r="AZ105" s="28" t="e">
        <f>#REF!</f>
        <v>#REF!</v>
      </c>
      <c r="BA105" s="28" t="e">
        <f>#REF!</f>
        <v>#REF!</v>
      </c>
      <c r="BB105" s="28" t="e">
        <f>#REF!</f>
        <v>#REF!</v>
      </c>
      <c r="BC105" s="28" t="e">
        <f>#REF!</f>
        <v>#REF!</v>
      </c>
      <c r="BD105" s="28" t="e">
        <f>#REF!</f>
        <v>#REF!</v>
      </c>
    </row>
    <row r="106" spans="1:56" s="4" customFormat="1" ht="20.25" customHeight="1">
      <c r="A106" s="9"/>
      <c r="B106" s="18" t="s">
        <v>28</v>
      </c>
      <c r="C106" s="9" t="s">
        <v>9</v>
      </c>
      <c r="D106" s="28">
        <f t="shared" si="131"/>
        <v>2845.3263474285718</v>
      </c>
      <c r="E106" s="28">
        <v>266.65823591830105</v>
      </c>
      <c r="F106" s="28">
        <v>367.7142434325732</v>
      </c>
      <c r="G106" s="29">
        <v>2021.2990185135241</v>
      </c>
      <c r="H106" s="29">
        <v>189.65484956417319</v>
      </c>
      <c r="I106" s="214"/>
      <c r="J106" s="214"/>
      <c r="K106" s="28">
        <f>'[53]Свод АУП'!$C$21</f>
        <v>2845.3263474285718</v>
      </c>
      <c r="L106" s="28">
        <f>$K$106*L90</f>
        <v>207.87246692829976</v>
      </c>
      <c r="M106" s="28">
        <f t="shared" ref="M106:O106" si="139">$K$106*M90</f>
        <v>337.50533762182692</v>
      </c>
      <c r="N106" s="28">
        <f t="shared" ref="N106" si="140">$K$106*N90</f>
        <v>2190.3107656407528</v>
      </c>
      <c r="O106" s="28">
        <f t="shared" si="139"/>
        <v>109.63777723769221</v>
      </c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F106" s="15"/>
      <c r="AG106" s="15"/>
      <c r="AT106" s="93" t="e">
        <f>#REF!</f>
        <v>#REF!</v>
      </c>
      <c r="AU106" s="93" t="e">
        <f t="shared" si="134"/>
        <v>#REF!</v>
      </c>
      <c r="AV106" s="97" t="e">
        <f t="shared" si="135"/>
        <v>#REF!</v>
      </c>
      <c r="AX106" s="28" t="e">
        <f t="shared" si="136"/>
        <v>#REF!</v>
      </c>
      <c r="AY106" s="28" t="e">
        <f>#REF!</f>
        <v>#REF!</v>
      </c>
      <c r="AZ106" s="28" t="e">
        <f>#REF!</f>
        <v>#REF!</v>
      </c>
      <c r="BA106" s="28" t="e">
        <f>#REF!</f>
        <v>#REF!</v>
      </c>
      <c r="BB106" s="28" t="e">
        <f>#REF!</f>
        <v>#REF!</v>
      </c>
      <c r="BC106" s="28" t="e">
        <f>#REF!</f>
        <v>#REF!</v>
      </c>
      <c r="BD106" s="28" t="e">
        <f>#REF!</f>
        <v>#REF!</v>
      </c>
    </row>
    <row r="107" spans="1:56" s="4" customFormat="1" ht="25.5" customHeight="1">
      <c r="A107" s="13" t="s">
        <v>55</v>
      </c>
      <c r="B107" s="12" t="s">
        <v>32</v>
      </c>
      <c r="C107" s="211" t="s">
        <v>9</v>
      </c>
      <c r="D107" s="25">
        <f t="shared" si="131"/>
        <v>22641.260000000002</v>
      </c>
      <c r="E107" s="25">
        <v>2121.8931375038546</v>
      </c>
      <c r="F107" s="25">
        <v>2926.0312437567181</v>
      </c>
      <c r="G107" s="33">
        <v>16084.185442302198</v>
      </c>
      <c r="H107" s="33">
        <v>1509.1501764372315</v>
      </c>
      <c r="K107" s="25">
        <f>'[53]Свод АУП'!$C$22</f>
        <v>11410.545</v>
      </c>
      <c r="L107" s="25">
        <f>$K$107*L90</f>
        <v>833.62604092496645</v>
      </c>
      <c r="M107" s="25">
        <f t="shared" ref="M107:O107" si="141">$K$107*M90</f>
        <v>1353.4896783121033</v>
      </c>
      <c r="N107" s="25">
        <f t="shared" ref="N107" si="142">$K$107*N90</f>
        <v>8783.7514940650126</v>
      </c>
      <c r="O107" s="25">
        <f t="shared" si="141"/>
        <v>439.67778669791687</v>
      </c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F107" s="15"/>
      <c r="AG107" s="15"/>
      <c r="AT107" s="92" t="e">
        <f>#REF!</f>
        <v>#REF!</v>
      </c>
      <c r="AU107" s="92" t="e">
        <f t="shared" si="134"/>
        <v>#REF!</v>
      </c>
      <c r="AV107" s="97" t="e">
        <f t="shared" si="135"/>
        <v>#REF!</v>
      </c>
      <c r="AX107" s="25" t="e">
        <f t="shared" si="136"/>
        <v>#REF!</v>
      </c>
      <c r="AY107" s="25" t="e">
        <f>#REF!</f>
        <v>#REF!</v>
      </c>
      <c r="AZ107" s="25" t="e">
        <f>#REF!</f>
        <v>#REF!</v>
      </c>
      <c r="BA107" s="25" t="e">
        <f>#REF!</f>
        <v>#REF!</v>
      </c>
      <c r="BB107" s="25" t="e">
        <f>#REF!</f>
        <v>#REF!</v>
      </c>
      <c r="BC107" s="25" t="e">
        <f>#REF!</f>
        <v>#REF!</v>
      </c>
      <c r="BD107" s="25" t="e">
        <f>#REF!</f>
        <v>#REF!</v>
      </c>
    </row>
    <row r="108" spans="1:56" s="4" customFormat="1" ht="25.5" hidden="1" customHeight="1">
      <c r="A108" s="13" t="s">
        <v>57</v>
      </c>
      <c r="B108" s="12" t="s">
        <v>56</v>
      </c>
      <c r="C108" s="211" t="s">
        <v>9</v>
      </c>
      <c r="D108" s="25">
        <f t="shared" si="131"/>
        <v>0</v>
      </c>
      <c r="E108" s="25">
        <v>0</v>
      </c>
      <c r="F108" s="25">
        <v>0</v>
      </c>
      <c r="G108" s="25">
        <v>0</v>
      </c>
      <c r="H108" s="33">
        <v>0</v>
      </c>
      <c r="K108" s="25">
        <f>'[53]Свод АУП'!$C$23</f>
        <v>0</v>
      </c>
      <c r="L108" s="25">
        <v>0</v>
      </c>
      <c r="M108" s="25">
        <v>0</v>
      </c>
      <c r="N108" s="25">
        <v>0</v>
      </c>
      <c r="O108" s="33">
        <v>0</v>
      </c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F108" s="15"/>
      <c r="AG108" s="15"/>
      <c r="AT108" s="92">
        <v>0</v>
      </c>
      <c r="AU108" s="92">
        <f t="shared" si="134"/>
        <v>0</v>
      </c>
      <c r="AV108" s="97" t="e">
        <f t="shared" si="135"/>
        <v>#DIV/0!</v>
      </c>
      <c r="AX108" s="25">
        <f t="shared" si="136"/>
        <v>0</v>
      </c>
      <c r="AY108" s="25">
        <v>0</v>
      </c>
      <c r="AZ108" s="25">
        <v>0</v>
      </c>
      <c r="BA108" s="25">
        <v>0</v>
      </c>
      <c r="BB108" s="33">
        <v>0</v>
      </c>
      <c r="BC108" s="33">
        <v>0</v>
      </c>
      <c r="BD108" s="33">
        <v>0</v>
      </c>
    </row>
    <row r="109" spans="1:56" s="4" customFormat="1" ht="25.5" customHeight="1">
      <c r="A109" s="13" t="s">
        <v>109</v>
      </c>
      <c r="B109" s="12" t="s">
        <v>34</v>
      </c>
      <c r="C109" s="211" t="s">
        <v>9</v>
      </c>
      <c r="D109" s="25">
        <f t="shared" si="131"/>
        <v>14.456618799999996</v>
      </c>
      <c r="E109" s="25">
        <f>SUM(E110:E111)</f>
        <v>6.3876974278588996</v>
      </c>
      <c r="F109" s="25">
        <f>SUM(F110:F111)</f>
        <v>4.8622515398865911</v>
      </c>
      <c r="G109" s="25">
        <f>SUM(G110:G111)</f>
        <v>2.9083938049610576</v>
      </c>
      <c r="H109" s="215">
        <f>SUM(H110:H111)</f>
        <v>0.29827602729344682</v>
      </c>
      <c r="K109" s="25">
        <f>SUM(L109:O109)</f>
        <v>14.456618799999999</v>
      </c>
      <c r="L109" s="25">
        <f>L110+L111</f>
        <v>6.405217705505823</v>
      </c>
      <c r="M109" s="25">
        <f t="shared" ref="M109:O109" si="143">M110+M111</f>
        <v>4.528645607252173</v>
      </c>
      <c r="N109" s="25">
        <f t="shared" ref="N109" si="144">N110+N111</f>
        <v>3.4685018356463533</v>
      </c>
      <c r="O109" s="215">
        <f t="shared" si="143"/>
        <v>5.4253651595649585E-2</v>
      </c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F109" s="15"/>
      <c r="AG109" s="15"/>
      <c r="AT109" s="101" t="e">
        <f>SUM(AT110:AT111)</f>
        <v>#REF!</v>
      </c>
      <c r="AU109" s="92" t="e">
        <f t="shared" si="134"/>
        <v>#REF!</v>
      </c>
      <c r="AV109" s="97" t="e">
        <f t="shared" si="135"/>
        <v>#REF!</v>
      </c>
      <c r="AX109" s="25" t="e">
        <f>SUM(AY109:BD109)</f>
        <v>#REF!</v>
      </c>
      <c r="AY109" s="25" t="e">
        <f t="shared" ref="AY109:BD109" si="145">SUM(AY110:AY111)</f>
        <v>#REF!</v>
      </c>
      <c r="AZ109" s="25" t="e">
        <f t="shared" si="145"/>
        <v>#REF!</v>
      </c>
      <c r="BA109" s="25" t="e">
        <f t="shared" si="145"/>
        <v>#REF!</v>
      </c>
      <c r="BB109" s="25" t="e">
        <f t="shared" si="145"/>
        <v>#REF!</v>
      </c>
      <c r="BC109" s="25" t="e">
        <f t="shared" si="145"/>
        <v>#REF!</v>
      </c>
      <c r="BD109" s="25" t="e">
        <f t="shared" si="145"/>
        <v>#REF!</v>
      </c>
    </row>
    <row r="110" spans="1:56" s="4" customFormat="1" ht="21" customHeight="1" outlineLevel="1">
      <c r="A110" s="13"/>
      <c r="B110" s="18" t="s">
        <v>112</v>
      </c>
      <c r="C110" s="209" t="s">
        <v>9</v>
      </c>
      <c r="D110" s="28">
        <f t="shared" si="131"/>
        <v>6.319618799999998</v>
      </c>
      <c r="E110" s="44">
        <v>2.7923412322256671</v>
      </c>
      <c r="F110" s="44">
        <v>2.1255022814737456</v>
      </c>
      <c r="G110" s="29">
        <v>1.2713858213952098</v>
      </c>
      <c r="H110" s="45">
        <v>0.13038946490537465</v>
      </c>
      <c r="I110" s="214"/>
      <c r="J110" s="214"/>
      <c r="K110" s="28">
        <f>'[53]Свод АУП'!$C$25</f>
        <v>6.3196187999999998</v>
      </c>
      <c r="L110" s="44">
        <f>$K$110*L92</f>
        <v>2.800000109970906</v>
      </c>
      <c r="M110" s="44">
        <f t="shared" ref="M110:O110" si="146">$K$110*M92</f>
        <v>1.9796685735483495</v>
      </c>
      <c r="N110" s="44">
        <f t="shared" ref="N110" si="147">$K$110*N92</f>
        <v>1.5162334783556171</v>
      </c>
      <c r="O110" s="44">
        <f t="shared" si="146"/>
        <v>2.371663812512765E-2</v>
      </c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F110" s="15"/>
      <c r="AG110" s="15"/>
      <c r="AT110" s="93" t="e">
        <f>#REF!</f>
        <v>#REF!</v>
      </c>
      <c r="AU110" s="93" t="e">
        <f t="shared" si="134"/>
        <v>#REF!</v>
      </c>
      <c r="AV110" s="97" t="e">
        <f t="shared" si="135"/>
        <v>#REF!</v>
      </c>
      <c r="AX110" s="28" t="e">
        <f t="shared" si="136"/>
        <v>#REF!</v>
      </c>
      <c r="AY110" s="44" t="e">
        <f>#REF!</f>
        <v>#REF!</v>
      </c>
      <c r="AZ110" s="44" t="e">
        <f>#REF!</f>
        <v>#REF!</v>
      </c>
      <c r="BA110" s="44" t="e">
        <f>#REF!</f>
        <v>#REF!</v>
      </c>
      <c r="BB110" s="44" t="e">
        <f>#REF!</f>
        <v>#REF!</v>
      </c>
      <c r="BC110" s="44" t="e">
        <f>#REF!</f>
        <v>#REF!</v>
      </c>
      <c r="BD110" s="44" t="e">
        <f>#REF!</f>
        <v>#REF!</v>
      </c>
    </row>
    <row r="111" spans="1:56" s="4" customFormat="1" ht="21" customHeight="1" outlineLevel="1">
      <c r="A111" s="13"/>
      <c r="B111" s="18" t="s">
        <v>96</v>
      </c>
      <c r="C111" s="209" t="s">
        <v>9</v>
      </c>
      <c r="D111" s="28">
        <f t="shared" si="131"/>
        <v>8.1369999999999969</v>
      </c>
      <c r="E111" s="44">
        <v>3.5953561956332325</v>
      </c>
      <c r="F111" s="44">
        <v>2.736749258412845</v>
      </c>
      <c r="G111" s="29">
        <v>1.6370079835658478</v>
      </c>
      <c r="H111" s="45">
        <v>0.16788656238807217</v>
      </c>
      <c r="I111" s="214"/>
      <c r="J111" s="214"/>
      <c r="K111" s="28">
        <f>'[53]Свод АУП'!$C$26</f>
        <v>8.1369999999999987</v>
      </c>
      <c r="L111" s="44">
        <f>$K$111*L92</f>
        <v>3.6052175955349175</v>
      </c>
      <c r="M111" s="44">
        <f t="shared" ref="M111:O111" si="148">$K$111*M92</f>
        <v>2.5489770337038236</v>
      </c>
      <c r="N111" s="44">
        <f t="shared" ref="N111" si="149">$K$111*N92</f>
        <v>1.9522683572907362</v>
      </c>
      <c r="O111" s="44">
        <f t="shared" si="148"/>
        <v>3.0537013470521936E-2</v>
      </c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F111" s="15"/>
      <c r="AG111" s="15"/>
      <c r="AT111" s="93" t="e">
        <f>#REF!</f>
        <v>#REF!</v>
      </c>
      <c r="AU111" s="93" t="e">
        <f t="shared" si="134"/>
        <v>#REF!</v>
      </c>
      <c r="AV111" s="97" t="e">
        <f t="shared" si="135"/>
        <v>#REF!</v>
      </c>
      <c r="AX111" s="28" t="e">
        <f t="shared" si="136"/>
        <v>#REF!</v>
      </c>
      <c r="AY111" s="44" t="e">
        <f>#REF!</f>
        <v>#REF!</v>
      </c>
      <c r="AZ111" s="44" t="e">
        <f>#REF!</f>
        <v>#REF!</v>
      </c>
      <c r="BA111" s="44" t="e">
        <f>#REF!</f>
        <v>#REF!</v>
      </c>
      <c r="BB111" s="44" t="e">
        <f>#REF!</f>
        <v>#REF!</v>
      </c>
      <c r="BC111" s="44" t="e">
        <f>#REF!</f>
        <v>#REF!</v>
      </c>
      <c r="BD111" s="44" t="e">
        <f>#REF!</f>
        <v>#REF!</v>
      </c>
    </row>
    <row r="112" spans="1:56" s="4" customFormat="1" ht="24.75" hidden="1" customHeight="1">
      <c r="A112" s="13" t="s">
        <v>58</v>
      </c>
      <c r="B112" s="12" t="s">
        <v>59</v>
      </c>
      <c r="C112" s="211" t="s">
        <v>9</v>
      </c>
      <c r="D112" s="25">
        <f t="shared" si="131"/>
        <v>0</v>
      </c>
      <c r="E112" s="25"/>
      <c r="F112" s="25"/>
      <c r="G112" s="25"/>
      <c r="H112" s="33"/>
      <c r="K112" s="25">
        <f>'[53]Свод АУП'!$C$27</f>
        <v>0</v>
      </c>
      <c r="L112" s="25"/>
      <c r="M112" s="25"/>
      <c r="N112" s="25"/>
      <c r="O112" s="33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F112" s="15"/>
      <c r="AG112" s="15"/>
      <c r="AT112" s="92"/>
      <c r="AU112" s="92">
        <f t="shared" si="134"/>
        <v>0</v>
      </c>
      <c r="AV112" s="97" t="e">
        <f t="shared" si="135"/>
        <v>#DIV/0!</v>
      </c>
      <c r="AX112" s="25">
        <f t="shared" si="136"/>
        <v>0</v>
      </c>
      <c r="AY112" s="25"/>
      <c r="AZ112" s="25"/>
      <c r="BA112" s="25"/>
      <c r="BB112" s="33"/>
      <c r="BC112" s="33"/>
      <c r="BD112" s="33"/>
    </row>
    <row r="113" spans="1:56" s="4" customFormat="1" ht="25.5" customHeight="1">
      <c r="A113" s="13" t="s">
        <v>60</v>
      </c>
      <c r="B113" s="12" t="s">
        <v>30</v>
      </c>
      <c r="C113" s="211" t="s">
        <v>9</v>
      </c>
      <c r="D113" s="25">
        <f t="shared" si="131"/>
        <v>1730.3571428571427</v>
      </c>
      <c r="E113" s="25">
        <v>162.16557501037255</v>
      </c>
      <c r="F113" s="25">
        <v>223.62178884291802</v>
      </c>
      <c r="G113" s="33">
        <v>1229.2330535988931</v>
      </c>
      <c r="H113" s="33">
        <v>115.33672540495894</v>
      </c>
      <c r="K113" s="25">
        <f>'[53]Свод АУП'!$C$28</f>
        <v>903.125</v>
      </c>
      <c r="L113" s="25">
        <f>$K$113*L90</f>
        <v>65.980066527090543</v>
      </c>
      <c r="M113" s="25">
        <f>$K$113*M90</f>
        <v>107.12637877731679</v>
      </c>
      <c r="N113" s="25">
        <f>$K$113*N90</f>
        <v>695.21881453317656</v>
      </c>
      <c r="O113" s="25">
        <f>$K$113*O90</f>
        <v>34.7997401624161</v>
      </c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F113" s="15"/>
      <c r="AG113" s="15"/>
      <c r="AT113" s="92" t="e">
        <f>#REF!</f>
        <v>#REF!</v>
      </c>
      <c r="AU113" s="92" t="e">
        <f t="shared" si="134"/>
        <v>#REF!</v>
      </c>
      <c r="AV113" s="97" t="e">
        <f t="shared" si="135"/>
        <v>#REF!</v>
      </c>
      <c r="AX113" s="25" t="e">
        <f t="shared" si="136"/>
        <v>#REF!</v>
      </c>
      <c r="AY113" s="25" t="e">
        <f>#REF!</f>
        <v>#REF!</v>
      </c>
      <c r="AZ113" s="25" t="e">
        <f>#REF!</f>
        <v>#REF!</v>
      </c>
      <c r="BA113" s="25" t="e">
        <f>#REF!</f>
        <v>#REF!</v>
      </c>
      <c r="BB113" s="25" t="e">
        <f>#REF!</f>
        <v>#REF!</v>
      </c>
      <c r="BC113" s="25" t="e">
        <f>#REF!</f>
        <v>#REF!</v>
      </c>
      <c r="BD113" s="25" t="e">
        <f>#REF!</f>
        <v>#REF!</v>
      </c>
    </row>
    <row r="114" spans="1:56" s="4" customFormat="1" ht="26.25" customHeight="1">
      <c r="A114" s="13" t="s">
        <v>61</v>
      </c>
      <c r="B114" s="12" t="s">
        <v>62</v>
      </c>
      <c r="C114" s="211" t="s">
        <v>9</v>
      </c>
      <c r="D114" s="25">
        <f>SUM(D115:D116)</f>
        <v>296.57707597199999</v>
      </c>
      <c r="E114" s="25">
        <f>SUM(E115:E116)</f>
        <v>27.794604286419837</v>
      </c>
      <c r="F114" s="25">
        <f>SUM(F115:F116)</f>
        <v>38.327981325954553</v>
      </c>
      <c r="G114" s="25">
        <f>SUM(G115:G116)</f>
        <v>210.68618477370052</v>
      </c>
      <c r="H114" s="25">
        <f>SUM(H115:H116)</f>
        <v>19.768305585925077</v>
      </c>
      <c r="K114" s="25">
        <f>SUM(K115:K116)</f>
        <v>296.57707597200005</v>
      </c>
      <c r="L114" s="25">
        <f>SUM(L115:L116)</f>
        <v>21.66718361582566</v>
      </c>
      <c r="M114" s="25">
        <f>SUM(M115:M116)</f>
        <v>35.179214590721699</v>
      </c>
      <c r="N114" s="25">
        <f>SUM(N115:N116)</f>
        <v>228.30279659512217</v>
      </c>
      <c r="O114" s="25">
        <f>SUM(O115:O116)</f>
        <v>11.427881170330508</v>
      </c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F114" s="15"/>
      <c r="AG114" s="15"/>
      <c r="AT114" s="101" t="e">
        <f>SUM(AT115:AT116)</f>
        <v>#REF!</v>
      </c>
      <c r="AU114" s="92" t="e">
        <f t="shared" si="134"/>
        <v>#REF!</v>
      </c>
      <c r="AV114" s="97" t="e">
        <f t="shared" si="135"/>
        <v>#REF!</v>
      </c>
      <c r="AX114" s="25" t="e">
        <f t="shared" ref="AX114:BD114" si="150">SUM(AX115:AX116)</f>
        <v>#REF!</v>
      </c>
      <c r="AY114" s="25" t="e">
        <f t="shared" si="150"/>
        <v>#REF!</v>
      </c>
      <c r="AZ114" s="25" t="e">
        <f t="shared" si="150"/>
        <v>#REF!</v>
      </c>
      <c r="BA114" s="25" t="e">
        <f t="shared" si="150"/>
        <v>#REF!</v>
      </c>
      <c r="BB114" s="25" t="e">
        <f t="shared" si="150"/>
        <v>#REF!</v>
      </c>
      <c r="BC114" s="25" t="e">
        <f t="shared" si="150"/>
        <v>#REF!</v>
      </c>
      <c r="BD114" s="25" t="e">
        <f t="shared" si="150"/>
        <v>#REF!</v>
      </c>
    </row>
    <row r="115" spans="1:56" s="4" customFormat="1" ht="20.25" customHeight="1" outlineLevel="1">
      <c r="A115" s="13"/>
      <c r="B115" s="18" t="s">
        <v>63</v>
      </c>
      <c r="C115" s="209" t="s">
        <v>9</v>
      </c>
      <c r="D115" s="28">
        <f>SUM(E115:H115)</f>
        <v>29.084922371999994</v>
      </c>
      <c r="E115" s="28">
        <v>2.7257801547254488</v>
      </c>
      <c r="F115" s="28">
        <v>3.7587745374025445</v>
      </c>
      <c r="G115" s="29">
        <v>20.661716044346107</v>
      </c>
      <c r="H115" s="29">
        <v>1.9386516355258927</v>
      </c>
      <c r="I115" s="214"/>
      <c r="J115" s="214"/>
      <c r="K115" s="28">
        <f>'[53]Свод АУП'!$C$30</f>
        <v>29.084922371999994</v>
      </c>
      <c r="L115" s="28">
        <f>$K$115*L90</f>
        <v>2.124872097483542</v>
      </c>
      <c r="M115" s="28">
        <f>$K$115*M90</f>
        <v>3.4499791399105622</v>
      </c>
      <c r="N115" s="28">
        <f>$K$115*N90</f>
        <v>22.389353912527394</v>
      </c>
      <c r="O115" s="28">
        <f>$K$115*O90</f>
        <v>1.1207172220784971</v>
      </c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F115" s="15"/>
      <c r="AG115" s="15"/>
      <c r="AT115" s="93" t="e">
        <f>#REF!</f>
        <v>#REF!</v>
      </c>
      <c r="AU115" s="93" t="e">
        <f t="shared" si="134"/>
        <v>#REF!</v>
      </c>
      <c r="AV115" s="97" t="e">
        <f t="shared" si="135"/>
        <v>#REF!</v>
      </c>
      <c r="AX115" s="28" t="e">
        <f t="shared" ref="AX115:AX134" si="151">SUM(AY115:BD115)</f>
        <v>#REF!</v>
      </c>
      <c r="AY115" s="28" t="e">
        <f>#REF!</f>
        <v>#REF!</v>
      </c>
      <c r="AZ115" s="28" t="e">
        <f>#REF!</f>
        <v>#REF!</v>
      </c>
      <c r="BA115" s="28" t="e">
        <f>#REF!</f>
        <v>#REF!</v>
      </c>
      <c r="BB115" s="28" t="e">
        <f>#REF!</f>
        <v>#REF!</v>
      </c>
      <c r="BC115" s="28" t="e">
        <f>#REF!</f>
        <v>#REF!</v>
      </c>
      <c r="BD115" s="28" t="e">
        <f>#REF!</f>
        <v>#REF!</v>
      </c>
    </row>
    <row r="116" spans="1:56" s="4" customFormat="1" ht="20.25" customHeight="1" outlineLevel="1">
      <c r="A116" s="13"/>
      <c r="B116" s="18" t="s">
        <v>64</v>
      </c>
      <c r="C116" s="209" t="s">
        <v>9</v>
      </c>
      <c r="D116" s="28">
        <f>SUM(E116:H116)</f>
        <v>267.49215359999999</v>
      </c>
      <c r="E116" s="28">
        <v>25.068824131694388</v>
      </c>
      <c r="F116" s="28">
        <v>34.569206788552009</v>
      </c>
      <c r="G116" s="29">
        <v>190.0244687293544</v>
      </c>
      <c r="H116" s="29">
        <v>17.829653950399184</v>
      </c>
      <c r="I116" s="214"/>
      <c r="J116" s="214"/>
      <c r="K116" s="28">
        <f>'[53]Свод АУП'!$C$31</f>
        <v>267.49215360000005</v>
      </c>
      <c r="L116" s="28">
        <f>$K$116*L90</f>
        <v>19.542311518342117</v>
      </c>
      <c r="M116" s="28">
        <f>$K$116*M90</f>
        <v>31.729235450811139</v>
      </c>
      <c r="N116" s="28">
        <f>$K$116*N90</f>
        <v>205.91344268259479</v>
      </c>
      <c r="O116" s="28">
        <f>$K$116*O90</f>
        <v>10.307163948252011</v>
      </c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F116" s="15"/>
      <c r="AG116" s="15"/>
      <c r="AT116" s="93" t="e">
        <f>#REF!</f>
        <v>#REF!</v>
      </c>
      <c r="AU116" s="93" t="e">
        <f t="shared" si="134"/>
        <v>#REF!</v>
      </c>
      <c r="AV116" s="97" t="e">
        <f t="shared" si="135"/>
        <v>#REF!</v>
      </c>
      <c r="AX116" s="28" t="e">
        <f t="shared" si="151"/>
        <v>#REF!</v>
      </c>
      <c r="AY116" s="28" t="e">
        <f>#REF!</f>
        <v>#REF!</v>
      </c>
      <c r="AZ116" s="28" t="e">
        <f>#REF!</f>
        <v>#REF!</v>
      </c>
      <c r="BA116" s="28" t="e">
        <f>#REF!</f>
        <v>#REF!</v>
      </c>
      <c r="BB116" s="28" t="e">
        <f>#REF!</f>
        <v>#REF!</v>
      </c>
      <c r="BC116" s="28" t="e">
        <f>#REF!</f>
        <v>#REF!</v>
      </c>
      <c r="BD116" s="28" t="e">
        <f>#REF!</f>
        <v>#REF!</v>
      </c>
    </row>
    <row r="117" spans="1:56" s="4" customFormat="1" ht="27" customHeight="1">
      <c r="A117" s="13" t="s">
        <v>120</v>
      </c>
      <c r="B117" s="12" t="s">
        <v>65</v>
      </c>
      <c r="C117" s="209" t="s">
        <v>9</v>
      </c>
      <c r="D117" s="25">
        <f>SUM(D118:D134)</f>
        <v>17169.74545690868</v>
      </c>
      <c r="E117" s="25">
        <f>SUM(E118:E134)</f>
        <v>1735.4820130193887</v>
      </c>
      <c r="F117" s="25">
        <f>SUM(F118:F134)</f>
        <v>2268.1210550759251</v>
      </c>
      <c r="G117" s="25">
        <f>SUM(G118:G134)</f>
        <v>12103.674563862352</v>
      </c>
      <c r="H117" s="25">
        <f>SUM(H118:H134)</f>
        <v>1062.4678249510157</v>
      </c>
      <c r="K117" s="25">
        <f>SUM(K118:K134)</f>
        <v>16767.959742622967</v>
      </c>
      <c r="L117" s="25">
        <f>SUM(L118:L134)</f>
        <v>1358.9716196773682</v>
      </c>
      <c r="M117" s="25">
        <f>SUM(M118:M134)</f>
        <v>2012.9580669315994</v>
      </c>
      <c r="N117" s="25">
        <f>SUM(N118:N134)</f>
        <v>12800.97104185008</v>
      </c>
      <c r="O117" s="25">
        <f>SUM(O118:O134)</f>
        <v>595.05901416391987</v>
      </c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F117" s="15"/>
      <c r="AG117" s="15"/>
      <c r="AT117" s="101" t="e">
        <f>SUM(AT118:AT134)</f>
        <v>#REF!</v>
      </c>
      <c r="AU117" s="92" t="e">
        <f t="shared" si="134"/>
        <v>#REF!</v>
      </c>
      <c r="AV117" s="97" t="e">
        <f t="shared" si="135"/>
        <v>#REF!</v>
      </c>
      <c r="AX117" s="25" t="e">
        <f t="shared" ref="AX117:BD117" si="152">SUM(AX118:AX134)</f>
        <v>#REF!</v>
      </c>
      <c r="AY117" s="25" t="e">
        <f t="shared" si="152"/>
        <v>#REF!</v>
      </c>
      <c r="AZ117" s="25" t="e">
        <f t="shared" si="152"/>
        <v>#REF!</v>
      </c>
      <c r="BA117" s="25" t="e">
        <f t="shared" si="152"/>
        <v>#REF!</v>
      </c>
      <c r="BB117" s="25" t="e">
        <f t="shared" si="152"/>
        <v>#REF!</v>
      </c>
      <c r="BC117" s="25" t="e">
        <f t="shared" si="152"/>
        <v>#REF!</v>
      </c>
      <c r="BD117" s="25" t="e">
        <f t="shared" si="152"/>
        <v>#REF!</v>
      </c>
    </row>
    <row r="118" spans="1:56" s="4" customFormat="1" ht="19.5" customHeight="1" outlineLevel="1">
      <c r="A118" s="13"/>
      <c r="B118" s="18" t="s">
        <v>98</v>
      </c>
      <c r="C118" s="209" t="s">
        <v>9</v>
      </c>
      <c r="D118" s="28">
        <f t="shared" ref="D118:D135" si="153">SUM(E118:H118)</f>
        <v>1089.1199999999999</v>
      </c>
      <c r="E118" s="28">
        <v>102.07012568727171</v>
      </c>
      <c r="F118" s="28">
        <v>140.75184632835436</v>
      </c>
      <c r="G118" s="29">
        <v>773.70287912069227</v>
      </c>
      <c r="H118" s="29">
        <v>72.595148863681501</v>
      </c>
      <c r="I118" s="214"/>
      <c r="J118" s="214"/>
      <c r="K118" s="28">
        <f>'[53]Свод АУП'!$C$34</f>
        <v>1089.1200000000001</v>
      </c>
      <c r="L118" s="28">
        <f>$K$118*L90</f>
        <v>79.568398677907112</v>
      </c>
      <c r="M118" s="28">
        <f>$K$118*M90</f>
        <v>129.18863020506714</v>
      </c>
      <c r="N118" s="28">
        <f>$K$118*N90</f>
        <v>838.3963629446348</v>
      </c>
      <c r="O118" s="28">
        <f>$K$118*O90</f>
        <v>41.966608172391005</v>
      </c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F118" s="15"/>
      <c r="AG118" s="15"/>
      <c r="AT118" s="93" t="e">
        <f>#REF!</f>
        <v>#REF!</v>
      </c>
      <c r="AU118" s="93" t="e">
        <f t="shared" si="134"/>
        <v>#REF!</v>
      </c>
      <c r="AV118" s="97" t="e">
        <f t="shared" si="135"/>
        <v>#REF!</v>
      </c>
      <c r="AX118" s="28" t="e">
        <f t="shared" si="151"/>
        <v>#REF!</v>
      </c>
      <c r="AY118" s="28" t="e">
        <f>#REF!</f>
        <v>#REF!</v>
      </c>
      <c r="AZ118" s="28" t="e">
        <f>#REF!</f>
        <v>#REF!</v>
      </c>
      <c r="BA118" s="28" t="e">
        <f>#REF!</f>
        <v>#REF!</v>
      </c>
      <c r="BB118" s="28" t="e">
        <f>#REF!</f>
        <v>#REF!</v>
      </c>
      <c r="BC118" s="28" t="e">
        <f>#REF!</f>
        <v>#REF!</v>
      </c>
      <c r="BD118" s="28" t="e">
        <f>#REF!</f>
        <v>#REF!</v>
      </c>
    </row>
    <row r="119" spans="1:56" s="4" customFormat="1" ht="36.75" customHeight="1" outlineLevel="1">
      <c r="A119" s="13"/>
      <c r="B119" s="18" t="s">
        <v>99</v>
      </c>
      <c r="C119" s="209" t="s">
        <v>9</v>
      </c>
      <c r="D119" s="28">
        <f t="shared" si="153"/>
        <v>158.00000000000003</v>
      </c>
      <c r="E119" s="28">
        <v>14.807440739853213</v>
      </c>
      <c r="F119" s="28">
        <v>20.419046312509174</v>
      </c>
      <c r="G119" s="29">
        <v>112.24204394471629</v>
      </c>
      <c r="H119" s="29">
        <v>10.531469002921328</v>
      </c>
      <c r="I119" s="214"/>
      <c r="J119" s="214"/>
      <c r="K119" s="28">
        <f>'[53]Свод АУП'!$C$35</f>
        <v>158</v>
      </c>
      <c r="L119" s="28">
        <f>$K$119*L90</f>
        <v>11.543087071313833</v>
      </c>
      <c r="M119" s="28">
        <f>$K$119*M90</f>
        <v>18.741556093360334</v>
      </c>
      <c r="N119" s="28">
        <f>$K$119*N90</f>
        <v>121.62720852179034</v>
      </c>
      <c r="O119" s="28">
        <f>$D$119*O90</f>
        <v>6.0881483135354957</v>
      </c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F119" s="15"/>
      <c r="AG119" s="15"/>
      <c r="AT119" s="93" t="e">
        <f>#REF!</f>
        <v>#REF!</v>
      </c>
      <c r="AU119" s="93" t="e">
        <f t="shared" si="134"/>
        <v>#REF!</v>
      </c>
      <c r="AV119" s="97" t="e">
        <f t="shared" si="135"/>
        <v>#REF!</v>
      </c>
      <c r="AX119" s="28" t="e">
        <f t="shared" si="151"/>
        <v>#REF!</v>
      </c>
      <c r="AY119" s="28" t="e">
        <f>#REF!</f>
        <v>#REF!</v>
      </c>
      <c r="AZ119" s="28" t="e">
        <f>#REF!</f>
        <v>#REF!</v>
      </c>
      <c r="BA119" s="28" t="e">
        <f>#REF!</f>
        <v>#REF!</v>
      </c>
      <c r="BB119" s="28" t="e">
        <f>#REF!</f>
        <v>#REF!</v>
      </c>
      <c r="BC119" s="28" t="e">
        <f>#REF!</f>
        <v>#REF!</v>
      </c>
      <c r="BD119" s="28" t="e">
        <f>#REF!</f>
        <v>#REF!</v>
      </c>
    </row>
    <row r="120" spans="1:56" s="4" customFormat="1" ht="19.5" customHeight="1" outlineLevel="1">
      <c r="A120" s="13"/>
      <c r="B120" s="18" t="s">
        <v>162</v>
      </c>
      <c r="C120" s="209" t="s">
        <v>9</v>
      </c>
      <c r="D120" s="28">
        <f t="shared" si="153"/>
        <v>463.51600000000008</v>
      </c>
      <c r="E120" s="28">
        <v>43.439782923884827</v>
      </c>
      <c r="F120" s="28">
        <v>59.902244750563305</v>
      </c>
      <c r="G120" s="29">
        <v>329.27837494353872</v>
      </c>
      <c r="H120" s="29">
        <v>30.895597382013182</v>
      </c>
      <c r="I120" s="214"/>
      <c r="J120" s="214"/>
      <c r="K120" s="28">
        <f>'[53]Свод АУП'!$C$36</f>
        <v>463.51599999999996</v>
      </c>
      <c r="L120" s="28">
        <f>$K$120*L90</f>
        <v>33.863326246500648</v>
      </c>
      <c r="M120" s="28">
        <f>$K$120*M90</f>
        <v>54.981083001076001</v>
      </c>
      <c r="N120" s="28">
        <f>$K$120*N90</f>
        <v>356.81112142522886</v>
      </c>
      <c r="O120" s="28">
        <f>$K$120*O90</f>
        <v>17.860469327194419</v>
      </c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F120" s="15"/>
      <c r="AG120" s="15"/>
      <c r="AT120" s="93" t="e">
        <f>#REF!</f>
        <v>#REF!</v>
      </c>
      <c r="AU120" s="93" t="e">
        <f t="shared" si="134"/>
        <v>#REF!</v>
      </c>
      <c r="AV120" s="97" t="e">
        <f t="shared" si="135"/>
        <v>#REF!</v>
      </c>
      <c r="AX120" s="28" t="e">
        <f t="shared" si="151"/>
        <v>#REF!</v>
      </c>
      <c r="AY120" s="28" t="e">
        <f>#REF!</f>
        <v>#REF!</v>
      </c>
      <c r="AZ120" s="28" t="e">
        <f>#REF!</f>
        <v>#REF!</v>
      </c>
      <c r="BA120" s="28" t="e">
        <f>#REF!</f>
        <v>#REF!</v>
      </c>
      <c r="BB120" s="28" t="e">
        <f>#REF!</f>
        <v>#REF!</v>
      </c>
      <c r="BC120" s="28" t="e">
        <f>#REF!</f>
        <v>#REF!</v>
      </c>
      <c r="BD120" s="28" t="e">
        <f>#REF!</f>
        <v>#REF!</v>
      </c>
    </row>
    <row r="121" spans="1:56" s="4" customFormat="1" ht="36.75" customHeight="1" outlineLevel="1">
      <c r="A121" s="13"/>
      <c r="B121" s="18" t="s">
        <v>100</v>
      </c>
      <c r="C121" s="209" t="s">
        <v>9</v>
      </c>
      <c r="D121" s="28">
        <f t="shared" si="153"/>
        <v>2749.6089285714284</v>
      </c>
      <c r="E121" s="28">
        <v>257.68779283286528</v>
      </c>
      <c r="F121" s="28">
        <v>355.34425350499191</v>
      </c>
      <c r="G121" s="29">
        <v>1953.3020645031552</v>
      </c>
      <c r="H121" s="29">
        <v>183.27481773041598</v>
      </c>
      <c r="I121" s="214"/>
      <c r="J121" s="214"/>
      <c r="K121" s="28">
        <f>'[53]Свод АУП'!$C$37</f>
        <v>2749.6089285714284</v>
      </c>
      <c r="L121" s="28">
        <f>$K$121*L90</f>
        <v>200.87959034532872</v>
      </c>
      <c r="M121" s="28">
        <f>$K$121*M90</f>
        <v>326.15158208623944</v>
      </c>
      <c r="N121" s="28">
        <f>$K$121*N90</f>
        <v>2116.6282184097063</v>
      </c>
      <c r="O121" s="28">
        <f>$K$121*O90</f>
        <v>105.94953773015366</v>
      </c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F121" s="15"/>
      <c r="AG121" s="15"/>
      <c r="AT121" s="93" t="e">
        <f>#REF!</f>
        <v>#REF!</v>
      </c>
      <c r="AU121" s="93" t="e">
        <f t="shared" si="134"/>
        <v>#REF!</v>
      </c>
      <c r="AV121" s="97" t="e">
        <f t="shared" si="135"/>
        <v>#REF!</v>
      </c>
      <c r="AX121" s="28" t="e">
        <f t="shared" si="151"/>
        <v>#REF!</v>
      </c>
      <c r="AY121" s="28" t="e">
        <f>#REF!</f>
        <v>#REF!</v>
      </c>
      <c r="AZ121" s="28" t="e">
        <f>#REF!</f>
        <v>#REF!</v>
      </c>
      <c r="BA121" s="28" t="e">
        <f>#REF!</f>
        <v>#REF!</v>
      </c>
      <c r="BB121" s="28" t="e">
        <f>#REF!</f>
        <v>#REF!</v>
      </c>
      <c r="BC121" s="28" t="e">
        <f>#REF!</f>
        <v>#REF!</v>
      </c>
      <c r="BD121" s="28" t="e">
        <f>#REF!</f>
        <v>#REF!</v>
      </c>
    </row>
    <row r="122" spans="1:56" s="4" customFormat="1" ht="19.5" customHeight="1" outlineLevel="1">
      <c r="A122" s="13"/>
      <c r="B122" s="18" t="s">
        <v>95</v>
      </c>
      <c r="C122" s="209" t="s">
        <v>9</v>
      </c>
      <c r="D122" s="28">
        <f t="shared" si="153"/>
        <v>69.40000000000002</v>
      </c>
      <c r="E122" s="28">
        <v>11.158977475419155</v>
      </c>
      <c r="F122" s="28">
        <v>10.781153548771671</v>
      </c>
      <c r="G122" s="29">
        <v>45.853843616918184</v>
      </c>
      <c r="H122" s="29">
        <v>1.6060253588910109</v>
      </c>
      <c r="I122" s="214"/>
      <c r="J122" s="214"/>
      <c r="K122" s="28">
        <f>'[53]Свод АУП'!$C$38</f>
        <v>69.399999999999977</v>
      </c>
      <c r="L122" s="28">
        <f>$K$122*L91</f>
        <v>10.004288125331355</v>
      </c>
      <c r="M122" s="28">
        <f>$K$122*M91</f>
        <v>9.115592094954394</v>
      </c>
      <c r="N122" s="28">
        <f>$K$122*N91</f>
        <v>49.486597523408378</v>
      </c>
      <c r="O122" s="28">
        <f>$K$122*O91</f>
        <v>0.79352225630585183</v>
      </c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F122" s="15"/>
      <c r="AG122" s="15"/>
      <c r="AT122" s="93" t="e">
        <f>#REF!</f>
        <v>#REF!</v>
      </c>
      <c r="AU122" s="93" t="e">
        <f t="shared" si="134"/>
        <v>#REF!</v>
      </c>
      <c r="AV122" s="97" t="e">
        <f t="shared" si="135"/>
        <v>#REF!</v>
      </c>
      <c r="AX122" s="28" t="e">
        <f t="shared" si="151"/>
        <v>#REF!</v>
      </c>
      <c r="AY122" s="28" t="e">
        <f>#REF!</f>
        <v>#REF!</v>
      </c>
      <c r="AZ122" s="28" t="e">
        <f>#REF!</f>
        <v>#REF!</v>
      </c>
      <c r="BA122" s="28" t="e">
        <f>#REF!</f>
        <v>#REF!</v>
      </c>
      <c r="BB122" s="28" t="e">
        <f>#REF!</f>
        <v>#REF!</v>
      </c>
      <c r="BC122" s="28" t="e">
        <f>#REF!</f>
        <v>#REF!</v>
      </c>
      <c r="BD122" s="28" t="e">
        <f>#REF!</f>
        <v>#REF!</v>
      </c>
    </row>
    <row r="123" spans="1:56" s="4" customFormat="1" ht="19.5" customHeight="1" outlineLevel="1">
      <c r="A123" s="13"/>
      <c r="B123" s="18" t="s">
        <v>121</v>
      </c>
      <c r="C123" s="209" t="s">
        <v>9</v>
      </c>
      <c r="D123" s="28">
        <f t="shared" si="153"/>
        <v>1457.6375</v>
      </c>
      <c r="E123" s="28">
        <v>136.60684114834044</v>
      </c>
      <c r="F123" s="28">
        <v>188.37701024905121</v>
      </c>
      <c r="G123" s="29">
        <v>1035.4950147497873</v>
      </c>
      <c r="H123" s="29">
        <v>97.15863385282114</v>
      </c>
      <c r="I123" s="214"/>
      <c r="J123" s="214"/>
      <c r="K123" s="28">
        <f>'[53]Свод АУП'!$C$39</f>
        <v>1457.6374999999998</v>
      </c>
      <c r="L123" s="28">
        <f>$K$123*L90</f>
        <v>106.49137076526719</v>
      </c>
      <c r="M123" s="28">
        <f>$K$123*M90</f>
        <v>172.9012339875666</v>
      </c>
      <c r="N123" s="28">
        <f>$K$123*N90</f>
        <v>1122.0783554536781</v>
      </c>
      <c r="O123" s="28">
        <f>$K$123*O90</f>
        <v>56.166539793487935</v>
      </c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F123" s="15"/>
      <c r="AG123" s="15"/>
      <c r="AT123" s="93" t="e">
        <f>#REF!</f>
        <v>#REF!</v>
      </c>
      <c r="AU123" s="93" t="e">
        <f t="shared" si="134"/>
        <v>#REF!</v>
      </c>
      <c r="AV123" s="97" t="e">
        <f t="shared" si="135"/>
        <v>#REF!</v>
      </c>
      <c r="AX123" s="28" t="e">
        <f t="shared" si="151"/>
        <v>#REF!</v>
      </c>
      <c r="AY123" s="28" t="e">
        <f>#REF!</f>
        <v>#REF!</v>
      </c>
      <c r="AZ123" s="28" t="e">
        <f>#REF!</f>
        <v>#REF!</v>
      </c>
      <c r="BA123" s="28" t="e">
        <f>#REF!</f>
        <v>#REF!</v>
      </c>
      <c r="BB123" s="28" t="e">
        <f>#REF!</f>
        <v>#REF!</v>
      </c>
      <c r="BC123" s="28" t="e">
        <f>#REF!</f>
        <v>#REF!</v>
      </c>
      <c r="BD123" s="28" t="e">
        <f>#REF!</f>
        <v>#REF!</v>
      </c>
    </row>
    <row r="124" spans="1:56" s="4" customFormat="1" ht="19.5" customHeight="1" outlineLevel="1">
      <c r="A124" s="13"/>
      <c r="B124" s="18" t="s">
        <v>101</v>
      </c>
      <c r="C124" s="209" t="s">
        <v>9</v>
      </c>
      <c r="D124" s="28">
        <f t="shared" si="153"/>
        <v>438.87040000000002</v>
      </c>
      <c r="E124" s="28">
        <v>41.130047091618202</v>
      </c>
      <c r="F124" s="28">
        <v>56.717183688540672</v>
      </c>
      <c r="G124" s="29">
        <v>311.77032103060264</v>
      </c>
      <c r="H124" s="29">
        <v>29.252848189238513</v>
      </c>
      <c r="I124" s="214"/>
      <c r="J124" s="214"/>
      <c r="K124" s="28">
        <f>'[53]Свод АУП'!$C$40</f>
        <v>438.8703999999999</v>
      </c>
      <c r="L124" s="28">
        <f>$K$124*L90</f>
        <v>32.062780001407148</v>
      </c>
      <c r="M124" s="28">
        <f>$K$124*M90</f>
        <v>52.057684932376496</v>
      </c>
      <c r="N124" s="28">
        <f>$K$124*N90</f>
        <v>337.83912439773115</v>
      </c>
      <c r="O124" s="28">
        <f>$K$124*O90</f>
        <v>16.910810668485109</v>
      </c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F124" s="15"/>
      <c r="AG124" s="15"/>
      <c r="AT124" s="93" t="e">
        <f>#REF!</f>
        <v>#REF!</v>
      </c>
      <c r="AU124" s="93" t="e">
        <f t="shared" si="134"/>
        <v>#REF!</v>
      </c>
      <c r="AV124" s="97" t="e">
        <f t="shared" si="135"/>
        <v>#REF!</v>
      </c>
      <c r="AX124" s="28" t="e">
        <f t="shared" si="151"/>
        <v>#REF!</v>
      </c>
      <c r="AY124" s="28" t="e">
        <f>#REF!</f>
        <v>#REF!</v>
      </c>
      <c r="AZ124" s="28" t="e">
        <f>#REF!</f>
        <v>#REF!</v>
      </c>
      <c r="BA124" s="28" t="e">
        <f>#REF!</f>
        <v>#REF!</v>
      </c>
      <c r="BB124" s="28" t="e">
        <f>#REF!</f>
        <v>#REF!</v>
      </c>
      <c r="BC124" s="28" t="e">
        <f>#REF!</f>
        <v>#REF!</v>
      </c>
      <c r="BD124" s="28" t="e">
        <f>#REF!</f>
        <v>#REF!</v>
      </c>
    </row>
    <row r="125" spans="1:56" s="4" customFormat="1" ht="19.5" customHeight="1" outlineLevel="1">
      <c r="A125" s="13"/>
      <c r="B125" s="18" t="s">
        <v>102</v>
      </c>
      <c r="C125" s="209" t="s">
        <v>9</v>
      </c>
      <c r="D125" s="28">
        <f t="shared" si="153"/>
        <v>1899.8759999999995</v>
      </c>
      <c r="E125" s="28">
        <v>178.05253976626179</v>
      </c>
      <c r="F125" s="28">
        <v>245.52946855711818</v>
      </c>
      <c r="G125" s="29">
        <v>1349.6580093766565</v>
      </c>
      <c r="H125" s="29">
        <v>126.63598229996303</v>
      </c>
      <c r="I125" s="214"/>
      <c r="J125" s="214"/>
      <c r="K125" s="28">
        <f>'[53]Свод АУП'!$C$41</f>
        <v>1899.876</v>
      </c>
      <c r="L125" s="28">
        <f>$K$125*L90</f>
        <v>138.80021577657874</v>
      </c>
      <c r="M125" s="28">
        <f>$K$125*M90</f>
        <v>225.3584343318295</v>
      </c>
      <c r="N125" s="28">
        <f>$K$125*N90</f>
        <v>1462.5102178325628</v>
      </c>
      <c r="O125" s="28">
        <f>$K$125*O90</f>
        <v>73.207132059028865</v>
      </c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F125" s="15"/>
      <c r="AG125" s="15"/>
      <c r="AT125" s="93" t="e">
        <f>#REF!</f>
        <v>#REF!</v>
      </c>
      <c r="AU125" s="93" t="e">
        <f t="shared" si="134"/>
        <v>#REF!</v>
      </c>
      <c r="AV125" s="97" t="e">
        <f t="shared" si="135"/>
        <v>#REF!</v>
      </c>
      <c r="AX125" s="28" t="e">
        <f t="shared" si="151"/>
        <v>#REF!</v>
      </c>
      <c r="AY125" s="28" t="e">
        <f>#REF!</f>
        <v>#REF!</v>
      </c>
      <c r="AZ125" s="28" t="e">
        <f>#REF!</f>
        <v>#REF!</v>
      </c>
      <c r="BA125" s="28" t="e">
        <f>#REF!</f>
        <v>#REF!</v>
      </c>
      <c r="BB125" s="28" t="e">
        <f>#REF!</f>
        <v>#REF!</v>
      </c>
      <c r="BC125" s="28" t="e">
        <f>#REF!</f>
        <v>#REF!</v>
      </c>
      <c r="BD125" s="28" t="e">
        <f>#REF!</f>
        <v>#REF!</v>
      </c>
    </row>
    <row r="126" spans="1:56" s="4" customFormat="1" ht="19.5" customHeight="1" outlineLevel="1">
      <c r="A126" s="13"/>
      <c r="B126" s="18" t="s">
        <v>103</v>
      </c>
      <c r="C126" s="209" t="s">
        <v>9</v>
      </c>
      <c r="D126" s="28">
        <f t="shared" si="153"/>
        <v>6428.5714285714266</v>
      </c>
      <c r="E126" s="28">
        <v>602.47272449673994</v>
      </c>
      <c r="F126" s="28">
        <v>830.79302356502035</v>
      </c>
      <c r="G126" s="29">
        <v>4566.8101062497572</v>
      </c>
      <c r="H126" s="29">
        <v>428.49557425990929</v>
      </c>
      <c r="I126" s="214"/>
      <c r="J126" s="214"/>
      <c r="K126" s="28">
        <f>'[53]Свод АУП'!$C$42</f>
        <v>6026.7857142857138</v>
      </c>
      <c r="L126" s="28">
        <f>$K$126*L90</f>
        <v>440.30197633006537</v>
      </c>
      <c r="M126" s="28">
        <f>$K$126*M90</f>
        <v>714.8819147275218</v>
      </c>
      <c r="N126" s="28">
        <f>$K$126*N90</f>
        <v>4639.3741948580737</v>
      </c>
      <c r="O126" s="28">
        <f>$K$126*O90</f>
        <v>232.22762837005303</v>
      </c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F126" s="15"/>
      <c r="AG126" s="15"/>
      <c r="AT126" s="93" t="e">
        <f>#REF!</f>
        <v>#REF!</v>
      </c>
      <c r="AU126" s="93" t="e">
        <f t="shared" si="134"/>
        <v>#REF!</v>
      </c>
      <c r="AV126" s="97" t="e">
        <f t="shared" si="135"/>
        <v>#REF!</v>
      </c>
      <c r="AX126" s="28" t="e">
        <f t="shared" si="151"/>
        <v>#REF!</v>
      </c>
      <c r="AY126" s="28" t="e">
        <f>#REF!</f>
        <v>#REF!</v>
      </c>
      <c r="AZ126" s="28" t="e">
        <f>#REF!</f>
        <v>#REF!</v>
      </c>
      <c r="BA126" s="28" t="e">
        <f>#REF!</f>
        <v>#REF!</v>
      </c>
      <c r="BB126" s="28" t="e">
        <f>#REF!</f>
        <v>#REF!</v>
      </c>
      <c r="BC126" s="28" t="e">
        <f>#REF!</f>
        <v>#REF!</v>
      </c>
      <c r="BD126" s="28" t="e">
        <f>#REF!</f>
        <v>#REF!</v>
      </c>
    </row>
    <row r="127" spans="1:56" s="4" customFormat="1" ht="19.5" customHeight="1" outlineLevel="1">
      <c r="A127" s="13"/>
      <c r="B127" s="18" t="s">
        <v>106</v>
      </c>
      <c r="C127" s="209" t="s">
        <v>9</v>
      </c>
      <c r="D127" s="28">
        <f t="shared" si="153"/>
        <v>281.31712707182322</v>
      </c>
      <c r="E127" s="28">
        <v>26.364472710264423</v>
      </c>
      <c r="F127" s="28">
        <v>36.355869912541685</v>
      </c>
      <c r="G127" s="29">
        <v>199.84562872909441</v>
      </c>
      <c r="H127" s="29">
        <v>18.751155719922703</v>
      </c>
      <c r="I127" s="214"/>
      <c r="J127" s="214"/>
      <c r="K127" s="28">
        <f>'[53]Свод АУП'!$C$43</f>
        <v>281.31712707182322</v>
      </c>
      <c r="L127" s="28">
        <f>$K$127*L90</f>
        <v>20.552329698999451</v>
      </c>
      <c r="M127" s="28">
        <f>$K$127*M90</f>
        <v>33.369118462275644</v>
      </c>
      <c r="N127" s="28">
        <f>$K$127*N90</f>
        <v>216.55580300706094</v>
      </c>
      <c r="O127" s="28">
        <f>$K$127*O90</f>
        <v>10.839875903487158</v>
      </c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F127" s="15"/>
      <c r="AG127" s="15"/>
      <c r="AT127" s="93" t="e">
        <f>#REF!</f>
        <v>#REF!</v>
      </c>
      <c r="AU127" s="93" t="e">
        <f t="shared" si="134"/>
        <v>#REF!</v>
      </c>
      <c r="AV127" s="97" t="e">
        <f t="shared" si="135"/>
        <v>#REF!</v>
      </c>
      <c r="AX127" s="28" t="e">
        <f t="shared" si="151"/>
        <v>#REF!</v>
      </c>
      <c r="AY127" s="28" t="e">
        <f>#REF!</f>
        <v>#REF!</v>
      </c>
      <c r="AZ127" s="28" t="e">
        <f>#REF!</f>
        <v>#REF!</v>
      </c>
      <c r="BA127" s="28" t="e">
        <f>#REF!</f>
        <v>#REF!</v>
      </c>
      <c r="BB127" s="28" t="e">
        <f>#REF!</f>
        <v>#REF!</v>
      </c>
      <c r="BC127" s="28" t="e">
        <f>#REF!</f>
        <v>#REF!</v>
      </c>
      <c r="BD127" s="28" t="e">
        <f>#REF!</f>
        <v>#REF!</v>
      </c>
    </row>
    <row r="128" spans="1:56" s="4" customFormat="1" ht="19.5" customHeight="1">
      <c r="A128" s="13"/>
      <c r="B128" s="18" t="s">
        <v>163</v>
      </c>
      <c r="C128" s="209" t="s">
        <v>9</v>
      </c>
      <c r="D128" s="28">
        <f t="shared" si="153"/>
        <v>15.722651933701655</v>
      </c>
      <c r="E128" s="28">
        <v>1.4734951695039609</v>
      </c>
      <c r="F128" s="28">
        <v>2.0319085948716205</v>
      </c>
      <c r="G128" s="29">
        <v>11.169256894114049</v>
      </c>
      <c r="H128" s="29">
        <v>1.047991275212026</v>
      </c>
      <c r="I128" s="214"/>
      <c r="J128" s="214"/>
      <c r="K128" s="28">
        <f>'[53]Свод АУП'!$C$44</f>
        <v>15.722651933701659</v>
      </c>
      <c r="L128" s="28">
        <f>$K$128*L90</f>
        <v>1.1486578497637916</v>
      </c>
      <c r="M128" s="28">
        <f>$K$128*M90</f>
        <v>1.8649807794420885</v>
      </c>
      <c r="N128" s="28">
        <f>$K$128*N90</f>
        <v>12.103178894024442</v>
      </c>
      <c r="O128" s="28">
        <f>$K$128*O90</f>
        <v>0.60583441047133757</v>
      </c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F128" s="15"/>
      <c r="AG128" s="15"/>
      <c r="AT128" s="93" t="e">
        <f>#REF!</f>
        <v>#REF!</v>
      </c>
      <c r="AU128" s="93" t="e">
        <f t="shared" si="134"/>
        <v>#REF!</v>
      </c>
      <c r="AV128" s="97" t="e">
        <f t="shared" si="135"/>
        <v>#REF!</v>
      </c>
      <c r="AX128" s="28" t="e">
        <f t="shared" si="151"/>
        <v>#REF!</v>
      </c>
      <c r="AY128" s="28" t="e">
        <f>#REF!</f>
        <v>#REF!</v>
      </c>
      <c r="AZ128" s="28" t="e">
        <f>#REF!</f>
        <v>#REF!</v>
      </c>
      <c r="BA128" s="28" t="e">
        <f>#REF!</f>
        <v>#REF!</v>
      </c>
      <c r="BB128" s="28" t="e">
        <f>#REF!</f>
        <v>#REF!</v>
      </c>
      <c r="BC128" s="28" t="e">
        <f>#REF!</f>
        <v>#REF!</v>
      </c>
      <c r="BD128" s="28" t="e">
        <f>#REF!</f>
        <v>#REF!</v>
      </c>
    </row>
    <row r="129" spans="1:56" s="4" customFormat="1" ht="34.5" customHeight="1" outlineLevel="1">
      <c r="A129" s="13"/>
      <c r="B129" s="18" t="s">
        <v>110</v>
      </c>
      <c r="C129" s="209" t="s">
        <v>9</v>
      </c>
      <c r="D129" s="28">
        <f t="shared" si="153"/>
        <v>1606.6637374617146</v>
      </c>
      <c r="E129" s="28">
        <v>258.33896911971215</v>
      </c>
      <c r="F129" s="28">
        <v>249.59205266308524</v>
      </c>
      <c r="G129" s="29">
        <v>1061.551985051048</v>
      </c>
      <c r="H129" s="29">
        <v>37.180730627869195</v>
      </c>
      <c r="I129" s="214"/>
      <c r="J129" s="214"/>
      <c r="K129" s="28">
        <f>'[53]Свод АУП'!$C$45</f>
        <v>1606.6637374617144</v>
      </c>
      <c r="L129" s="28">
        <f>$K$129*L91</f>
        <v>231.60701657188369</v>
      </c>
      <c r="M129" s="28">
        <f>$K$129*M91</f>
        <v>211.03301533798111</v>
      </c>
      <c r="N129" s="28">
        <f>$K$129*N91</f>
        <v>1145.653050882175</v>
      </c>
      <c r="O129" s="28">
        <f>$K$129*O91</f>
        <v>18.370654669674536</v>
      </c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F129" s="15"/>
      <c r="AG129" s="15"/>
      <c r="AT129" s="93" t="e">
        <f>#REF!</f>
        <v>#REF!</v>
      </c>
      <c r="AU129" s="93" t="e">
        <f t="shared" si="134"/>
        <v>#REF!</v>
      </c>
      <c r="AV129" s="97" t="e">
        <f t="shared" si="135"/>
        <v>#REF!</v>
      </c>
      <c r="AX129" s="28" t="e">
        <f t="shared" si="151"/>
        <v>#REF!</v>
      </c>
      <c r="AY129" s="28" t="e">
        <f>#REF!</f>
        <v>#REF!</v>
      </c>
      <c r="AZ129" s="28" t="e">
        <f>#REF!</f>
        <v>#REF!</v>
      </c>
      <c r="BA129" s="28" t="e">
        <f>#REF!</f>
        <v>#REF!</v>
      </c>
      <c r="BB129" s="28" t="e">
        <f>#REF!</f>
        <v>#REF!</v>
      </c>
      <c r="BC129" s="28" t="e">
        <f>#REF!</f>
        <v>#REF!</v>
      </c>
      <c r="BD129" s="28" t="e">
        <f>#REF!</f>
        <v>#REF!</v>
      </c>
    </row>
    <row r="130" spans="1:56" s="4" customFormat="1" ht="24.75" customHeight="1" outlineLevel="1">
      <c r="A130" s="13"/>
      <c r="B130" s="18" t="s">
        <v>164</v>
      </c>
      <c r="C130" s="209" t="s">
        <v>9</v>
      </c>
      <c r="D130" s="28">
        <f t="shared" si="153"/>
        <v>210</v>
      </c>
      <c r="E130" s="28">
        <v>19.680775666893513</v>
      </c>
      <c r="F130" s="28">
        <v>27.139238769790673</v>
      </c>
      <c r="G130" s="29">
        <v>149.18246347082544</v>
      </c>
      <c r="H130" s="29">
        <v>13.997522092490374</v>
      </c>
      <c r="I130" s="214"/>
      <c r="J130" s="214"/>
      <c r="K130" s="28">
        <f>'[53]Свод АУП'!$C$49</f>
        <v>210</v>
      </c>
      <c r="L130" s="28">
        <f>$K$130*L90</f>
        <v>15.342077753012058</v>
      </c>
      <c r="M130" s="28">
        <f>$K$130*M90</f>
        <v>24.909663162061204</v>
      </c>
      <c r="N130" s="28">
        <f>$K$130*N90</f>
        <v>161.65641638972133</v>
      </c>
      <c r="O130" s="28">
        <f>$K$130*O90</f>
        <v>8.0918426952054041</v>
      </c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F130" s="15"/>
      <c r="AG130" s="15"/>
      <c r="AT130" s="93" t="e">
        <f>#REF!</f>
        <v>#REF!</v>
      </c>
      <c r="AU130" s="93" t="e">
        <f t="shared" si="134"/>
        <v>#REF!</v>
      </c>
      <c r="AV130" s="97" t="e">
        <f t="shared" si="135"/>
        <v>#REF!</v>
      </c>
      <c r="AX130" s="28" t="e">
        <f t="shared" si="151"/>
        <v>#REF!</v>
      </c>
      <c r="AY130" s="28" t="e">
        <f>#REF!</f>
        <v>#REF!</v>
      </c>
      <c r="AZ130" s="28" t="e">
        <f>#REF!</f>
        <v>#REF!</v>
      </c>
      <c r="BA130" s="28" t="e">
        <f>#REF!</f>
        <v>#REF!</v>
      </c>
      <c r="BB130" s="28" t="e">
        <f>#REF!</f>
        <v>#REF!</v>
      </c>
      <c r="BC130" s="28" t="e">
        <f>#REF!</f>
        <v>#REF!</v>
      </c>
      <c r="BD130" s="28" t="e">
        <f>#REF!</f>
        <v>#REF!</v>
      </c>
    </row>
    <row r="131" spans="1:56" s="4" customFormat="1" outlineLevel="1">
      <c r="A131" s="207"/>
      <c r="B131" s="56" t="s">
        <v>130</v>
      </c>
      <c r="C131" s="210"/>
      <c r="D131" s="28">
        <f t="shared" si="153"/>
        <v>93.499999999999986</v>
      </c>
      <c r="E131" s="57">
        <v>8.7626310707359192</v>
      </c>
      <c r="F131" s="57">
        <v>12.083422976073464</v>
      </c>
      <c r="G131" s="29">
        <v>66.421715878677034</v>
      </c>
      <c r="H131" s="58">
        <v>6.2322300745135699</v>
      </c>
      <c r="I131" s="214"/>
      <c r="J131" s="214"/>
      <c r="K131" s="28">
        <f>'[53]Свод АУП'!$C$50</f>
        <v>93.500000000000014</v>
      </c>
      <c r="L131" s="57">
        <f>$K$131*L90</f>
        <v>6.8308774757458455</v>
      </c>
      <c r="M131" s="57">
        <f>$K$131*M90</f>
        <v>11.090730979298682</v>
      </c>
      <c r="N131" s="57">
        <f>$K$131*N90</f>
        <v>71.97559491637594</v>
      </c>
      <c r="O131" s="57">
        <f>$K$131*O90</f>
        <v>3.6027966285795494</v>
      </c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F131" s="15"/>
      <c r="AG131" s="15"/>
      <c r="AT131" s="93" t="e">
        <f>#REF!</f>
        <v>#REF!</v>
      </c>
      <c r="AU131" s="93" t="e">
        <f t="shared" si="134"/>
        <v>#REF!</v>
      </c>
      <c r="AV131" s="97" t="e">
        <f t="shared" si="135"/>
        <v>#REF!</v>
      </c>
      <c r="AX131" s="28" t="e">
        <f t="shared" si="151"/>
        <v>#REF!</v>
      </c>
      <c r="AY131" s="28" t="e">
        <f>#REF!</f>
        <v>#REF!</v>
      </c>
      <c r="AZ131" s="28" t="e">
        <f>#REF!</f>
        <v>#REF!</v>
      </c>
      <c r="BA131" s="28" t="e">
        <f>#REF!</f>
        <v>#REF!</v>
      </c>
      <c r="BB131" s="28" t="e">
        <f>#REF!</f>
        <v>#REF!</v>
      </c>
      <c r="BC131" s="28" t="e">
        <f>#REF!</f>
        <v>#REF!</v>
      </c>
      <c r="BD131" s="28" t="e">
        <f>#REF!</f>
        <v>#REF!</v>
      </c>
    </row>
    <row r="132" spans="1:56" s="4" customFormat="1" ht="20.25" customHeight="1" outlineLevel="1">
      <c r="A132" s="207"/>
      <c r="B132" s="56" t="s">
        <v>94</v>
      </c>
      <c r="C132" s="210"/>
      <c r="D132" s="28">
        <f t="shared" si="153"/>
        <v>207.94168329858704</v>
      </c>
      <c r="E132" s="57">
        <v>33.435397120024142</v>
      </c>
      <c r="F132" s="57">
        <v>32.30333165464144</v>
      </c>
      <c r="G132" s="29">
        <v>137.3908563027685</v>
      </c>
      <c r="H132" s="58">
        <v>4.8120982211529402</v>
      </c>
      <c r="I132" s="214"/>
      <c r="J132" s="214"/>
      <c r="K132" s="28">
        <f>'[53]Свод АУП'!$C$51</f>
        <v>207.94168329858695</v>
      </c>
      <c r="L132" s="57">
        <f>$K$132*L91</f>
        <v>29.975626988263219</v>
      </c>
      <c r="M132" s="57">
        <f>$K$132*M91</f>
        <v>27.312846750549134</v>
      </c>
      <c r="N132" s="57">
        <f>$K$132*N91</f>
        <v>148.27559639390816</v>
      </c>
      <c r="O132" s="57">
        <f>$K$132*O91</f>
        <v>2.3776131658664501</v>
      </c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F132" s="15"/>
      <c r="AG132" s="15"/>
      <c r="AT132" s="93" t="e">
        <f>#REF!</f>
        <v>#REF!</v>
      </c>
      <c r="AU132" s="93" t="e">
        <f t="shared" si="134"/>
        <v>#REF!</v>
      </c>
      <c r="AV132" s="97" t="e">
        <f t="shared" si="135"/>
        <v>#REF!</v>
      </c>
      <c r="AX132" s="28" t="e">
        <f t="shared" si="151"/>
        <v>#REF!</v>
      </c>
      <c r="AY132" s="28" t="e">
        <f>#REF!</f>
        <v>#REF!</v>
      </c>
      <c r="AZ132" s="28" t="e">
        <f>#REF!</f>
        <v>#REF!</v>
      </c>
      <c r="BA132" s="28" t="e">
        <f>#REF!</f>
        <v>#REF!</v>
      </c>
      <c r="BB132" s="28" t="e">
        <f>#REF!</f>
        <v>#REF!</v>
      </c>
      <c r="BC132" s="28" t="e">
        <f>#REF!</f>
        <v>#REF!</v>
      </c>
      <c r="BD132" s="28" t="e">
        <f>#REF!</f>
        <v>#REF!</v>
      </c>
    </row>
    <row r="133" spans="1:56" s="4" customFormat="1" hidden="1" outlineLevel="1">
      <c r="A133" s="207"/>
      <c r="B133" s="56" t="s">
        <v>165</v>
      </c>
      <c r="C133" s="210"/>
      <c r="D133" s="28">
        <f t="shared" si="153"/>
        <v>0</v>
      </c>
      <c r="E133" s="57">
        <v>0</v>
      </c>
      <c r="F133" s="57">
        <v>0</v>
      </c>
      <c r="G133" s="57">
        <v>0</v>
      </c>
      <c r="H133" s="58">
        <v>0</v>
      </c>
      <c r="K133" s="28">
        <v>0</v>
      </c>
      <c r="L133" s="57">
        <v>0</v>
      </c>
      <c r="M133" s="57">
        <v>0</v>
      </c>
      <c r="N133" s="57">
        <v>0</v>
      </c>
      <c r="O133" s="58">
        <v>0</v>
      </c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F133" s="15"/>
      <c r="AG133" s="15"/>
      <c r="AT133" s="93" t="e">
        <f>#REF!</f>
        <v>#REF!</v>
      </c>
      <c r="AU133" s="93" t="e">
        <f t="shared" si="134"/>
        <v>#REF!</v>
      </c>
      <c r="AV133" s="97" t="e">
        <f t="shared" si="135"/>
        <v>#REF!</v>
      </c>
      <c r="AX133" s="28">
        <f t="shared" si="151"/>
        <v>0</v>
      </c>
      <c r="AY133" s="57">
        <v>0</v>
      </c>
      <c r="AZ133" s="57">
        <v>0</v>
      </c>
      <c r="BA133" s="57">
        <v>0</v>
      </c>
      <c r="BB133" s="58">
        <v>0</v>
      </c>
      <c r="BC133" s="58">
        <v>0</v>
      </c>
      <c r="BD133" s="58">
        <v>0</v>
      </c>
    </row>
    <row r="134" spans="1:56" s="4" customFormat="1" hidden="1" outlineLevel="1">
      <c r="A134" s="207"/>
      <c r="B134" s="56" t="s">
        <v>114</v>
      </c>
      <c r="C134" s="210"/>
      <c r="D134" s="28">
        <f t="shared" si="153"/>
        <v>0</v>
      </c>
      <c r="E134" s="57">
        <v>0</v>
      </c>
      <c r="F134" s="57">
        <v>0</v>
      </c>
      <c r="G134" s="57">
        <v>0</v>
      </c>
      <c r="H134" s="58">
        <v>0</v>
      </c>
      <c r="K134" s="28">
        <v>0</v>
      </c>
      <c r="L134" s="57">
        <v>0</v>
      </c>
      <c r="M134" s="57">
        <v>0</v>
      </c>
      <c r="N134" s="57">
        <v>0</v>
      </c>
      <c r="O134" s="58">
        <v>0</v>
      </c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F134" s="15"/>
      <c r="AG134" s="15"/>
      <c r="AT134" s="93" t="e">
        <f>#REF!</f>
        <v>#REF!</v>
      </c>
      <c r="AU134" s="93" t="e">
        <f t="shared" si="134"/>
        <v>#REF!</v>
      </c>
      <c r="AV134" s="97" t="e">
        <f t="shared" si="135"/>
        <v>#REF!</v>
      </c>
      <c r="AX134" s="28">
        <f t="shared" si="151"/>
        <v>0</v>
      </c>
      <c r="AY134" s="57">
        <v>0</v>
      </c>
      <c r="AZ134" s="57">
        <v>0</v>
      </c>
      <c r="BA134" s="57">
        <v>0</v>
      </c>
      <c r="BB134" s="58">
        <v>0</v>
      </c>
      <c r="BC134" s="58">
        <v>0</v>
      </c>
      <c r="BD134" s="58">
        <v>0</v>
      </c>
    </row>
    <row r="135" spans="1:56" s="4" customFormat="1" ht="32.25" customHeight="1" collapsed="1">
      <c r="A135" s="13">
        <v>7</v>
      </c>
      <c r="B135" s="12" t="s">
        <v>66</v>
      </c>
      <c r="C135" s="209" t="s">
        <v>9</v>
      </c>
      <c r="D135" s="25">
        <f t="shared" si="153"/>
        <v>3060199.0170137505</v>
      </c>
      <c r="E135" s="35">
        <v>1352157.4899460636</v>
      </c>
      <c r="F135" s="35">
        <v>1029248.7883013519</v>
      </c>
      <c r="G135" s="33">
        <v>615653.21643749182</v>
      </c>
      <c r="H135" s="35">
        <v>63139.522328843101</v>
      </c>
      <c r="K135" s="175">
        <f>'[53]Свод АУП'!$C$54</f>
        <v>3060384.8732380006</v>
      </c>
      <c r="L135" s="35">
        <f>$K$135*L92</f>
        <v>1355948.5552545828</v>
      </c>
      <c r="M135" s="35">
        <f>$K$135*M92</f>
        <v>958688.79884211032</v>
      </c>
      <c r="N135" s="35">
        <f>$K$135*N92</f>
        <v>734262.32630622713</v>
      </c>
      <c r="O135" s="35">
        <f>$K$135*O92</f>
        <v>11485.192835080547</v>
      </c>
      <c r="Q135" s="48"/>
      <c r="R135" s="48"/>
      <c r="S135" s="48"/>
      <c r="T135" s="48"/>
      <c r="U135" s="48"/>
      <c r="V135" s="48"/>
      <c r="W135" s="48"/>
      <c r="X135" s="48"/>
      <c r="Y135" s="48"/>
      <c r="Z135" s="15"/>
      <c r="AA135" s="15"/>
      <c r="AF135" s="15"/>
      <c r="AG135" s="15"/>
      <c r="AT135" s="92" t="e">
        <f>#REF!</f>
        <v>#REF!</v>
      </c>
      <c r="AU135" s="92" t="e">
        <f t="shared" si="134"/>
        <v>#REF!</v>
      </c>
      <c r="AV135" s="97" t="e">
        <f t="shared" si="135"/>
        <v>#REF!</v>
      </c>
      <c r="AX135" s="25" t="e">
        <f>SUM(AY135:BD135)</f>
        <v>#REF!</v>
      </c>
      <c r="AY135" s="35" t="e">
        <f>#REF!</f>
        <v>#REF!</v>
      </c>
      <c r="AZ135" s="35" t="e">
        <f>#REF!</f>
        <v>#REF!</v>
      </c>
      <c r="BA135" s="35" t="e">
        <f>#REF!</f>
        <v>#REF!</v>
      </c>
      <c r="BB135" s="35" t="e">
        <f>#REF!</f>
        <v>#REF!</v>
      </c>
      <c r="BC135" s="35" t="e">
        <f>#REF!</f>
        <v>#REF!</v>
      </c>
      <c r="BD135" s="35" t="e">
        <f>#REF!</f>
        <v>#REF!</v>
      </c>
    </row>
    <row r="136" spans="1:56" s="6" customFormat="1" ht="27.75" customHeight="1">
      <c r="A136" s="19" t="s">
        <v>67</v>
      </c>
      <c r="B136" s="17" t="s">
        <v>68</v>
      </c>
      <c r="C136" s="209" t="s">
        <v>9</v>
      </c>
      <c r="D136" s="27">
        <f>D6+D94</f>
        <v>8437981.3526431881</v>
      </c>
      <c r="E136" s="27">
        <f>E6+E94</f>
        <v>2822085.1497539203</v>
      </c>
      <c r="F136" s="27">
        <f>F6+F94</f>
        <v>2278038.9182372401</v>
      </c>
      <c r="G136" s="27">
        <f>G6+G94</f>
        <v>3095071.4001153111</v>
      </c>
      <c r="H136" s="27">
        <f>H6+H94</f>
        <v>242785.88453671784</v>
      </c>
      <c r="K136" s="27">
        <f>K6+K94</f>
        <v>8026666.6214488028</v>
      </c>
      <c r="L136" s="27">
        <f>L6+L94</f>
        <v>2568223.8985880394</v>
      </c>
      <c r="M136" s="27">
        <f>M6+M94</f>
        <v>2047823.3742177165</v>
      </c>
      <c r="N136" s="27">
        <f>N6+N94</f>
        <v>3294362.7730457988</v>
      </c>
      <c r="O136" s="27">
        <f>O6+O94</f>
        <v>116256.57559724881</v>
      </c>
      <c r="Q136" s="340"/>
      <c r="R136" s="340"/>
      <c r="S136" s="340"/>
      <c r="T136" s="340"/>
      <c r="U136" s="340"/>
      <c r="V136" s="340"/>
      <c r="W136" s="340"/>
      <c r="X136" s="316"/>
      <c r="Y136" s="253"/>
      <c r="Z136" s="253"/>
      <c r="AA136" s="253"/>
      <c r="AB136" s="253"/>
      <c r="AC136" s="253"/>
      <c r="AD136" s="253"/>
      <c r="AF136" s="203"/>
      <c r="AG136" s="203"/>
      <c r="AT136" s="99" t="e">
        <f>AT6+AT94</f>
        <v>#REF!</v>
      </c>
      <c r="AU136" s="91" t="e">
        <f t="shared" si="134"/>
        <v>#REF!</v>
      </c>
      <c r="AV136" s="98" t="e">
        <f t="shared" si="135"/>
        <v>#REF!</v>
      </c>
      <c r="AX136" s="27" t="e">
        <f t="shared" ref="AX136:BD136" si="154">AX6+AX94</f>
        <v>#REF!</v>
      </c>
      <c r="AY136" s="27" t="e">
        <f t="shared" si="154"/>
        <v>#REF!</v>
      </c>
      <c r="AZ136" s="27" t="e">
        <f t="shared" si="154"/>
        <v>#REF!</v>
      </c>
      <c r="BA136" s="27" t="e">
        <f t="shared" si="154"/>
        <v>#REF!</v>
      </c>
      <c r="BB136" s="27" t="e">
        <f t="shared" si="154"/>
        <v>#REF!</v>
      </c>
      <c r="BC136" s="27" t="e">
        <f t="shared" si="154"/>
        <v>#REF!</v>
      </c>
      <c r="BD136" s="27" t="e">
        <f t="shared" si="154"/>
        <v>#REF!</v>
      </c>
    </row>
    <row r="137" spans="1:56" s="4" customFormat="1" ht="29.25" customHeight="1">
      <c r="A137" s="19" t="s">
        <v>69</v>
      </c>
      <c r="B137" s="17" t="s">
        <v>70</v>
      </c>
      <c r="C137" s="209" t="s">
        <v>9</v>
      </c>
      <c r="D137" s="27">
        <f>SUM(E137:H137)</f>
        <v>5005696.2419580091</v>
      </c>
      <c r="E137" s="27">
        <v>2230430.8109019222</v>
      </c>
      <c r="F137" s="27">
        <v>1697781.6760105197</v>
      </c>
      <c r="G137" s="27">
        <v>999110.76775652147</v>
      </c>
      <c r="H137" s="27">
        <v>78372.987289045748</v>
      </c>
      <c r="I137" s="6"/>
      <c r="J137" s="6"/>
      <c r="K137" s="27">
        <f>SUM(L137:O137)</f>
        <v>3839720.8073484786</v>
      </c>
      <c r="L137" s="27">
        <f>$D$150/1000*L92</f>
        <v>1604399.355219783</v>
      </c>
      <c r="M137" s="27">
        <f>$D$150/1000*M92</f>
        <v>1134349.5922158526</v>
      </c>
      <c r="N137" s="27">
        <f t="shared" ref="N137:O137" si="155">N139-N138</f>
        <v>1063443.421474433</v>
      </c>
      <c r="O137" s="27">
        <f t="shared" si="155"/>
        <v>37528.438438410136</v>
      </c>
      <c r="X137" s="316"/>
      <c r="Y137" s="253"/>
      <c r="Z137" s="253"/>
      <c r="AA137" s="253"/>
      <c r="AB137" s="253"/>
      <c r="AC137" s="253"/>
      <c r="AD137" s="253"/>
      <c r="AT137" s="99" t="e">
        <f>#REF!</f>
        <v>#REF!</v>
      </c>
      <c r="AU137" s="91" t="e">
        <f t="shared" si="134"/>
        <v>#REF!</v>
      </c>
      <c r="AV137" s="95"/>
      <c r="AX137" s="27" t="e">
        <f>SUM(AY137:BD137)</f>
        <v>#REF!</v>
      </c>
      <c r="AY137" s="27" t="e">
        <f>#REF!</f>
        <v>#REF!</v>
      </c>
      <c r="AZ137" s="27" t="e">
        <f>#REF!</f>
        <v>#REF!</v>
      </c>
      <c r="BA137" s="27" t="e">
        <f>#REF!</f>
        <v>#REF!</v>
      </c>
      <c r="BB137" s="27" t="e">
        <f>#REF!</f>
        <v>#REF!</v>
      </c>
      <c r="BC137" s="27" t="e">
        <f>#REF!</f>
        <v>#REF!</v>
      </c>
      <c r="BD137" s="27" t="e">
        <f>#REF!</f>
        <v>#REF!</v>
      </c>
    </row>
    <row r="138" spans="1:56" s="4" customFormat="1" ht="26.25" customHeight="1">
      <c r="A138" s="13"/>
      <c r="B138" s="12" t="s">
        <v>71</v>
      </c>
      <c r="C138" s="209" t="s">
        <v>9</v>
      </c>
      <c r="D138" s="35">
        <f>D139-D137</f>
        <v>1251424.0604895018</v>
      </c>
      <c r="E138" s="35">
        <f>E139-E137</f>
        <v>557607.70272548031</v>
      </c>
      <c r="F138" s="35">
        <f>F139-F137</f>
        <v>424445.41900262982</v>
      </c>
      <c r="G138" s="35">
        <f t="shared" ref="G138" si="156">G139-G137</f>
        <v>249777.69193913043</v>
      </c>
      <c r="H138" s="35">
        <f t="shared" ref="H138" si="157">H139-H137</f>
        <v>19593.246822261441</v>
      </c>
      <c r="K138" s="35">
        <f>K139-K137</f>
        <v>959930.20183711965</v>
      </c>
      <c r="L138" s="35">
        <f>L139-L137</f>
        <v>401099.83880494582</v>
      </c>
      <c r="M138" s="35">
        <f>M139-M137</f>
        <v>283587.3980539632</v>
      </c>
      <c r="N138" s="35">
        <f t="shared" ref="N138:O138" si="158">N139*0.2</f>
        <v>265860.85536860826</v>
      </c>
      <c r="O138" s="35">
        <f t="shared" si="158"/>
        <v>9382.109609602534</v>
      </c>
      <c r="X138" s="316"/>
      <c r="Y138" s="253"/>
      <c r="Z138" s="253"/>
      <c r="AA138" s="253"/>
      <c r="AB138" s="253"/>
      <c r="AC138" s="253"/>
      <c r="AD138" s="253"/>
      <c r="AT138" s="102" t="e">
        <f>AT139-AT137</f>
        <v>#REF!</v>
      </c>
      <c r="AU138" s="92" t="e">
        <f t="shared" si="134"/>
        <v>#REF!</v>
      </c>
      <c r="AV138" s="95"/>
      <c r="AX138" s="35" t="e">
        <f>AX139-AX137</f>
        <v>#REF!</v>
      </c>
      <c r="AY138" s="35" t="e">
        <f>AY139-AY137</f>
        <v>#REF!</v>
      </c>
      <c r="AZ138" s="35" t="e">
        <f>AZ139-AZ137</f>
        <v>#REF!</v>
      </c>
      <c r="BA138" s="35" t="e">
        <f t="shared" ref="BA138:BD138" si="159">BA139-BA137</f>
        <v>#REF!</v>
      </c>
      <c r="BB138" s="35" t="e">
        <f t="shared" si="159"/>
        <v>#REF!</v>
      </c>
      <c r="BC138" s="35" t="e">
        <f>BC139-BC137</f>
        <v>#REF!</v>
      </c>
      <c r="BD138" s="35" t="e">
        <f t="shared" si="159"/>
        <v>#REF!</v>
      </c>
    </row>
    <row r="139" spans="1:56" s="4" customFormat="1" ht="26.25" customHeight="1">
      <c r="A139" s="13"/>
      <c r="B139" s="12" t="s">
        <v>72</v>
      </c>
      <c r="C139" s="209" t="s">
        <v>9</v>
      </c>
      <c r="D139" s="54">
        <f>D137/8*10</f>
        <v>6257120.3024475109</v>
      </c>
      <c r="E139" s="54">
        <f t="shared" ref="E139:H139" si="160">E137/8*10</f>
        <v>2788038.5136274025</v>
      </c>
      <c r="F139" s="54">
        <f t="shared" si="160"/>
        <v>2122227.0950131495</v>
      </c>
      <c r="G139" s="54">
        <f t="shared" ref="G139" si="161">G137/8*10</f>
        <v>1248888.4596956519</v>
      </c>
      <c r="H139" s="54">
        <f t="shared" si="160"/>
        <v>97966.234111307189</v>
      </c>
      <c r="K139" s="54">
        <f>K137/8*10</f>
        <v>4799651.0091855982</v>
      </c>
      <c r="L139" s="54">
        <f t="shared" ref="L139:M139" si="162">L137/8*10</f>
        <v>2005499.1940247288</v>
      </c>
      <c r="M139" s="54">
        <f t="shared" si="162"/>
        <v>1417936.9902698158</v>
      </c>
      <c r="N139" s="238">
        <f t="shared" ref="N139:O139" si="163">N140-N136</f>
        <v>1329304.2768430412</v>
      </c>
      <c r="O139" s="238">
        <f t="shared" si="163"/>
        <v>46910.548048012672</v>
      </c>
      <c r="X139" s="316"/>
      <c r="Y139" s="253"/>
      <c r="Z139" s="253"/>
      <c r="AA139" s="253"/>
      <c r="AB139" s="253"/>
      <c r="AC139" s="253"/>
      <c r="AD139" s="253"/>
      <c r="AT139" s="103" t="e">
        <f>AT137/8*10</f>
        <v>#REF!</v>
      </c>
      <c r="AU139" s="92" t="e">
        <f t="shared" si="134"/>
        <v>#REF!</v>
      </c>
      <c r="AV139" s="95"/>
      <c r="AX139" s="54" t="e">
        <f>AX137/8*10</f>
        <v>#REF!</v>
      </c>
      <c r="AY139" s="54" t="e">
        <f t="shared" ref="AY139:BD139" si="164">AY137/8*10</f>
        <v>#REF!</v>
      </c>
      <c r="AZ139" s="54" t="e">
        <f t="shared" si="164"/>
        <v>#REF!</v>
      </c>
      <c r="BA139" s="54" t="e">
        <f t="shared" si="164"/>
        <v>#REF!</v>
      </c>
      <c r="BB139" s="54" t="e">
        <f t="shared" si="164"/>
        <v>#REF!</v>
      </c>
      <c r="BC139" s="54" t="e">
        <f>BC137/8*10</f>
        <v>#REF!</v>
      </c>
      <c r="BD139" s="54" t="e">
        <f t="shared" si="164"/>
        <v>#REF!</v>
      </c>
    </row>
    <row r="140" spans="1:56" s="4" customFormat="1" ht="34.5" customHeight="1">
      <c r="A140" s="19" t="s">
        <v>73</v>
      </c>
      <c r="B140" s="17" t="s">
        <v>74</v>
      </c>
      <c r="C140" s="209" t="s">
        <v>9</v>
      </c>
      <c r="D140" s="31">
        <f>D136+D139</f>
        <v>14695101.655090699</v>
      </c>
      <c r="E140" s="31">
        <f>E136+E139</f>
        <v>5610123.6633813232</v>
      </c>
      <c r="F140" s="31">
        <f t="shared" ref="F140:H140" si="165">F136+F139</f>
        <v>4400266.0132503901</v>
      </c>
      <c r="G140" s="31">
        <f t="shared" ref="G140" si="166">G136+G139</f>
        <v>4343959.8598109633</v>
      </c>
      <c r="H140" s="31">
        <f t="shared" si="165"/>
        <v>340752.11864802503</v>
      </c>
      <c r="K140" s="31">
        <f>K136+K139</f>
        <v>12826317.630634401</v>
      </c>
      <c r="L140" s="31">
        <f>L136+L139</f>
        <v>4573723.0926127685</v>
      </c>
      <c r="M140" s="31">
        <f t="shared" ref="M140" si="167">M136+M139</f>
        <v>3465760.3644875325</v>
      </c>
      <c r="N140" s="31">
        <f>N136*0.8/(0.8-23%)</f>
        <v>4623667.0498888399</v>
      </c>
      <c r="O140" s="31">
        <f>O136*0.8/(0.8-23%)</f>
        <v>163167.12364526148</v>
      </c>
      <c r="X140" s="316"/>
      <c r="Y140" s="253"/>
      <c r="Z140" s="253"/>
      <c r="AA140" s="253"/>
      <c r="AB140" s="253"/>
      <c r="AC140" s="253"/>
      <c r="AD140" s="253"/>
      <c r="AT140" s="104" t="e">
        <f>AT136+AT139</f>
        <v>#REF!</v>
      </c>
      <c r="AU140" s="91" t="e">
        <f t="shared" si="134"/>
        <v>#REF!</v>
      </c>
      <c r="AV140" s="95"/>
      <c r="AX140" s="31" t="e">
        <f>AX136+AX139</f>
        <v>#REF!</v>
      </c>
      <c r="AY140" s="31" t="e">
        <f>AY136+AY139</f>
        <v>#REF!</v>
      </c>
      <c r="AZ140" s="31" t="e">
        <f t="shared" ref="AZ140:BD140" si="168">AZ136+AZ139</f>
        <v>#REF!</v>
      </c>
      <c r="BA140" s="31" t="e">
        <f t="shared" si="168"/>
        <v>#REF!</v>
      </c>
      <c r="BB140" s="31" t="e">
        <f t="shared" si="168"/>
        <v>#REF!</v>
      </c>
      <c r="BC140" s="31" t="e">
        <f t="shared" si="168"/>
        <v>#REF!</v>
      </c>
      <c r="BD140" s="31" t="e">
        <f t="shared" si="168"/>
        <v>#REF!</v>
      </c>
    </row>
    <row r="141" spans="1:56" s="4" customFormat="1" ht="27.75" customHeight="1">
      <c r="A141" s="820" t="s">
        <v>75</v>
      </c>
      <c r="B141" s="799" t="s">
        <v>76</v>
      </c>
      <c r="C141" s="14" t="s">
        <v>77</v>
      </c>
      <c r="D141" s="25" t="s">
        <v>133</v>
      </c>
      <c r="E141" s="25">
        <v>1559287</v>
      </c>
      <c r="F141" s="25"/>
      <c r="H141" s="25"/>
      <c r="K141" s="25" t="s">
        <v>133</v>
      </c>
      <c r="L141" s="321">
        <v>1598380.6459999995</v>
      </c>
      <c r="M141" s="321"/>
      <c r="N141" s="336"/>
      <c r="O141" s="321"/>
      <c r="X141" s="245"/>
      <c r="Y141" s="245"/>
      <c r="Z141" s="245"/>
      <c r="AA141" s="245"/>
      <c r="AB141" s="245"/>
      <c r="AC141" s="245"/>
      <c r="AD141" s="245"/>
      <c r="AT141" s="92" t="e">
        <f>#REF!</f>
        <v>#REF!</v>
      </c>
      <c r="AU141" s="92"/>
      <c r="AV141" s="95"/>
      <c r="AX141" s="147" t="s">
        <v>133</v>
      </c>
      <c r="AY141" s="25" t="e">
        <f>#REF!</f>
        <v>#REF!</v>
      </c>
      <c r="AZ141" s="25"/>
      <c r="BA141" s="25"/>
      <c r="BB141" s="25"/>
      <c r="BC141" s="25"/>
      <c r="BD141" s="25"/>
    </row>
    <row r="142" spans="1:56" s="4" customFormat="1" ht="27.75" customHeight="1">
      <c r="A142" s="821"/>
      <c r="B142" s="800"/>
      <c r="C142" s="14" t="s">
        <v>131</v>
      </c>
      <c r="D142" s="25" t="s">
        <v>134</v>
      </c>
      <c r="E142" s="25"/>
      <c r="F142" s="25">
        <v>687793</v>
      </c>
      <c r="G142" s="25"/>
      <c r="H142" s="25"/>
      <c r="K142" s="25" t="s">
        <v>134</v>
      </c>
      <c r="L142" s="321"/>
      <c r="M142" s="321">
        <v>715907.70000000007</v>
      </c>
      <c r="N142" s="321"/>
      <c r="O142" s="321"/>
      <c r="X142" s="245"/>
      <c r="Y142" s="245"/>
      <c r="Z142" s="245"/>
      <c r="AA142" s="245"/>
      <c r="AB142" s="245"/>
      <c r="AC142" s="245"/>
      <c r="AD142" s="245"/>
      <c r="AT142" s="92" t="e">
        <f>#REF!</f>
        <v>#REF!</v>
      </c>
      <c r="AU142" s="92"/>
      <c r="AV142" s="95"/>
      <c r="AX142" s="147" t="s">
        <v>134</v>
      </c>
      <c r="AY142" s="25"/>
      <c r="AZ142" s="25" t="e">
        <f>#REF!</f>
        <v>#REF!</v>
      </c>
      <c r="BA142" s="25"/>
      <c r="BB142" s="25"/>
      <c r="BC142" s="25"/>
      <c r="BD142" s="25"/>
    </row>
    <row r="143" spans="1:56" s="4" customFormat="1" ht="27.75" customHeight="1">
      <c r="A143" s="821"/>
      <c r="B143" s="800"/>
      <c r="C143" s="111"/>
      <c r="D143" s="25" t="s">
        <v>133</v>
      </c>
      <c r="E143" s="112"/>
      <c r="F143" s="112"/>
      <c r="G143" s="25">
        <f>1676445+484720</f>
        <v>2161165</v>
      </c>
      <c r="H143" s="112"/>
      <c r="K143" s="25" t="s">
        <v>133</v>
      </c>
      <c r="L143" s="321"/>
      <c r="M143" s="321"/>
      <c r="N143" s="321">
        <v>2351928.0980000002</v>
      </c>
      <c r="O143" s="321"/>
      <c r="X143" s="245"/>
      <c r="Y143" s="245"/>
      <c r="Z143" s="245"/>
      <c r="AA143" s="245"/>
      <c r="AB143" s="245"/>
      <c r="AC143" s="245"/>
      <c r="AD143" s="245"/>
      <c r="AT143" s="92" t="e">
        <f>#REF!</f>
        <v>#REF!</v>
      </c>
      <c r="AU143" s="92"/>
      <c r="AV143" s="95"/>
      <c r="AX143" s="147" t="s">
        <v>133</v>
      </c>
      <c r="AY143" s="25"/>
      <c r="AZ143" s="25"/>
      <c r="BA143" s="25" t="e">
        <f>#REF!</f>
        <v>#REF!</v>
      </c>
      <c r="BB143" s="25"/>
      <c r="BC143" s="25"/>
      <c r="BD143" s="25"/>
    </row>
    <row r="144" spans="1:56" s="4" customFormat="1" ht="27.75" customHeight="1">
      <c r="A144" s="822"/>
      <c r="B144" s="801"/>
      <c r="C144" s="14"/>
      <c r="D144" s="25" t="s">
        <v>137</v>
      </c>
      <c r="E144" s="25"/>
      <c r="F144" s="25"/>
      <c r="G144" s="25"/>
      <c r="H144" s="25">
        <v>2190</v>
      </c>
      <c r="K144" s="25" t="s">
        <v>137</v>
      </c>
      <c r="L144" s="321"/>
      <c r="M144" s="321"/>
      <c r="N144" s="321"/>
      <c r="O144" s="321">
        <v>2190</v>
      </c>
      <c r="X144" s="245"/>
      <c r="Y144" s="245"/>
      <c r="Z144" s="245"/>
      <c r="AA144" s="245"/>
      <c r="AB144" s="245"/>
      <c r="AC144" s="245"/>
      <c r="AD144" s="245"/>
      <c r="AT144" s="92" t="e">
        <f>#REF!</f>
        <v>#REF!</v>
      </c>
      <c r="AU144" s="92"/>
      <c r="AV144" s="95"/>
      <c r="AX144" s="147" t="s">
        <v>169</v>
      </c>
      <c r="AY144" s="25"/>
      <c r="AZ144" s="25"/>
      <c r="BA144" s="25"/>
      <c r="BB144" s="25"/>
      <c r="BC144" s="25"/>
      <c r="BD144" s="25" t="e">
        <f>#REF!</f>
        <v>#REF!</v>
      </c>
    </row>
    <row r="145" spans="1:56" s="5" customFormat="1" ht="27.75" customHeight="1">
      <c r="A145" s="820" t="s">
        <v>78</v>
      </c>
      <c r="B145" s="799" t="s">
        <v>79</v>
      </c>
      <c r="C145" s="14" t="s">
        <v>80</v>
      </c>
      <c r="D145" s="25" t="s">
        <v>169</v>
      </c>
      <c r="E145" s="31">
        <f>(E140*1000)/E141</f>
        <v>3597.8775320908358</v>
      </c>
      <c r="F145" s="31"/>
      <c r="H145" s="31"/>
      <c r="K145" s="25" t="s">
        <v>169</v>
      </c>
      <c r="L145" s="322">
        <f>(L140*1000)/L141</f>
        <v>2861.4730189949819</v>
      </c>
      <c r="M145" s="322"/>
      <c r="N145" s="337"/>
      <c r="O145" s="322"/>
      <c r="X145" s="254"/>
      <c r="Y145" s="254"/>
      <c r="Z145" s="254"/>
      <c r="AA145" s="254"/>
      <c r="AB145" s="254"/>
      <c r="AC145" s="254"/>
      <c r="AD145" s="254"/>
      <c r="AT145" s="91" t="e">
        <f>#REF!</f>
        <v>#REF!</v>
      </c>
      <c r="AU145" s="91" t="e">
        <f>E145-AT145</f>
        <v>#REF!</v>
      </c>
      <c r="AV145" s="95"/>
      <c r="AX145" s="147" t="s">
        <v>170</v>
      </c>
      <c r="AY145" s="31" t="e">
        <f>(AY140*1000)/AY141</f>
        <v>#REF!</v>
      </c>
      <c r="AZ145" s="31"/>
      <c r="BB145" s="68"/>
      <c r="BC145" s="31"/>
      <c r="BD145" s="31"/>
    </row>
    <row r="146" spans="1:56" s="4" customFormat="1" ht="27.75" customHeight="1">
      <c r="A146" s="821"/>
      <c r="B146" s="800"/>
      <c r="C146" s="14" t="s">
        <v>89</v>
      </c>
      <c r="D146" s="25" t="s">
        <v>170</v>
      </c>
      <c r="E146" s="46"/>
      <c r="F146" s="31">
        <f>(F140*1000)/F142</f>
        <v>6397.6603618390855</v>
      </c>
      <c r="G146" s="46"/>
      <c r="H146" s="46"/>
      <c r="K146" s="25" t="s">
        <v>170</v>
      </c>
      <c r="L146" s="338"/>
      <c r="M146" s="322">
        <f>(M140*1000)/M142</f>
        <v>4841.0715019373756</v>
      </c>
      <c r="N146" s="338"/>
      <c r="O146" s="338"/>
      <c r="X146" s="245"/>
      <c r="Y146" s="245"/>
      <c r="Z146" s="245"/>
      <c r="AA146" s="245"/>
      <c r="AB146" s="245"/>
      <c r="AC146" s="245"/>
      <c r="AD146" s="245"/>
      <c r="AT146" s="91" t="e">
        <f>#REF!</f>
        <v>#REF!</v>
      </c>
      <c r="AU146" s="91" t="e">
        <f>F146-AT146</f>
        <v>#REF!</v>
      </c>
      <c r="AV146" s="95"/>
      <c r="AX146" s="147" t="s">
        <v>171</v>
      </c>
      <c r="AY146" s="46"/>
      <c r="AZ146" s="31" t="e">
        <f>(AZ140*1000)/AZ142</f>
        <v>#REF!</v>
      </c>
      <c r="BA146" s="46"/>
      <c r="BB146" s="36"/>
      <c r="BC146" s="46"/>
      <c r="BD146" s="46"/>
    </row>
    <row r="147" spans="1:56" s="4" customFormat="1" ht="27.75" customHeight="1">
      <c r="A147" s="821"/>
      <c r="B147" s="800"/>
      <c r="C147" s="111"/>
      <c r="D147" s="25" t="s">
        <v>169</v>
      </c>
      <c r="E147" s="113"/>
      <c r="F147" s="114"/>
      <c r="G147" s="31">
        <f>(G140*1000)/G143</f>
        <v>2010.0084259235014</v>
      </c>
      <c r="H147" s="113"/>
      <c r="K147" s="25" t="s">
        <v>169</v>
      </c>
      <c r="L147" s="338"/>
      <c r="M147" s="322"/>
      <c r="N147" s="322">
        <f>(N140*1000)/N143</f>
        <v>1965.9049329869604</v>
      </c>
      <c r="O147" s="338"/>
      <c r="X147" s="245"/>
      <c r="Y147" s="245"/>
      <c r="Z147" s="245"/>
      <c r="AA147" s="245"/>
      <c r="AB147" s="245"/>
      <c r="AC147" s="245"/>
      <c r="AD147" s="245"/>
      <c r="AT147" s="91" t="e">
        <f>#REF!</f>
        <v>#REF!</v>
      </c>
      <c r="AU147" s="91" t="e">
        <f>#REF!-AT147</f>
        <v>#REF!</v>
      </c>
      <c r="AV147" s="95"/>
      <c r="AX147" s="147" t="s">
        <v>170</v>
      </c>
      <c r="AY147" s="46"/>
      <c r="AZ147" s="31"/>
      <c r="BA147" s="31" t="e">
        <f>(BA140*1000)/BA143</f>
        <v>#REF!</v>
      </c>
      <c r="BB147" s="148"/>
      <c r="BC147" s="148"/>
      <c r="BD147" s="148"/>
    </row>
    <row r="148" spans="1:56" s="4" customFormat="1" ht="27.75" customHeight="1">
      <c r="A148" s="822"/>
      <c r="B148" s="801"/>
      <c r="C148" s="14"/>
      <c r="D148" s="25" t="s">
        <v>172</v>
      </c>
      <c r="E148" s="33"/>
      <c r="F148" s="25"/>
      <c r="G148" s="33"/>
      <c r="H148" s="46">
        <f>(H140*1000)/H144</f>
        <v>155594.5747251256</v>
      </c>
      <c r="K148" s="25" t="s">
        <v>172</v>
      </c>
      <c r="L148" s="339"/>
      <c r="M148" s="321"/>
      <c r="N148" s="339"/>
      <c r="O148" s="338">
        <f>(O140*1000)/O144</f>
        <v>74505.535911078303</v>
      </c>
      <c r="X148" s="245"/>
      <c r="Y148" s="245"/>
      <c r="Z148" s="245"/>
      <c r="AA148" s="245"/>
      <c r="AB148" s="245"/>
      <c r="AC148" s="245"/>
      <c r="AD148" s="245"/>
      <c r="AT148" s="91" t="e">
        <f>#REF!</f>
        <v>#REF!</v>
      </c>
      <c r="AU148" s="91" t="e">
        <f>H148-AT148</f>
        <v>#REF!</v>
      </c>
      <c r="AV148" s="95"/>
      <c r="AX148" s="82"/>
      <c r="AY148" s="149"/>
      <c r="AZ148" s="149"/>
      <c r="BA148" s="149"/>
      <c r="BB148" s="32"/>
      <c r="BC148" s="33"/>
      <c r="BD148" s="46" t="e">
        <f>(BD140*1000)/BD144</f>
        <v>#REF!</v>
      </c>
    </row>
    <row r="149" spans="1:56" ht="15.75" customHeight="1">
      <c r="D149" s="86"/>
      <c r="K149" s="86"/>
      <c r="X149" s="255"/>
      <c r="Y149" s="255"/>
      <c r="Z149" s="255"/>
      <c r="AA149" s="255"/>
      <c r="AB149" s="255"/>
      <c r="AC149" s="255"/>
      <c r="AD149" s="255"/>
      <c r="AX149" s="85"/>
      <c r="AY149" s="40"/>
      <c r="AZ149" s="40"/>
      <c r="BA149" s="40"/>
      <c r="BB149" s="38"/>
      <c r="BC149" s="39"/>
    </row>
    <row r="150" spans="1:56" ht="22.5" customHeight="1">
      <c r="B150" s="237" t="s">
        <v>276</v>
      </c>
      <c r="C150" s="3"/>
      <c r="D150" s="31">
        <f>[53]ДУП!$F$5</f>
        <v>3621139974.9052768</v>
      </c>
      <c r="E150" s="40"/>
      <c r="F150" s="40"/>
      <c r="G150" s="40"/>
      <c r="K150" s="82"/>
      <c r="L150" s="40"/>
      <c r="M150" s="40"/>
      <c r="N150" s="40"/>
      <c r="X150" s="255"/>
      <c r="Y150" s="255"/>
      <c r="Z150" s="255"/>
      <c r="AA150" s="255"/>
      <c r="AB150" s="255"/>
      <c r="AC150" s="255"/>
      <c r="AD150" s="255"/>
      <c r="AX150" s="40"/>
      <c r="AY150" s="40"/>
      <c r="AZ150" s="40"/>
      <c r="BA150" s="40"/>
      <c r="BB150" s="38"/>
      <c r="BC150" s="39"/>
    </row>
    <row r="151" spans="1:56">
      <c r="B151" s="11"/>
      <c r="C151" s="84"/>
      <c r="D151" s="85"/>
      <c r="E151" s="40"/>
      <c r="F151" s="40"/>
      <c r="G151" s="40"/>
      <c r="K151" s="85"/>
      <c r="L151" s="40"/>
      <c r="M151" s="40"/>
      <c r="N151" s="40"/>
      <c r="X151" s="255"/>
      <c r="Y151" s="255"/>
      <c r="Z151" s="255"/>
      <c r="AA151" s="255"/>
      <c r="AB151" s="255"/>
      <c r="AC151" s="255"/>
      <c r="AD151" s="255"/>
      <c r="AX151" s="106"/>
      <c r="AY151" s="106"/>
      <c r="AZ151" s="106"/>
      <c r="BA151" s="106"/>
      <c r="BB151" s="38"/>
      <c r="BC151" s="39"/>
    </row>
    <row r="152" spans="1:56" ht="25.5" customHeight="1">
      <c r="B152" s="218" t="s">
        <v>199</v>
      </c>
      <c r="C152" s="106"/>
      <c r="D152" s="216">
        <f>71*3*365*58</f>
        <v>4509210</v>
      </c>
      <c r="E152" s="106"/>
      <c r="F152" s="106"/>
      <c r="G152" s="106"/>
      <c r="K152" s="216">
        <f>71*3*365*58</f>
        <v>4509210</v>
      </c>
      <c r="L152" s="106"/>
      <c r="M152" s="106"/>
      <c r="N152" s="106"/>
      <c r="X152" s="255"/>
      <c r="Y152" s="255"/>
      <c r="Z152" s="255"/>
      <c r="AA152" s="255"/>
      <c r="AB152" s="255"/>
      <c r="AC152" s="255"/>
      <c r="AD152" s="255"/>
      <c r="AZ152" s="82"/>
    </row>
    <row r="153" spans="1:56">
      <c r="B153" s="219" t="s">
        <v>200</v>
      </c>
      <c r="D153" s="217">
        <f>D140*1000/D152</f>
        <v>3258.9082466974701</v>
      </c>
      <c r="K153" s="217">
        <f>K140*1000/K152</f>
        <v>2844.471122576771</v>
      </c>
      <c r="BB153" s="37"/>
      <c r="BD153" s="37"/>
    </row>
    <row r="154" spans="1:56">
      <c r="D154" s="82"/>
      <c r="K154" s="201"/>
      <c r="L154" s="201"/>
      <c r="M154" s="201"/>
      <c r="N154" s="201"/>
      <c r="O154" s="11"/>
      <c r="P154" s="11"/>
      <c r="AX154" s="1"/>
      <c r="BB154" s="37"/>
      <c r="BC154" s="41"/>
      <c r="BD154" s="37"/>
    </row>
    <row r="155" spans="1:56">
      <c r="H155" s="37"/>
      <c r="K155" s="227">
        <f>(L155+M155+N155)/58</f>
        <v>2847.0434344128048</v>
      </c>
      <c r="L155" s="227">
        <f>L145*(8.61+2.371)*2</f>
        <v>62843.670443167794</v>
      </c>
      <c r="M155" s="227">
        <f>M146*9.46</f>
        <v>45796.536408327578</v>
      </c>
      <c r="N155" s="227">
        <f>N147*(22.232+6.502)</f>
        <v>56488.312344447317</v>
      </c>
      <c r="O155" s="227"/>
      <c r="X155" s="256"/>
      <c r="Y155" s="256"/>
      <c r="Z155" s="256"/>
      <c r="AA155" s="256"/>
      <c r="AB155" s="256"/>
      <c r="AC155" s="256"/>
      <c r="AD155" s="256"/>
    </row>
    <row r="156" spans="1:56">
      <c r="D156" s="1"/>
      <c r="H156" s="37"/>
      <c r="K156" s="228"/>
      <c r="L156" s="227"/>
      <c r="M156" s="227"/>
      <c r="N156" s="227"/>
      <c r="O156" s="227"/>
      <c r="P156" s="202"/>
      <c r="X156" s="256"/>
      <c r="Y156" s="256"/>
      <c r="Z156" s="256"/>
      <c r="AA156" s="256"/>
      <c r="AB156" s="256"/>
      <c r="AC156" s="256"/>
      <c r="AD156" s="256"/>
    </row>
    <row r="157" spans="1:56">
      <c r="X157" s="256"/>
      <c r="Y157" s="256"/>
      <c r="Z157" s="256"/>
      <c r="AA157" s="256"/>
      <c r="AB157" s="256"/>
      <c r="AC157" s="256"/>
      <c r="AD157" s="256"/>
    </row>
    <row r="158" spans="1:56">
      <c r="K158" s="221"/>
      <c r="L158" s="221"/>
      <c r="M158" s="221"/>
      <c r="N158" s="221"/>
      <c r="O158" s="222"/>
      <c r="P158" s="222"/>
      <c r="Q158" s="222"/>
      <c r="R158" s="222"/>
      <c r="S158" s="222"/>
      <c r="T158" s="222"/>
      <c r="U158" s="222"/>
      <c r="V158" s="222"/>
      <c r="W158" s="222"/>
      <c r="X158" s="256"/>
      <c r="Y158" s="256"/>
      <c r="Z158" s="256"/>
      <c r="AA158" s="256"/>
      <c r="AB158" s="256"/>
      <c r="AC158" s="256"/>
      <c r="AD158" s="256"/>
    </row>
    <row r="159" spans="1:56">
      <c r="B159" s="3" t="s">
        <v>180</v>
      </c>
      <c r="X159" s="256"/>
      <c r="Y159" s="256"/>
      <c r="Z159" s="256"/>
      <c r="AA159" s="256"/>
      <c r="AB159" s="256"/>
      <c r="AC159" s="256"/>
      <c r="AD159" s="256"/>
      <c r="BA159" s="82"/>
    </row>
    <row r="160" spans="1:56">
      <c r="B160" s="3"/>
      <c r="F160" s="82"/>
      <c r="M160" s="82"/>
    </row>
    <row r="161" spans="2:53">
      <c r="B161" s="3"/>
      <c r="G161" s="82"/>
      <c r="N161" s="82"/>
      <c r="BA161" s="83"/>
    </row>
    <row r="162" spans="2:53">
      <c r="B162" s="3" t="s">
        <v>181</v>
      </c>
    </row>
    <row r="169" spans="2:53">
      <c r="D169" s="82"/>
      <c r="E169" s="82"/>
      <c r="F169" s="82"/>
      <c r="G169" s="82"/>
      <c r="H169" s="229"/>
      <c r="K169" s="82"/>
    </row>
  </sheetData>
  <mergeCells count="14">
    <mergeCell ref="A141:A144"/>
    <mergeCell ref="B141:B144"/>
    <mergeCell ref="A145:A148"/>
    <mergeCell ref="B145:B148"/>
    <mergeCell ref="A1:H1"/>
    <mergeCell ref="B2:C2"/>
    <mergeCell ref="AX2:BD2"/>
    <mergeCell ref="A3:A4"/>
    <mergeCell ref="B3:B4"/>
    <mergeCell ref="C3:C4"/>
    <mergeCell ref="D3:H3"/>
    <mergeCell ref="K3:O3"/>
    <mergeCell ref="AT3:AV3"/>
    <mergeCell ref="AX3:BD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5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BC169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10" sqref="E10"/>
    </sheetView>
  </sheetViews>
  <sheetFormatPr defaultColWidth="9.140625" defaultRowHeight="20.25" outlineLevelRow="1"/>
  <cols>
    <col min="1" max="1" width="8.28515625" style="80" customWidth="1"/>
    <col min="2" max="2" width="57.5703125" style="1" customWidth="1"/>
    <col min="3" max="3" width="0.42578125" style="1" customWidth="1"/>
    <col min="4" max="4" width="20.7109375" style="37" hidden="1" customWidth="1"/>
    <col min="5" max="5" width="18.28515625" style="37" customWidth="1"/>
    <col min="6" max="6" width="15.85546875" style="37" customWidth="1"/>
    <col min="7" max="7" width="16.28515625" style="37" customWidth="1"/>
    <col min="8" max="8" width="15.42578125" style="37" hidden="1" customWidth="1"/>
    <col min="9" max="9" width="13.28515625" style="1" hidden="1" customWidth="1"/>
    <col min="10" max="10" width="3.5703125" style="1" customWidth="1"/>
    <col min="11" max="11" width="3.7109375" style="1" customWidth="1"/>
    <col min="12" max="12" width="17" style="1" hidden="1" customWidth="1"/>
    <col min="13" max="13" width="21.85546875" style="37" hidden="1" customWidth="1"/>
    <col min="14" max="14" width="17" style="37" customWidth="1"/>
    <col min="15" max="15" width="16.7109375" style="37" customWidth="1"/>
    <col min="16" max="16" width="17.7109375" style="37" customWidth="1"/>
    <col min="17" max="17" width="14.7109375" style="37" hidden="1" customWidth="1"/>
    <col min="18" max="18" width="13.140625" style="1" hidden="1" customWidth="1"/>
    <col min="19" max="19" width="2" style="1" customWidth="1"/>
    <col min="20" max="20" width="15.85546875" style="1" customWidth="1"/>
    <col min="21" max="21" width="15.42578125" style="1" customWidth="1"/>
    <col min="22" max="22" width="16.85546875" style="1" customWidth="1"/>
    <col min="23" max="23" width="16.7109375" style="1" customWidth="1"/>
    <col min="24" max="29" width="16.140625" style="1" customWidth="1"/>
    <col min="30" max="30" width="15.28515625" style="1" customWidth="1"/>
    <col min="31" max="31" width="7.5703125" style="1" customWidth="1"/>
    <col min="32" max="39" width="4.42578125" style="1" customWidth="1"/>
    <col min="40" max="42" width="4.42578125" style="1" hidden="1" customWidth="1"/>
    <col min="43" max="43" width="16.42578125" style="37" hidden="1" customWidth="1"/>
    <col min="44" max="44" width="16.140625" style="37" hidden="1" customWidth="1"/>
    <col min="45" max="45" width="8.85546875" style="1" hidden="1" customWidth="1"/>
    <col min="46" max="46" width="0" style="1" hidden="1" customWidth="1"/>
    <col min="47" max="47" width="19.85546875" style="37" hidden="1" customWidth="1"/>
    <col min="48" max="48" width="17.28515625" style="37" hidden="1" customWidth="1"/>
    <col min="49" max="49" width="16.5703125" style="37" hidden="1" customWidth="1"/>
    <col min="50" max="50" width="15.42578125" style="37" hidden="1" customWidth="1"/>
    <col min="51" max="51" width="14.140625" style="41" hidden="1" customWidth="1"/>
    <col min="52" max="52" width="14.5703125" style="37" hidden="1" customWidth="1"/>
    <col min="53" max="53" width="13.5703125" style="1" hidden="1" customWidth="1"/>
    <col min="54" max="54" width="3.7109375" style="1" hidden="1" customWidth="1"/>
    <col min="55" max="55" width="14.5703125" style="1" hidden="1" customWidth="1"/>
    <col min="56" max="16384" width="9.140625" style="1"/>
  </cols>
  <sheetData>
    <row r="1" spans="1:53" s="2" customFormat="1" ht="24.75" customHeight="1">
      <c r="A1" s="786" t="s">
        <v>111</v>
      </c>
      <c r="B1" s="786"/>
      <c r="C1" s="786"/>
      <c r="D1" s="786"/>
      <c r="E1" s="786"/>
      <c r="F1" s="786"/>
      <c r="G1" s="786"/>
      <c r="H1" s="786"/>
      <c r="I1" s="786"/>
      <c r="M1" s="199"/>
      <c r="N1" s="199"/>
      <c r="O1" s="200"/>
      <c r="P1" s="200"/>
      <c r="Q1" s="200"/>
      <c r="R1" s="199"/>
      <c r="AQ1" s="21"/>
      <c r="AR1" s="21"/>
    </row>
    <row r="2" spans="1:53" s="2" customFormat="1" ht="12" customHeight="1">
      <c r="A2" s="81"/>
      <c r="B2" s="787"/>
      <c r="C2" s="787"/>
      <c r="D2" s="213"/>
      <c r="E2" s="213"/>
      <c r="F2" s="213"/>
      <c r="G2" s="213"/>
      <c r="H2" s="213"/>
      <c r="I2" s="213"/>
      <c r="J2" s="220"/>
      <c r="M2" s="170"/>
      <c r="N2" s="170"/>
      <c r="O2" s="198"/>
      <c r="P2" s="198"/>
      <c r="Q2" s="198"/>
      <c r="R2" s="198"/>
      <c r="S2" s="206"/>
      <c r="AQ2" s="21"/>
      <c r="AR2" s="21"/>
      <c r="AU2" s="802"/>
      <c r="AV2" s="802"/>
      <c r="AW2" s="802"/>
      <c r="AX2" s="802"/>
      <c r="AY2" s="802"/>
      <c r="AZ2" s="802"/>
      <c r="BA2" s="802"/>
    </row>
    <row r="3" spans="1:53" s="2" customFormat="1" ht="39" customHeight="1">
      <c r="A3" s="788" t="s">
        <v>0</v>
      </c>
      <c r="B3" s="789" t="s">
        <v>1</v>
      </c>
      <c r="C3" s="789" t="s">
        <v>2</v>
      </c>
      <c r="D3" s="790" t="s">
        <v>281</v>
      </c>
      <c r="E3" s="791"/>
      <c r="F3" s="791"/>
      <c r="G3" s="791"/>
      <c r="H3" s="791"/>
      <c r="I3" s="792"/>
      <c r="J3" s="116"/>
      <c r="M3" s="809" t="s">
        <v>282</v>
      </c>
      <c r="N3" s="823"/>
      <c r="O3" s="809"/>
      <c r="P3" s="809"/>
      <c r="Q3" s="809"/>
      <c r="R3" s="809"/>
      <c r="S3" s="206"/>
      <c r="AQ3" s="806" t="s">
        <v>192</v>
      </c>
      <c r="AR3" s="807"/>
      <c r="AS3" s="808"/>
      <c r="AU3" s="803" t="s">
        <v>191</v>
      </c>
      <c r="AV3" s="804"/>
      <c r="AW3" s="804"/>
      <c r="AX3" s="804"/>
      <c r="AY3" s="804"/>
      <c r="AZ3" s="804"/>
      <c r="BA3" s="805"/>
    </row>
    <row r="4" spans="1:53" ht="112.5" customHeight="1">
      <c r="A4" s="788"/>
      <c r="B4" s="789"/>
      <c r="C4" s="789"/>
      <c r="D4" s="342" t="s">
        <v>3</v>
      </c>
      <c r="E4" s="344" t="s">
        <v>280</v>
      </c>
      <c r="F4" s="73" t="s">
        <v>173</v>
      </c>
      <c r="G4" s="73" t="s">
        <v>174</v>
      </c>
      <c r="H4" s="73" t="s">
        <v>197</v>
      </c>
      <c r="I4" s="73" t="s">
        <v>198</v>
      </c>
      <c r="M4" s="342" t="s">
        <v>3</v>
      </c>
      <c r="N4" s="344" t="s">
        <v>280</v>
      </c>
      <c r="O4" s="73" t="s">
        <v>173</v>
      </c>
      <c r="P4" s="73" t="s">
        <v>174</v>
      </c>
      <c r="Q4" s="73" t="s">
        <v>197</v>
      </c>
      <c r="R4" s="73" t="s">
        <v>198</v>
      </c>
      <c r="AQ4" s="87" t="s">
        <v>187</v>
      </c>
      <c r="AR4" s="87" t="s">
        <v>188</v>
      </c>
      <c r="AS4" s="87" t="s">
        <v>189</v>
      </c>
      <c r="AU4" s="342" t="s">
        <v>3</v>
      </c>
      <c r="AV4" s="73" t="s">
        <v>173</v>
      </c>
      <c r="AW4" s="73" t="s">
        <v>174</v>
      </c>
      <c r="AX4" s="73" t="s">
        <v>138</v>
      </c>
      <c r="AY4" s="73" t="s">
        <v>139</v>
      </c>
      <c r="AZ4" s="73" t="s">
        <v>140</v>
      </c>
      <c r="BA4" s="73" t="s">
        <v>141</v>
      </c>
    </row>
    <row r="5" spans="1:53" s="11" customFormat="1" ht="12" customHeight="1">
      <c r="A5" s="77">
        <v>1</v>
      </c>
      <c r="B5" s="10">
        <v>2</v>
      </c>
      <c r="C5" s="10">
        <v>3</v>
      </c>
      <c r="D5" s="22">
        <v>4</v>
      </c>
      <c r="E5" s="345"/>
      <c r="F5" s="23">
        <v>5</v>
      </c>
      <c r="G5" s="23">
        <v>6</v>
      </c>
      <c r="H5" s="23">
        <v>7</v>
      </c>
      <c r="I5" s="23">
        <v>8</v>
      </c>
      <c r="M5" s="22">
        <v>4</v>
      </c>
      <c r="N5" s="345"/>
      <c r="O5" s="23">
        <v>5</v>
      </c>
      <c r="P5" s="23">
        <v>6</v>
      </c>
      <c r="Q5" s="23">
        <v>7</v>
      </c>
      <c r="R5" s="23">
        <v>8</v>
      </c>
      <c r="AQ5" s="90"/>
      <c r="AR5" s="90"/>
      <c r="AS5" s="88"/>
      <c r="AU5" s="22">
        <v>4</v>
      </c>
      <c r="AV5" s="23">
        <v>5</v>
      </c>
      <c r="AW5" s="23">
        <v>6</v>
      </c>
      <c r="AX5" s="23">
        <v>7</v>
      </c>
      <c r="AY5" s="24">
        <v>8</v>
      </c>
      <c r="AZ5" s="23">
        <v>9</v>
      </c>
      <c r="BA5" s="23">
        <v>10</v>
      </c>
    </row>
    <row r="6" spans="1:53" s="4" customFormat="1" ht="45.75" customHeight="1">
      <c r="A6" s="19" t="s">
        <v>4</v>
      </c>
      <c r="B6" s="17" t="s">
        <v>5</v>
      </c>
      <c r="C6" s="343" t="s">
        <v>6</v>
      </c>
      <c r="D6" s="27">
        <f>D8+D26+D32+D33+D34</f>
        <v>5159291.7473876858</v>
      </c>
      <c r="E6" s="70">
        <f>F6+G6</f>
        <v>2666916.1809299504</v>
      </c>
      <c r="F6" s="27">
        <f>F8+F26+F32+F33+F34</f>
        <v>1447498.3096553106</v>
      </c>
      <c r="G6" s="27">
        <f>G8+G26+G32+G33+G34</f>
        <v>1219417.8712746401</v>
      </c>
      <c r="H6" s="27">
        <f>H8+H26+H32+H33+H34</f>
        <v>2326969.2301867921</v>
      </c>
      <c r="I6" s="27">
        <f t="shared" ref="I6" si="0">I8+I26+I32+I33+I34</f>
        <v>165406.3362709441</v>
      </c>
      <c r="M6" s="27">
        <f>M8+M26+M32+M33+M34</f>
        <v>4721286.7196601834</v>
      </c>
      <c r="N6" s="70">
        <f>O6+P6</f>
        <v>2219324.9896886889</v>
      </c>
      <c r="O6" s="27">
        <f>O8+O26+O32+O33+O34</f>
        <v>1176057.4099062344</v>
      </c>
      <c r="P6" s="27">
        <f>P8+P26+P32+P33+P34</f>
        <v>1043267.5797824543</v>
      </c>
      <c r="Q6" s="27">
        <f>Q8+Q26+Q32+Q33+Q34</f>
        <v>2404871.4378100419</v>
      </c>
      <c r="R6" s="27">
        <f t="shared" ref="R6" si="1">R8+R26+R32+R33+R34</f>
        <v>97090.292161453661</v>
      </c>
      <c r="T6" s="15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Q6" s="99" t="e">
        <f>AQ8+AQ26+AQ32+AQ33+AQ34</f>
        <v>#REF!</v>
      </c>
      <c r="AR6" s="91" t="e">
        <f>D6-AQ6</f>
        <v>#REF!</v>
      </c>
      <c r="AS6" s="96" t="e">
        <f>100%-(AQ6/D6)</f>
        <v>#REF!</v>
      </c>
      <c r="AU6" s="27" t="e">
        <f>AU8+AU26+AU32+AU33+AU34</f>
        <v>#REF!</v>
      </c>
      <c r="AV6" s="27" t="e">
        <f>AV8+AV26+AV32+AV33+AV34</f>
        <v>#REF!</v>
      </c>
      <c r="AW6" s="27" t="e">
        <f>AW8+AW26+AW32+AW33+AW34</f>
        <v>#REF!</v>
      </c>
      <c r="AX6" s="27" t="e">
        <f>AX8+AX26+AX32+AX33+AX34</f>
        <v>#REF!</v>
      </c>
      <c r="AY6" s="27" t="e">
        <f t="shared" ref="AY6:BA6" si="2">AY8+AY26+AY32+AY33+AY34</f>
        <v>#REF!</v>
      </c>
      <c r="AZ6" s="27" t="e">
        <f t="shared" si="2"/>
        <v>#REF!</v>
      </c>
      <c r="BA6" s="27" t="e">
        <f t="shared" si="2"/>
        <v>#REF!</v>
      </c>
    </row>
    <row r="7" spans="1:53" s="4" customFormat="1">
      <c r="A7" s="13"/>
      <c r="B7" s="12" t="s">
        <v>7</v>
      </c>
      <c r="C7" s="211"/>
      <c r="D7" s="25"/>
      <c r="E7" s="70"/>
      <c r="F7" s="25"/>
      <c r="G7" s="25"/>
      <c r="H7" s="25"/>
      <c r="I7" s="25"/>
      <c r="M7" s="25"/>
      <c r="N7" s="70"/>
      <c r="O7" s="25"/>
      <c r="P7" s="25"/>
      <c r="Q7" s="25"/>
      <c r="R7" s="25"/>
      <c r="U7" s="246"/>
      <c r="V7" s="246"/>
      <c r="W7" s="246"/>
      <c r="X7" s="246"/>
      <c r="Y7" s="246"/>
      <c r="Z7" s="246"/>
      <c r="AA7" s="246"/>
      <c r="AB7" s="246"/>
      <c r="AC7" s="246"/>
      <c r="AQ7" s="92"/>
      <c r="AR7" s="92"/>
      <c r="AS7" s="95"/>
      <c r="AU7" s="25"/>
      <c r="AV7" s="25"/>
      <c r="AW7" s="25"/>
      <c r="AX7" s="25"/>
      <c r="AY7" s="26"/>
      <c r="AZ7" s="25"/>
      <c r="BA7" s="25"/>
    </row>
    <row r="8" spans="1:53" s="6" customFormat="1" ht="29.25" customHeight="1">
      <c r="A8" s="19" t="s">
        <v>8</v>
      </c>
      <c r="B8" s="17" t="s">
        <v>272</v>
      </c>
      <c r="C8" s="343" t="s">
        <v>9</v>
      </c>
      <c r="D8" s="27">
        <f>D10+D22+D25</f>
        <v>548661.31319345045</v>
      </c>
      <c r="E8" s="70">
        <f t="shared" ref="E8:E71" si="3">F8+G8</f>
        <v>94048.850721479364</v>
      </c>
      <c r="F8" s="27">
        <f t="shared" ref="F8:AQ8" si="4">F10+F22+F25</f>
        <v>36298.008209999367</v>
      </c>
      <c r="G8" s="27">
        <f t="shared" si="4"/>
        <v>57750.842511479997</v>
      </c>
      <c r="H8" s="27">
        <f t="shared" si="4"/>
        <v>448926.33135050663</v>
      </c>
      <c r="I8" s="27">
        <f t="shared" si="4"/>
        <v>5686.1311214643792</v>
      </c>
      <c r="M8" s="27">
        <f>M10+M22+M25</f>
        <v>484789.71351999661</v>
      </c>
      <c r="N8" s="70">
        <f t="shared" ref="N8:N71" si="5">O8+P8</f>
        <v>69396.950643270451</v>
      </c>
      <c r="O8" s="27">
        <f t="shared" ref="O8:R8" si="6">O10+O22+O25</f>
        <v>28969.482017815768</v>
      </c>
      <c r="P8" s="27">
        <f t="shared" si="6"/>
        <v>40427.468625454683</v>
      </c>
      <c r="Q8" s="27">
        <f t="shared" si="6"/>
        <v>413209.14728455362</v>
      </c>
      <c r="R8" s="27">
        <f t="shared" si="6"/>
        <v>2183.615592172529</v>
      </c>
      <c r="U8" s="15"/>
      <c r="V8" s="15"/>
      <c r="AQ8" s="99" t="e">
        <f t="shared" si="4"/>
        <v>#REF!</v>
      </c>
      <c r="AR8" s="91" t="e">
        <f>D8-AQ8</f>
        <v>#REF!</v>
      </c>
      <c r="AS8" s="98" t="e">
        <f>100%-(AQ8/D8)</f>
        <v>#REF!</v>
      </c>
      <c r="AU8" s="27" t="e">
        <f>AU10+AU22+AU25</f>
        <v>#REF!</v>
      </c>
      <c r="AV8" s="27" t="e">
        <f t="shared" ref="AV8:BA8" si="7">AV10+AV22+AV25</f>
        <v>#REF!</v>
      </c>
      <c r="AW8" s="27" t="e">
        <f t="shared" si="7"/>
        <v>#REF!</v>
      </c>
      <c r="AX8" s="27" t="e">
        <f t="shared" si="7"/>
        <v>#REF!</v>
      </c>
      <c r="AY8" s="27" t="e">
        <f t="shared" si="7"/>
        <v>#REF!</v>
      </c>
      <c r="AZ8" s="27" t="e">
        <f t="shared" si="7"/>
        <v>#REF!</v>
      </c>
      <c r="BA8" s="27" t="e">
        <f t="shared" si="7"/>
        <v>#REF!</v>
      </c>
    </row>
    <row r="9" spans="1:53" s="4" customFormat="1">
      <c r="A9" s="13"/>
      <c r="B9" s="12" t="s">
        <v>7</v>
      </c>
      <c r="C9" s="211"/>
      <c r="D9" s="25"/>
      <c r="E9" s="70"/>
      <c r="F9" s="25"/>
      <c r="G9" s="25"/>
      <c r="H9" s="25"/>
      <c r="I9" s="25"/>
      <c r="M9" s="25"/>
      <c r="N9" s="70"/>
      <c r="O9" s="25"/>
      <c r="P9" s="25"/>
      <c r="Q9" s="25"/>
      <c r="R9" s="25"/>
      <c r="U9" s="15"/>
      <c r="V9" s="15"/>
      <c r="AQ9" s="92"/>
      <c r="AR9" s="92"/>
      <c r="AS9" s="97"/>
      <c r="AU9" s="25"/>
      <c r="AV9" s="25"/>
      <c r="AW9" s="25"/>
      <c r="AX9" s="25"/>
      <c r="AY9" s="25"/>
      <c r="AZ9" s="25"/>
      <c r="BA9" s="25"/>
    </row>
    <row r="10" spans="1:53" s="4" customFormat="1" ht="30" customHeight="1">
      <c r="A10" s="13" t="s">
        <v>10</v>
      </c>
      <c r="B10" s="12" t="s">
        <v>11</v>
      </c>
      <c r="C10" s="211" t="s">
        <v>9</v>
      </c>
      <c r="D10" s="25">
        <f>SUM(D11:D21)</f>
        <v>161398.1160753826</v>
      </c>
      <c r="E10" s="74">
        <f t="shared" si="3"/>
        <v>67445.305853055106</v>
      </c>
      <c r="F10" s="25">
        <f t="shared" ref="F10:I10" si="8">SUM(F11:F21)</f>
        <v>25702.125475761815</v>
      </c>
      <c r="G10" s="25">
        <f t="shared" si="8"/>
        <v>41743.180377293291</v>
      </c>
      <c r="H10" s="25">
        <f t="shared" si="8"/>
        <v>88977.296961526939</v>
      </c>
      <c r="I10" s="25">
        <f t="shared" si="8"/>
        <v>4975.5132608005451</v>
      </c>
      <c r="M10" s="25">
        <f>SUM(M11:M21)</f>
        <v>111957.85165392877</v>
      </c>
      <c r="N10" s="74">
        <f t="shared" si="5"/>
        <v>43794.900456065894</v>
      </c>
      <c r="O10" s="25">
        <f t="shared" ref="O10:R10" si="9">SUM(O11:O21)</f>
        <v>18829.091618240342</v>
      </c>
      <c r="P10" s="25">
        <f t="shared" si="9"/>
        <v>24965.808837825552</v>
      </c>
      <c r="Q10" s="25">
        <f t="shared" si="9"/>
        <v>66446.423639007233</v>
      </c>
      <c r="R10" s="25">
        <f t="shared" si="9"/>
        <v>1716.5275588556301</v>
      </c>
      <c r="U10" s="15"/>
      <c r="V10" s="15"/>
      <c r="AQ10" s="92" t="e">
        <f>SUM(AQ11:AQ21)</f>
        <v>#REF!</v>
      </c>
      <c r="AR10" s="92" t="e">
        <f t="shared" ref="AR10:AR26" si="10">D10-AQ10</f>
        <v>#REF!</v>
      </c>
      <c r="AS10" s="97" t="e">
        <f t="shared" ref="AS10:AS26" si="11">100%-(AQ10/D10)</f>
        <v>#REF!</v>
      </c>
      <c r="AU10" s="25" t="e">
        <f>SUM(AU11:AU21)</f>
        <v>#REF!</v>
      </c>
      <c r="AV10" s="25" t="e">
        <f t="shared" ref="AV10:BA10" si="12">SUM(AV11:AV21)</f>
        <v>#REF!</v>
      </c>
      <c r="AW10" s="25" t="e">
        <f t="shared" si="12"/>
        <v>#REF!</v>
      </c>
      <c r="AX10" s="25" t="e">
        <f t="shared" si="12"/>
        <v>#REF!</v>
      </c>
      <c r="AY10" s="25" t="e">
        <f t="shared" si="12"/>
        <v>#REF!</v>
      </c>
      <c r="AZ10" s="25" t="e">
        <f t="shared" si="12"/>
        <v>#REF!</v>
      </c>
      <c r="BA10" s="25" t="e">
        <f t="shared" si="12"/>
        <v>#REF!</v>
      </c>
    </row>
    <row r="11" spans="1:53" s="4" customFormat="1" ht="20.25" customHeight="1">
      <c r="A11" s="13"/>
      <c r="B11" s="18" t="s">
        <v>81</v>
      </c>
      <c r="C11" s="343" t="s">
        <v>9</v>
      </c>
      <c r="D11" s="28">
        <f t="shared" ref="D11:D25" si="13">SUM(F11:I11)</f>
        <v>1366.7430000000002</v>
      </c>
      <c r="E11" s="76">
        <f t="shared" si="3"/>
        <v>304.71869995827171</v>
      </c>
      <c r="F11" s="28">
        <v>128.08839227284304</v>
      </c>
      <c r="G11" s="28">
        <v>176.63030768542865</v>
      </c>
      <c r="H11" s="28">
        <v>970.92422700717316</v>
      </c>
      <c r="I11" s="29">
        <v>91.100073034555095</v>
      </c>
      <c r="J11" s="214"/>
      <c r="K11" s="214"/>
      <c r="L11" s="214"/>
      <c r="M11" s="28">
        <f>[52]СводПЗ!$C$11</f>
        <v>806.75099999999998</v>
      </c>
      <c r="N11" s="76">
        <f t="shared" si="5"/>
        <v>154.63396302369651</v>
      </c>
      <c r="O11" s="28">
        <f>$M$11*O90</f>
        <v>58.939221758667763</v>
      </c>
      <c r="P11" s="28">
        <f t="shared" ref="P11:R11" si="14">$M$11*P90</f>
        <v>95.694741265028753</v>
      </c>
      <c r="Q11" s="28">
        <f t="shared" si="14"/>
        <v>621.03083608963846</v>
      </c>
      <c r="R11" s="28">
        <f t="shared" si="14"/>
        <v>31.086200886665022</v>
      </c>
      <c r="U11" s="15"/>
      <c r="V11" s="15"/>
      <c r="AQ11" s="93" t="e">
        <f>#REF!</f>
        <v>#REF!</v>
      </c>
      <c r="AR11" s="93" t="e">
        <f t="shared" si="10"/>
        <v>#REF!</v>
      </c>
      <c r="AS11" s="97" t="e">
        <f t="shared" si="11"/>
        <v>#REF!</v>
      </c>
      <c r="AU11" s="28" t="e">
        <f>SUM(AV11:BA11)</f>
        <v>#REF!</v>
      </c>
      <c r="AV11" s="28" t="e">
        <f>#REF!</f>
        <v>#REF!</v>
      </c>
      <c r="AW11" s="28" t="e">
        <f>#REF!</f>
        <v>#REF!</v>
      </c>
      <c r="AX11" s="28" t="e">
        <f>#REF!</f>
        <v>#REF!</v>
      </c>
      <c r="AY11" s="28" t="e">
        <f>#REF!</f>
        <v>#REF!</v>
      </c>
      <c r="AZ11" s="28" t="e">
        <f>#REF!</f>
        <v>#REF!</v>
      </c>
      <c r="BA11" s="28" t="e">
        <f>#REF!</f>
        <v>#REF!</v>
      </c>
    </row>
    <row r="12" spans="1:53" s="4" customFormat="1" ht="20.25" customHeight="1" outlineLevel="1">
      <c r="A12" s="13"/>
      <c r="B12" s="18" t="s">
        <v>177</v>
      </c>
      <c r="C12" s="343" t="s">
        <v>9</v>
      </c>
      <c r="D12" s="28">
        <f t="shared" si="13"/>
        <v>17499.689889948448</v>
      </c>
      <c r="E12" s="76">
        <f t="shared" si="3"/>
        <v>12100.353661465566</v>
      </c>
      <c r="F12" s="28">
        <v>226.86691023553198</v>
      </c>
      <c r="G12" s="28">
        <v>11873.486751230033</v>
      </c>
      <c r="H12" s="28">
        <v>5399.3362284828809</v>
      </c>
      <c r="I12" s="29"/>
      <c r="J12" s="214"/>
      <c r="K12" s="214"/>
      <c r="L12" s="214"/>
      <c r="M12" s="28">
        <f t="shared" ref="M12:M25" si="15">SUM(O12:R12)</f>
        <v>5337.4310388234471</v>
      </c>
      <c r="N12" s="76">
        <f t="shared" si="5"/>
        <v>4349.6166731240464</v>
      </c>
      <c r="O12" s="28">
        <f>[52]СводПЗ!$E$12</f>
        <v>112.51202384171123</v>
      </c>
      <c r="P12" s="28">
        <f>[52]СводПЗ!$F$12</f>
        <v>4237.1046492823352</v>
      </c>
      <c r="Q12" s="28">
        <f>[52]СводПЗ!$L$12</f>
        <v>987.81436569940035</v>
      </c>
      <c r="R12" s="29"/>
      <c r="U12" s="15"/>
      <c r="V12" s="15"/>
      <c r="AQ12" s="93" t="e">
        <f>#REF!</f>
        <v>#REF!</v>
      </c>
      <c r="AR12" s="93" t="e">
        <f t="shared" si="10"/>
        <v>#REF!</v>
      </c>
      <c r="AS12" s="97" t="e">
        <f t="shared" si="11"/>
        <v>#REF!</v>
      </c>
      <c r="AU12" s="28" t="e">
        <f t="shared" ref="AU12:AU25" si="16">SUM(AV12:BA12)</f>
        <v>#REF!</v>
      </c>
      <c r="AV12" s="28" t="e">
        <f>#REF!</f>
        <v>#REF!</v>
      </c>
      <c r="AW12" s="28" t="e">
        <f>#REF!</f>
        <v>#REF!</v>
      </c>
      <c r="AX12" s="28" t="e">
        <f>#REF!</f>
        <v>#REF!</v>
      </c>
      <c r="AY12" s="28" t="e">
        <f>#REF!</f>
        <v>#REF!</v>
      </c>
      <c r="AZ12" s="28" t="e">
        <f>#REF!</f>
        <v>#REF!</v>
      </c>
      <c r="BA12" s="28" t="e">
        <f>#REF!</f>
        <v>#REF!</v>
      </c>
    </row>
    <row r="13" spans="1:53" s="4" customFormat="1" ht="35.25" customHeight="1" outlineLevel="1">
      <c r="A13" s="13"/>
      <c r="B13" s="18" t="s">
        <v>178</v>
      </c>
      <c r="C13" s="343" t="s">
        <v>9</v>
      </c>
      <c r="D13" s="28">
        <f t="shared" si="13"/>
        <v>35143.661362267871</v>
      </c>
      <c r="E13" s="76">
        <f t="shared" si="3"/>
        <v>31744.674613713934</v>
      </c>
      <c r="F13" s="49">
        <v>12599.674621934211</v>
      </c>
      <c r="G13" s="49">
        <v>19144.999991779725</v>
      </c>
      <c r="H13" s="28">
        <v>3398.9867485539357</v>
      </c>
      <c r="I13" s="50"/>
      <c r="J13" s="214"/>
      <c r="K13" s="214"/>
      <c r="L13" s="214"/>
      <c r="M13" s="28">
        <f>[52]СводПЗ!$C$13</f>
        <v>29338.055386615877</v>
      </c>
      <c r="N13" s="76">
        <f t="shared" si="5"/>
        <v>26500.568977345123</v>
      </c>
      <c r="O13" s="49">
        <f>$M$13*O93</f>
        <v>10518.253863796914</v>
      </c>
      <c r="P13" s="49">
        <f t="shared" ref="P13:R13" si="17">$M$13*P93</f>
        <v>15982.315113548211</v>
      </c>
      <c r="Q13" s="49">
        <f t="shared" si="17"/>
        <v>2837.4864092707535</v>
      </c>
      <c r="R13" s="49">
        <f t="shared" si="17"/>
        <v>0</v>
      </c>
      <c r="U13" s="15"/>
      <c r="V13" s="15"/>
      <c r="AQ13" s="93" t="e">
        <f>#REF!</f>
        <v>#REF!</v>
      </c>
      <c r="AR13" s="93" t="e">
        <f t="shared" si="10"/>
        <v>#REF!</v>
      </c>
      <c r="AS13" s="97" t="e">
        <f t="shared" si="11"/>
        <v>#REF!</v>
      </c>
      <c r="AU13" s="28" t="e">
        <f t="shared" si="16"/>
        <v>#REF!</v>
      </c>
      <c r="AV13" s="28" t="e">
        <f>#REF!</f>
        <v>#REF!</v>
      </c>
      <c r="AW13" s="28" t="e">
        <f>#REF!</f>
        <v>#REF!</v>
      </c>
      <c r="AX13" s="28" t="e">
        <f>#REF!</f>
        <v>#REF!</v>
      </c>
      <c r="AY13" s="28" t="e">
        <f>#REF!</f>
        <v>#REF!</v>
      </c>
      <c r="AZ13" s="28" t="e">
        <f>#REF!</f>
        <v>#REF!</v>
      </c>
      <c r="BA13" s="28" t="e">
        <f>#REF!</f>
        <v>#REF!</v>
      </c>
    </row>
    <row r="14" spans="1:53" s="4" customFormat="1" ht="20.25" customHeight="1" outlineLevel="1">
      <c r="A14" s="13"/>
      <c r="B14" s="18" t="s">
        <v>132</v>
      </c>
      <c r="C14" s="343" t="s">
        <v>9</v>
      </c>
      <c r="D14" s="28">
        <f t="shared" si="13"/>
        <v>3332.3595</v>
      </c>
      <c r="E14" s="76">
        <f t="shared" si="3"/>
        <v>0</v>
      </c>
      <c r="F14" s="28"/>
      <c r="G14" s="28"/>
      <c r="H14" s="28">
        <v>2997.8150000000001</v>
      </c>
      <c r="I14" s="29">
        <v>334.54450000000003</v>
      </c>
      <c r="J14" s="214"/>
      <c r="K14" s="214"/>
      <c r="L14" s="214"/>
      <c r="M14" s="28">
        <f t="shared" si="15"/>
        <v>3332.3595</v>
      </c>
      <c r="N14" s="76">
        <f t="shared" si="5"/>
        <v>0</v>
      </c>
      <c r="O14" s="28"/>
      <c r="P14" s="28"/>
      <c r="Q14" s="28">
        <f>[52]СводПЗ!$G$14</f>
        <v>2997.8150000000001</v>
      </c>
      <c r="R14" s="29">
        <f>[52]СводПЗ!$J$14</f>
        <v>334.54450000000003</v>
      </c>
      <c r="U14" s="15"/>
      <c r="V14" s="15"/>
      <c r="AQ14" s="93" t="e">
        <f>#REF!</f>
        <v>#REF!</v>
      </c>
      <c r="AR14" s="93" t="e">
        <f t="shared" si="10"/>
        <v>#REF!</v>
      </c>
      <c r="AS14" s="97" t="e">
        <f t="shared" si="11"/>
        <v>#REF!</v>
      </c>
      <c r="AU14" s="28" t="e">
        <f t="shared" si="16"/>
        <v>#REF!</v>
      </c>
      <c r="AV14" s="28" t="e">
        <f>#REF!</f>
        <v>#REF!</v>
      </c>
      <c r="AW14" s="28" t="e">
        <f>#REF!</f>
        <v>#REF!</v>
      </c>
      <c r="AX14" s="28" t="e">
        <f>#REF!</f>
        <v>#REF!</v>
      </c>
      <c r="AY14" s="28" t="e">
        <f>#REF!</f>
        <v>#REF!</v>
      </c>
      <c r="AZ14" s="28" t="e">
        <f>#REF!</f>
        <v>#REF!</v>
      </c>
      <c r="BA14" s="28" t="e">
        <f>#REF!</f>
        <v>#REF!</v>
      </c>
    </row>
    <row r="15" spans="1:53" s="4" customFormat="1" ht="20.25" customHeight="1" outlineLevel="1">
      <c r="A15" s="13"/>
      <c r="B15" s="18" t="s">
        <v>82</v>
      </c>
      <c r="C15" s="343" t="s">
        <v>9</v>
      </c>
      <c r="D15" s="28">
        <f t="shared" si="13"/>
        <v>30488.188357142855</v>
      </c>
      <c r="E15" s="76">
        <f t="shared" si="3"/>
        <v>0</v>
      </c>
      <c r="F15" s="28"/>
      <c r="G15" s="28"/>
      <c r="H15" s="28">
        <v>30488.188357142855</v>
      </c>
      <c r="I15" s="29"/>
      <c r="J15" s="214"/>
      <c r="K15" s="214"/>
      <c r="L15" s="214"/>
      <c r="M15" s="28">
        <f t="shared" si="15"/>
        <v>30488.188357142855</v>
      </c>
      <c r="N15" s="76">
        <f t="shared" si="5"/>
        <v>0</v>
      </c>
      <c r="O15" s="28"/>
      <c r="P15" s="28"/>
      <c r="Q15" s="28">
        <f>[52]СводПЗ!$L$15</f>
        <v>30488.188357142855</v>
      </c>
      <c r="R15" s="29"/>
      <c r="U15" s="15"/>
      <c r="V15" s="15"/>
      <c r="AQ15" s="93" t="e">
        <f>#REF!</f>
        <v>#REF!</v>
      </c>
      <c r="AR15" s="93" t="e">
        <f t="shared" si="10"/>
        <v>#REF!</v>
      </c>
      <c r="AS15" s="97" t="e">
        <f t="shared" si="11"/>
        <v>#REF!</v>
      </c>
      <c r="AU15" s="28" t="e">
        <f t="shared" si="16"/>
        <v>#REF!</v>
      </c>
      <c r="AV15" s="28" t="e">
        <f>#REF!</f>
        <v>#REF!</v>
      </c>
      <c r="AW15" s="28" t="e">
        <f>#REF!</f>
        <v>#REF!</v>
      </c>
      <c r="AX15" s="28" t="e">
        <f>#REF!</f>
        <v>#REF!</v>
      </c>
      <c r="AY15" s="28" t="e">
        <f>#REF!</f>
        <v>#REF!</v>
      </c>
      <c r="AZ15" s="28" t="e">
        <f>#REF!</f>
        <v>#REF!</v>
      </c>
      <c r="BA15" s="28" t="e">
        <f>#REF!</f>
        <v>#REF!</v>
      </c>
    </row>
    <row r="16" spans="1:53" s="4" customFormat="1" ht="20.25" customHeight="1" outlineLevel="1">
      <c r="A16" s="13"/>
      <c r="B16" s="18" t="s">
        <v>122</v>
      </c>
      <c r="C16" s="343" t="s">
        <v>9</v>
      </c>
      <c r="D16" s="28">
        <f t="shared" si="13"/>
        <v>9919.672340000001</v>
      </c>
      <c r="E16" s="76">
        <f t="shared" si="3"/>
        <v>2211.6152484094137</v>
      </c>
      <c r="F16" s="28">
        <v>929.65164767918395</v>
      </c>
      <c r="G16" s="28">
        <v>1281.9636007302297</v>
      </c>
      <c r="H16" s="28">
        <v>7046.8626500219407</v>
      </c>
      <c r="I16" s="29">
        <v>661.1944415686462</v>
      </c>
      <c r="J16" s="214"/>
      <c r="K16" s="214"/>
      <c r="L16" s="214"/>
      <c r="M16" s="28">
        <f>[52]СводПЗ!$C$16</f>
        <v>1681.6496399999999</v>
      </c>
      <c r="N16" s="76">
        <f t="shared" si="5"/>
        <v>322.3301219962201</v>
      </c>
      <c r="O16" s="28">
        <f>$M$16*O90</f>
        <v>122.85714062002253</v>
      </c>
      <c r="P16" s="28">
        <f t="shared" ref="P16:R16" si="18">$M$16*P90</f>
        <v>199.47298137619754</v>
      </c>
      <c r="Q16" s="28">
        <f t="shared" si="18"/>
        <v>1294.5212115498332</v>
      </c>
      <c r="R16" s="28">
        <f t="shared" si="18"/>
        <v>64.798306453946651</v>
      </c>
      <c r="U16" s="15"/>
      <c r="V16" s="15"/>
      <c r="AQ16" s="93" t="e">
        <f>#REF!</f>
        <v>#REF!</v>
      </c>
      <c r="AR16" s="93" t="e">
        <f t="shared" si="10"/>
        <v>#REF!</v>
      </c>
      <c r="AS16" s="97" t="e">
        <f t="shared" si="11"/>
        <v>#REF!</v>
      </c>
      <c r="AU16" s="28" t="e">
        <f t="shared" si="16"/>
        <v>#REF!</v>
      </c>
      <c r="AV16" s="28" t="e">
        <f>#REF!</f>
        <v>#REF!</v>
      </c>
      <c r="AW16" s="28" t="e">
        <f>#REF!</f>
        <v>#REF!</v>
      </c>
      <c r="AX16" s="28" t="e">
        <f>#REF!</f>
        <v>#REF!</v>
      </c>
      <c r="AY16" s="28" t="e">
        <f>#REF!</f>
        <v>#REF!</v>
      </c>
      <c r="AZ16" s="28" t="e">
        <f>#REF!</f>
        <v>#REF!</v>
      </c>
      <c r="BA16" s="28" t="e">
        <f>#REF!</f>
        <v>#REF!</v>
      </c>
    </row>
    <row r="17" spans="1:53" s="4" customFormat="1" ht="20.25" customHeight="1" outlineLevel="1">
      <c r="A17" s="13"/>
      <c r="B17" s="18" t="s">
        <v>136</v>
      </c>
      <c r="C17" s="343"/>
      <c r="D17" s="28">
        <f t="shared" si="13"/>
        <v>8962.011229285712</v>
      </c>
      <c r="E17" s="76">
        <f t="shared" si="3"/>
        <v>4934.3537825729009</v>
      </c>
      <c r="F17" s="49">
        <v>1981.0299127778831</v>
      </c>
      <c r="G17" s="49">
        <v>2953.3238697950178</v>
      </c>
      <c r="H17" s="28">
        <v>3490.5042770004429</v>
      </c>
      <c r="I17" s="50">
        <v>537.15316971236825</v>
      </c>
      <c r="J17" s="214"/>
      <c r="K17" s="214"/>
      <c r="L17" s="214"/>
      <c r="M17" s="28">
        <f t="shared" si="15"/>
        <v>5262.5255149999975</v>
      </c>
      <c r="N17" s="76">
        <f t="shared" si="5"/>
        <v>1482.9999965171132</v>
      </c>
      <c r="O17" s="49">
        <f>[52]СводПЗ!$E$17</f>
        <v>575.18565974657213</v>
      </c>
      <c r="P17" s="49">
        <f>[52]СводПЗ!$F$17</f>
        <v>907.81433677054122</v>
      </c>
      <c r="Q17" s="28">
        <f>[52]СводПЗ!$L$17</f>
        <v>3740.0940042314164</v>
      </c>
      <c r="R17" s="50">
        <f>[52]СводПЗ!$J$17</f>
        <v>39.431514251467881</v>
      </c>
      <c r="U17" s="15"/>
      <c r="V17" s="15"/>
      <c r="AQ17" s="93" t="e">
        <f>#REF!</f>
        <v>#REF!</v>
      </c>
      <c r="AR17" s="93" t="e">
        <f t="shared" si="10"/>
        <v>#REF!</v>
      </c>
      <c r="AS17" s="97" t="e">
        <f t="shared" si="11"/>
        <v>#REF!</v>
      </c>
      <c r="AU17" s="28" t="e">
        <f t="shared" si="16"/>
        <v>#REF!</v>
      </c>
      <c r="AV17" s="28" t="e">
        <f>#REF!</f>
        <v>#REF!</v>
      </c>
      <c r="AW17" s="28" t="e">
        <f>#REF!</f>
        <v>#REF!</v>
      </c>
      <c r="AX17" s="28" t="e">
        <f>#REF!</f>
        <v>#REF!</v>
      </c>
      <c r="AY17" s="28" t="e">
        <f>#REF!</f>
        <v>#REF!</v>
      </c>
      <c r="AZ17" s="28" t="e">
        <f>#REF!</f>
        <v>#REF!</v>
      </c>
      <c r="BA17" s="28" t="e">
        <f>#REF!</f>
        <v>#REF!</v>
      </c>
    </row>
    <row r="18" spans="1:53" s="4" customFormat="1" ht="20.25" customHeight="1" outlineLevel="1">
      <c r="A18" s="13"/>
      <c r="B18" s="18" t="s">
        <v>142</v>
      </c>
      <c r="C18" s="343" t="s">
        <v>9</v>
      </c>
      <c r="D18" s="28">
        <f t="shared" si="13"/>
        <v>5709.0828729281766</v>
      </c>
      <c r="E18" s="76">
        <f t="shared" si="3"/>
        <v>1272.854012051065</v>
      </c>
      <c r="F18" s="49">
        <v>535.04371088477785</v>
      </c>
      <c r="G18" s="49">
        <v>737.8103011662871</v>
      </c>
      <c r="H18" s="28">
        <v>4055.6907006786805</v>
      </c>
      <c r="I18" s="50">
        <v>380.53816019843129</v>
      </c>
      <c r="J18" s="214"/>
      <c r="K18" s="214"/>
      <c r="L18" s="214"/>
      <c r="M18" s="28">
        <f>[52]СводПЗ!$C$18</f>
        <v>2818.8024861878453</v>
      </c>
      <c r="N18" s="76">
        <f t="shared" si="5"/>
        <v>540.29384459427399</v>
      </c>
      <c r="O18" s="49">
        <f>$M$18*O90</f>
        <v>205.93469958798866</v>
      </c>
      <c r="P18" s="49">
        <f t="shared" ref="P18:R18" si="19">$M$18*P90</f>
        <v>334.3591450062853</v>
      </c>
      <c r="Q18" s="49">
        <f t="shared" si="19"/>
        <v>2169.8928972741141</v>
      </c>
      <c r="R18" s="49">
        <f t="shared" si="19"/>
        <v>108.61574431945689</v>
      </c>
      <c r="U18" s="15"/>
      <c r="V18" s="15"/>
      <c r="AQ18" s="93" t="e">
        <f>#REF!</f>
        <v>#REF!</v>
      </c>
      <c r="AR18" s="93" t="e">
        <f t="shared" si="10"/>
        <v>#REF!</v>
      </c>
      <c r="AS18" s="97" t="e">
        <f t="shared" si="11"/>
        <v>#REF!</v>
      </c>
      <c r="AU18" s="28" t="e">
        <f t="shared" si="16"/>
        <v>#REF!</v>
      </c>
      <c r="AV18" s="28" t="e">
        <f>#REF!</f>
        <v>#REF!</v>
      </c>
      <c r="AW18" s="28" t="e">
        <f>#REF!</f>
        <v>#REF!</v>
      </c>
      <c r="AX18" s="28" t="e">
        <f>#REF!</f>
        <v>#REF!</v>
      </c>
      <c r="AY18" s="28" t="e">
        <f>#REF!</f>
        <v>#REF!</v>
      </c>
      <c r="AZ18" s="28" t="e">
        <f>#REF!</f>
        <v>#REF!</v>
      </c>
      <c r="BA18" s="28" t="e">
        <f>#REF!</f>
        <v>#REF!</v>
      </c>
    </row>
    <row r="19" spans="1:53" s="4" customFormat="1" ht="37.5" customHeight="1" outlineLevel="1">
      <c r="A19" s="13"/>
      <c r="B19" s="18" t="s">
        <v>83</v>
      </c>
      <c r="C19" s="343" t="s">
        <v>9</v>
      </c>
      <c r="D19" s="28">
        <f t="shared" si="13"/>
        <v>37722.178952380957</v>
      </c>
      <c r="E19" s="76">
        <f t="shared" si="3"/>
        <v>8410.252205398383</v>
      </c>
      <c r="F19" s="49">
        <v>3535.246388705817</v>
      </c>
      <c r="G19" s="49">
        <v>4875.0058166925664</v>
      </c>
      <c r="H19" s="28">
        <v>26797.559921921486</v>
      </c>
      <c r="I19" s="50">
        <v>2514.3668250610849</v>
      </c>
      <c r="J19" s="214"/>
      <c r="K19" s="214"/>
      <c r="L19" s="214"/>
      <c r="M19" s="28">
        <f>[52]СводПЗ!$C$19</f>
        <v>21637.560158730161</v>
      </c>
      <c r="N19" s="76">
        <f t="shared" si="5"/>
        <v>4147.3784073500847</v>
      </c>
      <c r="O19" s="49">
        <f>$M$19*O90</f>
        <v>1580.7863349557811</v>
      </c>
      <c r="P19" s="49">
        <f t="shared" ref="P19:R19" si="20">$M$19*P90</f>
        <v>2566.5920723943041</v>
      </c>
      <c r="Q19" s="49">
        <f t="shared" si="20"/>
        <v>16656.430641320607</v>
      </c>
      <c r="R19" s="49">
        <f t="shared" si="20"/>
        <v>833.75111005946735</v>
      </c>
      <c r="U19" s="15"/>
      <c r="V19" s="15"/>
      <c r="AQ19" s="93" t="e">
        <f>#REF!</f>
        <v>#REF!</v>
      </c>
      <c r="AR19" s="93" t="e">
        <f t="shared" si="10"/>
        <v>#REF!</v>
      </c>
      <c r="AS19" s="97" t="e">
        <f t="shared" si="11"/>
        <v>#REF!</v>
      </c>
      <c r="AU19" s="28" t="e">
        <f t="shared" si="16"/>
        <v>#REF!</v>
      </c>
      <c r="AV19" s="28" t="e">
        <f>#REF!</f>
        <v>#REF!</v>
      </c>
      <c r="AW19" s="28" t="e">
        <f>#REF!</f>
        <v>#REF!</v>
      </c>
      <c r="AX19" s="28" t="e">
        <f>#REF!</f>
        <v>#REF!</v>
      </c>
      <c r="AY19" s="28" t="e">
        <f>#REF!</f>
        <v>#REF!</v>
      </c>
      <c r="AZ19" s="28" t="e">
        <f>#REF!</f>
        <v>#REF!</v>
      </c>
      <c r="BA19" s="28" t="e">
        <f>#REF!</f>
        <v>#REF!</v>
      </c>
    </row>
    <row r="20" spans="1:53" s="4" customFormat="1" ht="20.25" customHeight="1" outlineLevel="1">
      <c r="A20" s="341"/>
      <c r="B20" s="56" t="s">
        <v>113</v>
      </c>
      <c r="C20" s="344"/>
      <c r="D20" s="28">
        <f t="shared" si="13"/>
        <v>5258.9285714285706</v>
      </c>
      <c r="E20" s="76">
        <f t="shared" si="3"/>
        <v>5258.9285714285706</v>
      </c>
      <c r="F20" s="49">
        <v>5258.9285714285706</v>
      </c>
      <c r="G20" s="49"/>
      <c r="H20" s="28"/>
      <c r="I20" s="50"/>
      <c r="J20" s="214"/>
      <c r="K20" s="214"/>
      <c r="L20" s="214"/>
      <c r="M20" s="28">
        <f t="shared" si="15"/>
        <v>5258.9285714285706</v>
      </c>
      <c r="N20" s="76">
        <f t="shared" si="5"/>
        <v>5258.9285714285706</v>
      </c>
      <c r="O20" s="49">
        <f>[52]СводПЗ!$E$20</f>
        <v>5258.9285714285706</v>
      </c>
      <c r="P20" s="49"/>
      <c r="Q20" s="28"/>
      <c r="R20" s="50"/>
      <c r="U20" s="15"/>
      <c r="V20" s="15"/>
      <c r="AQ20" s="93" t="e">
        <f>#REF!</f>
        <v>#REF!</v>
      </c>
      <c r="AR20" s="93" t="e">
        <f t="shared" si="10"/>
        <v>#REF!</v>
      </c>
      <c r="AS20" s="97" t="e">
        <f t="shared" si="11"/>
        <v>#REF!</v>
      </c>
      <c r="AU20" s="28" t="e">
        <f t="shared" si="16"/>
        <v>#REF!</v>
      </c>
      <c r="AV20" s="28" t="e">
        <f>#REF!</f>
        <v>#REF!</v>
      </c>
      <c r="AW20" s="28" t="e">
        <f>#REF!</f>
        <v>#REF!</v>
      </c>
      <c r="AX20" s="28" t="e">
        <f>#REF!</f>
        <v>#REF!</v>
      </c>
      <c r="AY20" s="28" t="e">
        <f>#REF!</f>
        <v>#REF!</v>
      </c>
      <c r="AZ20" s="28" t="e">
        <f>#REF!</f>
        <v>#REF!</v>
      </c>
      <c r="BA20" s="28" t="e">
        <f>#REF!</f>
        <v>#REF!</v>
      </c>
    </row>
    <row r="21" spans="1:53" s="4" customFormat="1" ht="20.25" customHeight="1" outlineLevel="1">
      <c r="A21" s="341"/>
      <c r="B21" s="56" t="s">
        <v>143</v>
      </c>
      <c r="C21" s="344"/>
      <c r="D21" s="28">
        <f t="shared" si="13"/>
        <v>5995.5999999999995</v>
      </c>
      <c r="E21" s="76">
        <f t="shared" si="3"/>
        <v>1207.5550580569945</v>
      </c>
      <c r="F21" s="49">
        <v>507.59531984299343</v>
      </c>
      <c r="G21" s="49">
        <v>699.95973821400116</v>
      </c>
      <c r="H21" s="28">
        <v>4331.4288507175461</v>
      </c>
      <c r="I21" s="50">
        <v>456.61609122545889</v>
      </c>
      <c r="J21" s="214"/>
      <c r="K21" s="214"/>
      <c r="L21" s="214"/>
      <c r="M21" s="28">
        <f t="shared" si="15"/>
        <v>5995.6</v>
      </c>
      <c r="N21" s="76">
        <f t="shared" si="5"/>
        <v>1038.1499006867609</v>
      </c>
      <c r="O21" s="49">
        <f>[52]СводПЗ!$E$21</f>
        <v>395.6941025041138</v>
      </c>
      <c r="P21" s="49">
        <f>[52]СводПЗ!$F$21</f>
        <v>642.45579818264707</v>
      </c>
      <c r="Q21" s="28">
        <f>[52]СводПЗ!$L$21</f>
        <v>4653.1499164286133</v>
      </c>
      <c r="R21" s="50">
        <f>[52]СводПЗ!$J$21</f>
        <v>304.30018288462634</v>
      </c>
      <c r="U21" s="15"/>
      <c r="V21" s="15"/>
      <c r="AQ21" s="93" t="e">
        <f>#REF!</f>
        <v>#REF!</v>
      </c>
      <c r="AR21" s="93" t="e">
        <f t="shared" si="10"/>
        <v>#REF!</v>
      </c>
      <c r="AS21" s="97" t="e">
        <f t="shared" si="11"/>
        <v>#REF!</v>
      </c>
      <c r="AU21" s="28" t="e">
        <f t="shared" si="16"/>
        <v>#REF!</v>
      </c>
      <c r="AV21" s="28" t="e">
        <f>#REF!</f>
        <v>#REF!</v>
      </c>
      <c r="AW21" s="28" t="e">
        <f>#REF!</f>
        <v>#REF!</v>
      </c>
      <c r="AX21" s="28" t="e">
        <f>#REF!</f>
        <v>#REF!</v>
      </c>
      <c r="AY21" s="28" t="e">
        <f>#REF!</f>
        <v>#REF!</v>
      </c>
      <c r="AZ21" s="28" t="e">
        <f>#REF!</f>
        <v>#REF!</v>
      </c>
      <c r="BA21" s="28" t="e">
        <f>#REF!</f>
        <v>#REF!</v>
      </c>
    </row>
    <row r="22" spans="1:53" s="4" customFormat="1" ht="32.25" customHeight="1">
      <c r="A22" s="13" t="s">
        <v>12</v>
      </c>
      <c r="B22" s="12" t="s">
        <v>13</v>
      </c>
      <c r="C22" s="211" t="s">
        <v>9</v>
      </c>
      <c r="D22" s="25">
        <f t="shared" si="13"/>
        <v>310983.29278606782</v>
      </c>
      <c r="E22" s="76">
        <f t="shared" si="3"/>
        <v>22472.589467165744</v>
      </c>
      <c r="F22" s="25">
        <f>F23+F24</f>
        <v>8956.2787828052278</v>
      </c>
      <c r="G22" s="25">
        <f t="shared" ref="G22:I22" si="21">G23+G24</f>
        <v>13516.310684360516</v>
      </c>
      <c r="H22" s="25">
        <f t="shared" si="21"/>
        <v>288041.94750963821</v>
      </c>
      <c r="I22" s="25">
        <f t="shared" si="21"/>
        <v>468.75580926383361</v>
      </c>
      <c r="M22" s="25">
        <f t="shared" si="15"/>
        <v>310983.29078606784</v>
      </c>
      <c r="N22" s="76">
        <f t="shared" si="5"/>
        <v>22252.626888886844</v>
      </c>
      <c r="O22" s="25">
        <f>O23+O24</f>
        <v>8810.981790305972</v>
      </c>
      <c r="P22" s="25">
        <f t="shared" ref="P22:R22" si="22">P23+P24</f>
        <v>13441.645098580871</v>
      </c>
      <c r="Q22" s="25">
        <f t="shared" si="22"/>
        <v>288459.68022986408</v>
      </c>
      <c r="R22" s="25">
        <f t="shared" si="22"/>
        <v>270.98366731689896</v>
      </c>
      <c r="U22" s="15"/>
      <c r="V22" s="15"/>
      <c r="AQ22" s="93" t="e">
        <f>#REF!</f>
        <v>#REF!</v>
      </c>
      <c r="AR22" s="92" t="e">
        <f t="shared" si="10"/>
        <v>#REF!</v>
      </c>
      <c r="AS22" s="97" t="e">
        <f t="shared" si="11"/>
        <v>#REF!</v>
      </c>
      <c r="AU22" s="25" t="e">
        <f t="shared" si="16"/>
        <v>#REF!</v>
      </c>
      <c r="AV22" s="25" t="e">
        <f>AV23+AV24</f>
        <v>#REF!</v>
      </c>
      <c r="AW22" s="25" t="e">
        <f t="shared" ref="AW22:BA22" si="23">AW23+AW24</f>
        <v>#REF!</v>
      </c>
      <c r="AX22" s="25" t="e">
        <f t="shared" si="23"/>
        <v>#REF!</v>
      </c>
      <c r="AY22" s="25" t="e">
        <f t="shared" si="23"/>
        <v>#REF!</v>
      </c>
      <c r="AZ22" s="25" t="e">
        <f t="shared" si="23"/>
        <v>#REF!</v>
      </c>
      <c r="BA22" s="25" t="e">
        <f t="shared" si="23"/>
        <v>#REF!</v>
      </c>
    </row>
    <row r="23" spans="1:53" s="4" customFormat="1" outlineLevel="1">
      <c r="A23" s="13"/>
      <c r="B23" s="18" t="s">
        <v>175</v>
      </c>
      <c r="C23" s="9"/>
      <c r="D23" s="28">
        <f t="shared" si="13"/>
        <v>288011.72281999997</v>
      </c>
      <c r="E23" s="76">
        <f t="shared" si="3"/>
        <v>12127.01269516211</v>
      </c>
      <c r="F23" s="49">
        <v>4836.5382165168403</v>
      </c>
      <c r="G23" s="49">
        <v>7290.4744786452684</v>
      </c>
      <c r="H23" s="28">
        <v>275588.26658931054</v>
      </c>
      <c r="I23" s="49">
        <v>296.44353552733543</v>
      </c>
      <c r="J23" s="214"/>
      <c r="K23" s="214"/>
      <c r="L23" s="214"/>
      <c r="M23" s="28">
        <f t="shared" si="15"/>
        <v>288011.72081999999</v>
      </c>
      <c r="N23" s="76">
        <f t="shared" si="5"/>
        <v>11987.90686692465</v>
      </c>
      <c r="O23" s="49">
        <f>[52]СводПЗ!$E$23</f>
        <v>4744.6514560327087</v>
      </c>
      <c r="P23" s="49">
        <f>[52]СводПЗ!$F$23</f>
        <v>7243.2554108919412</v>
      </c>
      <c r="Q23" s="28">
        <f>[52]СводПЗ!$L$23</f>
        <v>275852.44247456698</v>
      </c>
      <c r="R23" s="49">
        <f>[52]СводПЗ!$J$23</f>
        <v>171.37147850835498</v>
      </c>
      <c r="U23" s="15"/>
      <c r="V23" s="15"/>
      <c r="AQ23" s="93" t="e">
        <f>#REF!</f>
        <v>#REF!</v>
      </c>
      <c r="AR23" s="93" t="e">
        <f t="shared" si="10"/>
        <v>#REF!</v>
      </c>
      <c r="AS23" s="97" t="e">
        <f t="shared" si="11"/>
        <v>#REF!</v>
      </c>
      <c r="AU23" s="28" t="e">
        <f t="shared" si="16"/>
        <v>#REF!</v>
      </c>
      <c r="AV23" s="49" t="e">
        <f>#REF!</f>
        <v>#REF!</v>
      </c>
      <c r="AW23" s="49" t="e">
        <f>#REF!</f>
        <v>#REF!</v>
      </c>
      <c r="AX23" s="49" t="e">
        <f>#REF!</f>
        <v>#REF!</v>
      </c>
      <c r="AY23" s="49" t="e">
        <f>#REF!</f>
        <v>#REF!</v>
      </c>
      <c r="AZ23" s="49" t="e">
        <f>#REF!</f>
        <v>#REF!</v>
      </c>
      <c r="BA23" s="49" t="e">
        <f>#REF!</f>
        <v>#REF!</v>
      </c>
    </row>
    <row r="24" spans="1:53" s="4" customFormat="1" outlineLevel="1">
      <c r="A24" s="13"/>
      <c r="B24" s="18" t="s">
        <v>14</v>
      </c>
      <c r="C24" s="9"/>
      <c r="D24" s="28">
        <f t="shared" si="13"/>
        <v>22971.569966067822</v>
      </c>
      <c r="E24" s="76">
        <f t="shared" si="3"/>
        <v>10345.576772003635</v>
      </c>
      <c r="F24" s="49">
        <v>4119.7405662883866</v>
      </c>
      <c r="G24" s="49">
        <v>6225.8362057152472</v>
      </c>
      <c r="H24" s="28">
        <v>12453.68092032769</v>
      </c>
      <c r="I24" s="49">
        <v>172.31227373649816</v>
      </c>
      <c r="J24" s="214"/>
      <c r="K24" s="214"/>
      <c r="L24" s="214"/>
      <c r="M24" s="28">
        <f t="shared" si="15"/>
        <v>22971.569966067818</v>
      </c>
      <c r="N24" s="76">
        <f t="shared" si="5"/>
        <v>10264.720021962194</v>
      </c>
      <c r="O24" s="49">
        <f>[52]СводПЗ!$E$24</f>
        <v>4066.3303342732629</v>
      </c>
      <c r="P24" s="49">
        <f>[52]СводПЗ!$F$24</f>
        <v>6198.3896876889303</v>
      </c>
      <c r="Q24" s="28">
        <f>[52]СводПЗ!$L$24</f>
        <v>12607.237755297083</v>
      </c>
      <c r="R24" s="49">
        <f>[52]СводПЗ!$J$24</f>
        <v>99.612188808543962</v>
      </c>
      <c r="U24" s="15"/>
      <c r="V24" s="15"/>
      <c r="AQ24" s="93" t="e">
        <f>#REF!</f>
        <v>#REF!</v>
      </c>
      <c r="AR24" s="93" t="e">
        <f t="shared" si="10"/>
        <v>#REF!</v>
      </c>
      <c r="AS24" s="97" t="e">
        <f t="shared" si="11"/>
        <v>#REF!</v>
      </c>
      <c r="AU24" s="28" t="e">
        <f t="shared" si="16"/>
        <v>#REF!</v>
      </c>
      <c r="AV24" s="49" t="e">
        <f>#REF!</f>
        <v>#REF!</v>
      </c>
      <c r="AW24" s="49" t="e">
        <f>#REF!</f>
        <v>#REF!</v>
      </c>
      <c r="AX24" s="49" t="e">
        <f>#REF!</f>
        <v>#REF!</v>
      </c>
      <c r="AY24" s="49" t="e">
        <f>#REF!</f>
        <v>#REF!</v>
      </c>
      <c r="AZ24" s="49" t="e">
        <f>#REF!</f>
        <v>#REF!</v>
      </c>
      <c r="BA24" s="49" t="e">
        <f>#REF!</f>
        <v>#REF!</v>
      </c>
    </row>
    <row r="25" spans="1:53" s="4" customFormat="1" ht="33.75" customHeight="1">
      <c r="A25" s="13" t="s">
        <v>15</v>
      </c>
      <c r="B25" s="12" t="s">
        <v>179</v>
      </c>
      <c r="C25" s="211" t="s">
        <v>9</v>
      </c>
      <c r="D25" s="25">
        <f t="shared" si="13"/>
        <v>76279.90433200002</v>
      </c>
      <c r="E25" s="76">
        <f t="shared" si="3"/>
        <v>4130.955401258514</v>
      </c>
      <c r="F25" s="52">
        <v>1639.6039514323304</v>
      </c>
      <c r="G25" s="52">
        <v>2491.3514498261839</v>
      </c>
      <c r="H25" s="25">
        <v>71907.086879341499</v>
      </c>
      <c r="I25" s="52">
        <v>241.86205139999996</v>
      </c>
      <c r="M25" s="25">
        <f t="shared" si="15"/>
        <v>61848.571080000009</v>
      </c>
      <c r="N25" s="76">
        <f t="shared" si="5"/>
        <v>3349.4232983177139</v>
      </c>
      <c r="O25" s="52">
        <f>[52]СводПЗ!$E$25</f>
        <v>1329.408609269457</v>
      </c>
      <c r="P25" s="52">
        <f>[52]СводПЗ!$F$25</f>
        <v>2020.014689048257</v>
      </c>
      <c r="Q25" s="34">
        <f>[52]СводПЗ!$L$25</f>
        <v>58303.043415682296</v>
      </c>
      <c r="R25" s="52">
        <f>[52]СводПЗ!$J$25</f>
        <v>196.10436599999997</v>
      </c>
      <c r="U25" s="15"/>
      <c r="V25" s="15"/>
      <c r="AQ25" s="92" t="e">
        <f>#REF!</f>
        <v>#REF!</v>
      </c>
      <c r="AR25" s="92" t="e">
        <f t="shared" si="10"/>
        <v>#REF!</v>
      </c>
      <c r="AS25" s="97" t="e">
        <f t="shared" si="11"/>
        <v>#REF!</v>
      </c>
      <c r="AU25" s="25" t="e">
        <f t="shared" si="16"/>
        <v>#REF!</v>
      </c>
      <c r="AV25" s="52" t="e">
        <f>#REF!</f>
        <v>#REF!</v>
      </c>
      <c r="AW25" s="52" t="e">
        <f>#REF!</f>
        <v>#REF!</v>
      </c>
      <c r="AX25" s="52" t="e">
        <f>#REF!</f>
        <v>#REF!</v>
      </c>
      <c r="AY25" s="52" t="e">
        <f>#REF!</f>
        <v>#REF!</v>
      </c>
      <c r="AZ25" s="52" t="e">
        <f>#REF!</f>
        <v>#REF!</v>
      </c>
      <c r="BA25" s="52" t="e">
        <f>#REF!</f>
        <v>#REF!</v>
      </c>
    </row>
    <row r="26" spans="1:53" s="6" customFormat="1" ht="33" customHeight="1">
      <c r="A26" s="19" t="s">
        <v>16</v>
      </c>
      <c r="B26" s="17" t="s">
        <v>273</v>
      </c>
      <c r="C26" s="343" t="s">
        <v>9</v>
      </c>
      <c r="D26" s="27">
        <f>SUM(D28:D31)</f>
        <v>1206129.5796632001</v>
      </c>
      <c r="E26" s="70">
        <f t="shared" si="3"/>
        <v>267057.79093023599</v>
      </c>
      <c r="F26" s="27">
        <f t="shared" ref="F26:I26" si="24">SUM(F28:F31)</f>
        <v>112257.6431603157</v>
      </c>
      <c r="G26" s="27">
        <f t="shared" si="24"/>
        <v>154800.14776992027</v>
      </c>
      <c r="H26" s="27">
        <f t="shared" si="24"/>
        <v>858902.35124417162</v>
      </c>
      <c r="I26" s="27">
        <f t="shared" si="24"/>
        <v>80169.437488792464</v>
      </c>
      <c r="M26" s="27">
        <f>SUM(M28:M31)</f>
        <v>1156813.0430351906</v>
      </c>
      <c r="N26" s="70">
        <f t="shared" si="5"/>
        <v>217128.31858954096</v>
      </c>
      <c r="O26" s="27">
        <f t="shared" ref="O26:R26" si="25">SUM(O28:O31)</f>
        <v>86822.163608103408</v>
      </c>
      <c r="P26" s="27">
        <f t="shared" si="25"/>
        <v>130306.15498143755</v>
      </c>
      <c r="Q26" s="27">
        <f t="shared" si="25"/>
        <v>867350.10817682138</v>
      </c>
      <c r="R26" s="27">
        <f t="shared" si="25"/>
        <v>72334.61626882838</v>
      </c>
      <c r="T26" s="48"/>
      <c r="U26" s="15"/>
      <c r="V26" s="15"/>
      <c r="AQ26" s="91" t="e">
        <f>SUM(AQ28:AQ31)</f>
        <v>#REF!</v>
      </c>
      <c r="AR26" s="91" t="e">
        <f t="shared" si="10"/>
        <v>#REF!</v>
      </c>
      <c r="AS26" s="98" t="e">
        <f t="shared" si="11"/>
        <v>#REF!</v>
      </c>
      <c r="AU26" s="27" t="e">
        <f>SUM(AU28:AU31)</f>
        <v>#REF!</v>
      </c>
      <c r="AV26" s="27" t="e">
        <f t="shared" ref="AV26:BA26" si="26">SUM(AV28:AV31)</f>
        <v>#REF!</v>
      </c>
      <c r="AW26" s="27" t="e">
        <f t="shared" si="26"/>
        <v>#REF!</v>
      </c>
      <c r="AX26" s="27" t="e">
        <f t="shared" si="26"/>
        <v>#REF!</v>
      </c>
      <c r="AY26" s="27" t="e">
        <f t="shared" si="26"/>
        <v>#REF!</v>
      </c>
      <c r="AZ26" s="27" t="e">
        <f t="shared" si="26"/>
        <v>#REF!</v>
      </c>
      <c r="BA26" s="27" t="e">
        <f t="shared" si="26"/>
        <v>#REF!</v>
      </c>
    </row>
    <row r="27" spans="1:53" s="4" customFormat="1">
      <c r="A27" s="13"/>
      <c r="B27" s="12" t="s">
        <v>7</v>
      </c>
      <c r="C27" s="211"/>
      <c r="D27" s="25"/>
      <c r="E27" s="70"/>
      <c r="F27" s="25"/>
      <c r="G27" s="25"/>
      <c r="H27" s="25"/>
      <c r="I27" s="33"/>
      <c r="M27" s="25"/>
      <c r="N27" s="70"/>
      <c r="O27" s="25"/>
      <c r="P27" s="25"/>
      <c r="Q27" s="25"/>
      <c r="R27" s="33"/>
      <c r="U27" s="15"/>
      <c r="V27" s="15"/>
      <c r="AQ27" s="92"/>
      <c r="AR27" s="92"/>
      <c r="AS27" s="97"/>
      <c r="AU27" s="25"/>
      <c r="AV27" s="25"/>
      <c r="AW27" s="25"/>
      <c r="AX27" s="25"/>
      <c r="AY27" s="32"/>
      <c r="AZ27" s="33"/>
      <c r="BA27" s="33"/>
    </row>
    <row r="28" spans="1:53" s="4" customFormat="1" ht="27" customHeight="1">
      <c r="A28" s="13" t="s">
        <v>17</v>
      </c>
      <c r="B28" s="12" t="s">
        <v>18</v>
      </c>
      <c r="C28" s="211" t="s">
        <v>9</v>
      </c>
      <c r="D28" s="25">
        <f>SUM(F28:I28)</f>
        <v>1075601.3768</v>
      </c>
      <c r="E28" s="74">
        <f t="shared" si="3"/>
        <v>239807.96185663517</v>
      </c>
      <c r="F28" s="25">
        <v>100803.18763715524</v>
      </c>
      <c r="G28" s="25">
        <v>139004.77421947994</v>
      </c>
      <c r="H28" s="25">
        <v>764099.34811255021</v>
      </c>
      <c r="I28" s="33">
        <v>71694.066830814583</v>
      </c>
      <c r="M28" s="25">
        <f>SUM(O28:R28)</f>
        <v>1037887.5437262881</v>
      </c>
      <c r="N28" s="74">
        <f t="shared" si="5"/>
        <v>196196.56216804698</v>
      </c>
      <c r="O28" s="25">
        <v>78477.95409248778</v>
      </c>
      <c r="P28" s="25">
        <v>117718.6080755592</v>
      </c>
      <c r="Q28" s="25">
        <f>[52]СводПЗ!$L$28</f>
        <v>776447.3392924784</v>
      </c>
      <c r="R28" s="33">
        <f>[52]СводПЗ!$J$28</f>
        <v>65243.642265762763</v>
      </c>
      <c r="U28" s="15">
        <v>95890.77626300689</v>
      </c>
      <c r="V28" s="15">
        <v>136333.474978752</v>
      </c>
      <c r="W28" s="4" t="s">
        <v>277</v>
      </c>
      <c r="AQ28" s="92" t="e">
        <f>#REF!</f>
        <v>#REF!</v>
      </c>
      <c r="AR28" s="92" t="e">
        <f>D28-AQ28</f>
        <v>#REF!</v>
      </c>
      <c r="AS28" s="97" t="e">
        <f>100%-(AQ28/D28)</f>
        <v>#REF!</v>
      </c>
      <c r="AU28" s="25" t="e">
        <f t="shared" ref="AU28:AU32" si="27">SUM(AV28:BA28)</f>
        <v>#REF!</v>
      </c>
      <c r="AV28" s="25" t="e">
        <f>#REF!</f>
        <v>#REF!</v>
      </c>
      <c r="AW28" s="25" t="e">
        <f>#REF!</f>
        <v>#REF!</v>
      </c>
      <c r="AX28" s="25" t="e">
        <f>#REF!</f>
        <v>#REF!</v>
      </c>
      <c r="AY28" s="25" t="e">
        <f>#REF!</f>
        <v>#REF!</v>
      </c>
      <c r="AZ28" s="25" t="e">
        <f>#REF!</f>
        <v>#REF!</v>
      </c>
      <c r="BA28" s="25" t="e">
        <f>#REF!</f>
        <v>#REF!</v>
      </c>
    </row>
    <row r="29" spans="1:53" s="4" customFormat="1" ht="29.25" customHeight="1">
      <c r="A29" s="13" t="s">
        <v>19</v>
      </c>
      <c r="B29" s="12" t="s">
        <v>20</v>
      </c>
      <c r="C29" s="211" t="s">
        <v>9</v>
      </c>
      <c r="D29" s="25">
        <f>SUM(F29:I29)</f>
        <v>106484.53630320002</v>
      </c>
      <c r="E29" s="74">
        <f t="shared" si="3"/>
        <v>23740.988223806882</v>
      </c>
      <c r="F29" s="25">
        <v>9979.5155760783673</v>
      </c>
      <c r="G29" s="25">
        <v>13761.472647728513</v>
      </c>
      <c r="H29" s="25">
        <v>75645.835463142488</v>
      </c>
      <c r="I29" s="33">
        <v>7097.7126162506447</v>
      </c>
      <c r="M29" s="25">
        <f>SUM(O29:R29)</f>
        <v>102750.86682890252</v>
      </c>
      <c r="N29" s="74">
        <f t="shared" si="5"/>
        <v>19423.459654636648</v>
      </c>
      <c r="O29" s="25">
        <v>7769.3174551562888</v>
      </c>
      <c r="P29" s="25">
        <v>11654.14219948036</v>
      </c>
      <c r="Q29" s="25">
        <f>[52]СводПЗ!$L$29</f>
        <v>76868.286589955358</v>
      </c>
      <c r="R29" s="33">
        <f>[52]СводПЗ!$J$29</f>
        <v>6459.1205843105136</v>
      </c>
      <c r="U29" s="15">
        <v>78477.954092487795</v>
      </c>
      <c r="V29" s="15">
        <v>117718.60807555901</v>
      </c>
      <c r="W29" s="4" t="s">
        <v>278</v>
      </c>
      <c r="X29" s="15">
        <f>U28-U29</f>
        <v>17412.822170519095</v>
      </c>
      <c r="Y29" s="15">
        <f>V28-V29</f>
        <v>18614.866903192989</v>
      </c>
      <c r="AQ29" s="92" t="e">
        <f>#REF!</f>
        <v>#REF!</v>
      </c>
      <c r="AR29" s="92" t="e">
        <f>D29-AQ29</f>
        <v>#REF!</v>
      </c>
      <c r="AS29" s="97" t="e">
        <f>100%-(AQ29/D29)</f>
        <v>#REF!</v>
      </c>
      <c r="AU29" s="25" t="e">
        <f t="shared" si="27"/>
        <v>#REF!</v>
      </c>
      <c r="AV29" s="25" t="e">
        <f>#REF!</f>
        <v>#REF!</v>
      </c>
      <c r="AW29" s="25" t="e">
        <f>#REF!</f>
        <v>#REF!</v>
      </c>
      <c r="AX29" s="25" t="e">
        <f>#REF!</f>
        <v>#REF!</v>
      </c>
      <c r="AY29" s="25" t="e">
        <f>#REF!</f>
        <v>#REF!</v>
      </c>
      <c r="AZ29" s="25" t="e">
        <f>#REF!</f>
        <v>#REF!</v>
      </c>
      <c r="BA29" s="25" t="e">
        <f>#REF!</f>
        <v>#REF!</v>
      </c>
    </row>
    <row r="30" spans="1:53" s="4" customFormat="1" ht="37.5" customHeight="1">
      <c r="A30" s="341" t="s">
        <v>144</v>
      </c>
      <c r="B30" s="59" t="s">
        <v>145</v>
      </c>
      <c r="C30" s="342"/>
      <c r="D30" s="25">
        <f>SUM(F30:I30)</f>
        <v>8305.5984000000008</v>
      </c>
      <c r="E30" s="74">
        <f t="shared" si="3"/>
        <v>0</v>
      </c>
      <c r="F30" s="60"/>
      <c r="G30" s="60"/>
      <c r="H30" s="25">
        <v>7976.9592000000002</v>
      </c>
      <c r="I30" s="61">
        <v>328.63920000000002</v>
      </c>
      <c r="M30" s="25">
        <f>SUM(O30:R30)</f>
        <v>8305.5984000000008</v>
      </c>
      <c r="N30" s="74">
        <f t="shared" si="5"/>
        <v>0</v>
      </c>
      <c r="O30" s="60"/>
      <c r="P30" s="60"/>
      <c r="Q30" s="25">
        <f>[52]СводПЗ!$L$30</f>
        <v>7976.9592000000002</v>
      </c>
      <c r="R30" s="61">
        <f>[52]СводПЗ!$J$30</f>
        <v>328.63920000000002</v>
      </c>
      <c r="U30" s="15">
        <v>61065.131921968699</v>
      </c>
      <c r="V30" s="15">
        <v>99103.741172366499</v>
      </c>
      <c r="W30" s="4" t="s">
        <v>279</v>
      </c>
      <c r="X30" s="15">
        <f>U29-U30</f>
        <v>17412.822170519095</v>
      </c>
      <c r="Y30" s="15">
        <f>V29-V30</f>
        <v>18614.866903192509</v>
      </c>
      <c r="AQ30" s="92" t="e">
        <f>#REF!</f>
        <v>#REF!</v>
      </c>
      <c r="AR30" s="92" t="e">
        <f>D30-AQ30</f>
        <v>#REF!</v>
      </c>
      <c r="AS30" s="97" t="e">
        <f>100%-(AQ30/D30)</f>
        <v>#REF!</v>
      </c>
      <c r="AU30" s="25" t="e">
        <f t="shared" si="27"/>
        <v>#REF!</v>
      </c>
      <c r="AV30" s="25" t="e">
        <f>#REF!</f>
        <v>#REF!</v>
      </c>
      <c r="AW30" s="25" t="e">
        <f>#REF!</f>
        <v>#REF!</v>
      </c>
      <c r="AX30" s="25" t="e">
        <f>#REF!</f>
        <v>#REF!</v>
      </c>
      <c r="AY30" s="25" t="e">
        <f>#REF!</f>
        <v>#REF!</v>
      </c>
      <c r="AZ30" s="25" t="e">
        <f>#REF!</f>
        <v>#REF!</v>
      </c>
      <c r="BA30" s="25" t="e">
        <f>#REF!</f>
        <v>#REF!</v>
      </c>
    </row>
    <row r="31" spans="1:53" s="4" customFormat="1" ht="29.25" customHeight="1">
      <c r="A31" s="341" t="s">
        <v>146</v>
      </c>
      <c r="B31" s="59" t="s">
        <v>147</v>
      </c>
      <c r="C31" s="342"/>
      <c r="D31" s="25">
        <f>SUM(F31:I31)</f>
        <v>15738.068159999999</v>
      </c>
      <c r="E31" s="74">
        <f t="shared" si="3"/>
        <v>3508.8408497939031</v>
      </c>
      <c r="F31" s="60">
        <v>1474.9399470820929</v>
      </c>
      <c r="G31" s="60">
        <v>2033.9009027118102</v>
      </c>
      <c r="H31" s="25">
        <v>11180.208468478861</v>
      </c>
      <c r="I31" s="61">
        <v>1049.018841727235</v>
      </c>
      <c r="M31" s="25">
        <f>[52]СводПЗ!$C$31</f>
        <v>7869.0340800000004</v>
      </c>
      <c r="N31" s="74">
        <f t="shared" si="5"/>
        <v>1508.2967668573424</v>
      </c>
      <c r="O31" s="60">
        <f>$M$31*O90</f>
        <v>574.89206045934145</v>
      </c>
      <c r="P31" s="60">
        <f t="shared" ref="P31:R31" si="28">$M$31*P90</f>
        <v>933.40470639800094</v>
      </c>
      <c r="Q31" s="60">
        <f t="shared" si="28"/>
        <v>6057.5230943875604</v>
      </c>
      <c r="R31" s="60">
        <f t="shared" si="28"/>
        <v>303.21421875509708</v>
      </c>
      <c r="U31" s="15"/>
      <c r="V31" s="15"/>
      <c r="AQ31" s="92" t="e">
        <f>#REF!</f>
        <v>#REF!</v>
      </c>
      <c r="AR31" s="92" t="e">
        <f>D31-AQ31</f>
        <v>#REF!</v>
      </c>
      <c r="AS31" s="97" t="e">
        <f>100%-(AQ31/D31)</f>
        <v>#REF!</v>
      </c>
      <c r="AU31" s="25" t="e">
        <f t="shared" si="27"/>
        <v>#REF!</v>
      </c>
      <c r="AV31" s="25" t="e">
        <f>#REF!</f>
        <v>#REF!</v>
      </c>
      <c r="AW31" s="25" t="e">
        <f>#REF!</f>
        <v>#REF!</v>
      </c>
      <c r="AX31" s="25" t="e">
        <f>#REF!</f>
        <v>#REF!</v>
      </c>
      <c r="AY31" s="25" t="e">
        <f>#REF!</f>
        <v>#REF!</v>
      </c>
      <c r="AZ31" s="25" t="e">
        <f>#REF!</f>
        <v>#REF!</v>
      </c>
      <c r="BA31" s="25" t="e">
        <f>#REF!</f>
        <v>#REF!</v>
      </c>
    </row>
    <row r="32" spans="1:53" s="6" customFormat="1" ht="50.25" customHeight="1">
      <c r="A32" s="78" t="s">
        <v>21</v>
      </c>
      <c r="B32" s="17" t="s">
        <v>22</v>
      </c>
      <c r="C32" s="43" t="s">
        <v>9</v>
      </c>
      <c r="D32" s="31">
        <f>SUM(F32:I32)</f>
        <v>2489153.803894788</v>
      </c>
      <c r="E32" s="70">
        <f t="shared" si="3"/>
        <v>1937026.4689199622</v>
      </c>
      <c r="F32" s="46">
        <v>1099839.5662673169</v>
      </c>
      <c r="G32" s="46">
        <v>837186.90265264537</v>
      </c>
      <c r="H32" s="46">
        <v>500769.89668170922</v>
      </c>
      <c r="I32" s="46">
        <v>51357.438293116582</v>
      </c>
      <c r="M32" s="31">
        <f>SUM(O32:R32)</f>
        <v>2220718.321853674</v>
      </c>
      <c r="N32" s="70">
        <f t="shared" si="5"/>
        <v>1631988.581349937</v>
      </c>
      <c r="O32" s="46">
        <f>[52]СводПЗ!$E$32</f>
        <v>895527.52671471401</v>
      </c>
      <c r="P32" s="46">
        <f>[52]СводПЗ!$F$32</f>
        <v>736461.054635223</v>
      </c>
      <c r="Q32" s="31">
        <f>[52]СводПЗ!$L$32</f>
        <v>579338.61477020709</v>
      </c>
      <c r="R32" s="46">
        <f>[52]СводПЗ!$J$32</f>
        <v>9391.1257335300597</v>
      </c>
      <c r="T32" s="48"/>
      <c r="AQ32" s="91" t="e">
        <f>#REF!</f>
        <v>#REF!</v>
      </c>
      <c r="AR32" s="91" t="e">
        <f>D32-AQ32</f>
        <v>#REF!</v>
      </c>
      <c r="AS32" s="98" t="e">
        <f>100%-(AQ32/D32)</f>
        <v>#REF!</v>
      </c>
      <c r="AU32" s="31" t="e">
        <f t="shared" si="27"/>
        <v>#REF!</v>
      </c>
      <c r="AV32" s="46" t="e">
        <f>#REF!</f>
        <v>#REF!</v>
      </c>
      <c r="AW32" s="46" t="e">
        <f>#REF!</f>
        <v>#REF!</v>
      </c>
      <c r="AX32" s="46" t="e">
        <f>#REF!</f>
        <v>#REF!</v>
      </c>
      <c r="AY32" s="46" t="e">
        <f>#REF!</f>
        <v>#REF!</v>
      </c>
      <c r="AZ32" s="46" t="e">
        <f>#REF!</f>
        <v>#REF!</v>
      </c>
      <c r="BA32" s="46" t="e">
        <f>#REF!</f>
        <v>#REF!</v>
      </c>
    </row>
    <row r="33" spans="1:53" s="6" customFormat="1" ht="40.5" customHeight="1">
      <c r="A33" s="19" t="s">
        <v>23</v>
      </c>
      <c r="B33" s="17" t="s">
        <v>24</v>
      </c>
      <c r="C33" s="343" t="s">
        <v>9</v>
      </c>
      <c r="D33" s="31">
        <f>SUM(F33:H33)</f>
        <v>0</v>
      </c>
      <c r="E33" s="70"/>
      <c r="F33" s="31"/>
      <c r="G33" s="31"/>
      <c r="H33" s="31"/>
      <c r="I33" s="31"/>
      <c r="M33" s="31">
        <f>SUM(O33:Q33)</f>
        <v>0</v>
      </c>
      <c r="N33" s="70"/>
      <c r="O33" s="31"/>
      <c r="P33" s="31"/>
      <c r="Q33" s="31"/>
      <c r="R33" s="31"/>
      <c r="AQ33" s="91"/>
      <c r="AR33" s="92"/>
      <c r="AS33" s="97"/>
      <c r="AU33" s="31">
        <f>SUM(AV33:AZ33)</f>
        <v>0</v>
      </c>
      <c r="AV33" s="31"/>
      <c r="AW33" s="31"/>
      <c r="AX33" s="31"/>
      <c r="AY33" s="31"/>
      <c r="AZ33" s="31"/>
      <c r="BA33" s="31"/>
    </row>
    <row r="34" spans="1:53" s="6" customFormat="1" ht="36" customHeight="1">
      <c r="A34" s="19" t="s">
        <v>25</v>
      </c>
      <c r="B34" s="17" t="s">
        <v>26</v>
      </c>
      <c r="C34" s="343" t="s">
        <v>9</v>
      </c>
      <c r="D34" s="31">
        <f>SUM(F34:I34)</f>
        <v>915347.05063624796</v>
      </c>
      <c r="E34" s="70">
        <f t="shared" si="3"/>
        <v>368783.07035827276</v>
      </c>
      <c r="F34" s="27">
        <f>F36+F37+F38+F39+F45+F68+F70+F75</f>
        <v>199103.09201767843</v>
      </c>
      <c r="G34" s="27">
        <f t="shared" ref="G34:AQ34" si="29">G36+G37+G38+G39+G45+G68+G70+G75</f>
        <v>169679.97834059433</v>
      </c>
      <c r="H34" s="27">
        <f t="shared" si="29"/>
        <v>518370.65091040451</v>
      </c>
      <c r="I34" s="27">
        <f t="shared" si="29"/>
        <v>28193.329367570681</v>
      </c>
      <c r="M34" s="31">
        <f>SUM(O34:R34)</f>
        <v>858965.6412513227</v>
      </c>
      <c r="N34" s="70">
        <f t="shared" si="5"/>
        <v>300811.13910594012</v>
      </c>
      <c r="O34" s="27">
        <f>O36+O37+O38+O39+O45+O68+O70+O75</f>
        <v>164738.23756560116</v>
      </c>
      <c r="P34" s="27">
        <f t="shared" ref="P34:R34" si="30">P36+P37+P38+P39+P45+P68+P70+P75</f>
        <v>136072.90154033893</v>
      </c>
      <c r="Q34" s="27">
        <f t="shared" si="30"/>
        <v>544973.56757845986</v>
      </c>
      <c r="R34" s="27">
        <f t="shared" si="30"/>
        <v>13180.934566922686</v>
      </c>
      <c r="U34" s="15"/>
      <c r="V34" s="15"/>
      <c r="AQ34" s="99" t="e">
        <f t="shared" si="29"/>
        <v>#REF!</v>
      </c>
      <c r="AR34" s="91" t="e">
        <f>D34-AQ34</f>
        <v>#REF!</v>
      </c>
      <c r="AS34" s="98" t="e">
        <f>100%-(AQ34/D34)</f>
        <v>#REF!</v>
      </c>
      <c r="AU34" s="31" t="e">
        <f>SUM(AV34:BA34)</f>
        <v>#REF!</v>
      </c>
      <c r="AV34" s="27" t="e">
        <f>AV36+AV37+AV38+AV39+AV45+AV68+AV70+AV75</f>
        <v>#REF!</v>
      </c>
      <c r="AW34" s="27" t="e">
        <f t="shared" ref="AW34:BA34" si="31">AW36+AW37+AW38+AW39+AW45+AW68+AW70+AW75</f>
        <v>#REF!</v>
      </c>
      <c r="AX34" s="27" t="e">
        <f t="shared" si="31"/>
        <v>#REF!</v>
      </c>
      <c r="AY34" s="27" t="e">
        <f t="shared" si="31"/>
        <v>#REF!</v>
      </c>
      <c r="AZ34" s="27" t="e">
        <f t="shared" si="31"/>
        <v>#REF!</v>
      </c>
      <c r="BA34" s="27" t="e">
        <f t="shared" si="31"/>
        <v>#REF!</v>
      </c>
    </row>
    <row r="35" spans="1:53" s="4" customFormat="1" ht="27" customHeight="1">
      <c r="A35" s="13"/>
      <c r="B35" s="12" t="s">
        <v>7</v>
      </c>
      <c r="C35" s="211"/>
      <c r="D35" s="25"/>
      <c r="E35" s="70"/>
      <c r="F35" s="31"/>
      <c r="G35" s="31"/>
      <c r="H35" s="31"/>
      <c r="I35" s="33"/>
      <c r="M35" s="25"/>
      <c r="N35" s="70"/>
      <c r="O35" s="31"/>
      <c r="P35" s="31"/>
      <c r="Q35" s="31"/>
      <c r="R35" s="33"/>
      <c r="U35" s="15"/>
      <c r="V35" s="15"/>
      <c r="AQ35" s="92"/>
      <c r="AR35" s="92"/>
      <c r="AS35" s="97"/>
      <c r="AU35" s="25"/>
      <c r="AV35" s="31"/>
      <c r="AW35" s="31"/>
      <c r="AX35" s="31"/>
      <c r="AY35" s="32"/>
      <c r="AZ35" s="33"/>
      <c r="BA35" s="33"/>
    </row>
    <row r="36" spans="1:53" s="4" customFormat="1" ht="27" customHeight="1">
      <c r="A36" s="13" t="s">
        <v>27</v>
      </c>
      <c r="B36" s="12" t="s">
        <v>28</v>
      </c>
      <c r="C36" s="211" t="s">
        <v>9</v>
      </c>
      <c r="D36" s="25">
        <f t="shared" ref="D36:D74" si="32">SUM(F36:I36)</f>
        <v>6258.5412933942844</v>
      </c>
      <c r="E36" s="74">
        <f t="shared" si="3"/>
        <v>1395.3571129014504</v>
      </c>
      <c r="F36" s="25">
        <v>586.53784379658339</v>
      </c>
      <c r="G36" s="25">
        <v>808.81926910486698</v>
      </c>
      <c r="H36" s="25">
        <v>4446.0219422973596</v>
      </c>
      <c r="I36" s="33">
        <v>417.16223819547525</v>
      </c>
      <c r="M36" s="25">
        <f>[52]СводПЗ!$C$36</f>
        <v>6258.5412933942862</v>
      </c>
      <c r="N36" s="74">
        <f t="shared" si="5"/>
        <v>1199.6056316571157</v>
      </c>
      <c r="O36" s="25">
        <f>$M$36*O90</f>
        <v>457.23346258900847</v>
      </c>
      <c r="P36" s="25">
        <f t="shared" ref="P36:R36" si="33">$M$36*P90</f>
        <v>742.37216906810738</v>
      </c>
      <c r="Q36" s="25">
        <f t="shared" si="33"/>
        <v>4817.7778919867233</v>
      </c>
      <c r="R36" s="25">
        <f t="shared" si="33"/>
        <v>241.15776975044733</v>
      </c>
      <c r="U36" s="15"/>
      <c r="V36" s="15"/>
      <c r="AQ36" s="92" t="e">
        <f>#REF!</f>
        <v>#REF!</v>
      </c>
      <c r="AR36" s="92" t="e">
        <f t="shared" ref="AR36:AR89" si="34">D36-AQ36</f>
        <v>#REF!</v>
      </c>
      <c r="AS36" s="97" t="e">
        <f t="shared" ref="AS36:AS89" si="35">100%-(AQ36/D36)</f>
        <v>#REF!</v>
      </c>
      <c r="AU36" s="25" t="e">
        <f t="shared" ref="AU36:AU89" si="36">SUM(AV36:BA36)</f>
        <v>#REF!</v>
      </c>
      <c r="AV36" s="25" t="e">
        <f>#REF!</f>
        <v>#REF!</v>
      </c>
      <c r="AW36" s="25" t="e">
        <f>#REF!</f>
        <v>#REF!</v>
      </c>
      <c r="AX36" s="25" t="e">
        <f>#REF!</f>
        <v>#REF!</v>
      </c>
      <c r="AY36" s="25" t="e">
        <f>#REF!</f>
        <v>#REF!</v>
      </c>
      <c r="AZ36" s="25" t="e">
        <f>#REF!</f>
        <v>#REF!</v>
      </c>
      <c r="BA36" s="25" t="e">
        <f>#REF!</f>
        <v>#REF!</v>
      </c>
    </row>
    <row r="37" spans="1:53" s="4" customFormat="1" ht="27" customHeight="1">
      <c r="A37" s="13" t="s">
        <v>29</v>
      </c>
      <c r="B37" s="12" t="s">
        <v>30</v>
      </c>
      <c r="C37" s="211" t="s">
        <v>9</v>
      </c>
      <c r="D37" s="25">
        <f t="shared" si="32"/>
        <v>2234.5857982142852</v>
      </c>
      <c r="E37" s="74">
        <f t="shared" si="3"/>
        <v>498.20637777334434</v>
      </c>
      <c r="F37" s="25">
        <v>209.42086572895963</v>
      </c>
      <c r="G37" s="25">
        <v>288.78551204438469</v>
      </c>
      <c r="H37" s="25">
        <v>1587.4334010215616</v>
      </c>
      <c r="I37" s="33">
        <v>148.94601941937952</v>
      </c>
      <c r="M37" s="25">
        <f>[52]СводПЗ!$C$37</f>
        <v>1398.3066999999996</v>
      </c>
      <c r="N37" s="74">
        <f t="shared" si="5"/>
        <v>268.02037622957647</v>
      </c>
      <c r="O37" s="25">
        <f>$M$37*O90</f>
        <v>102.15681006646523</v>
      </c>
      <c r="P37" s="25">
        <f t="shared" ref="P37:R37" si="37">$M$37*P90</f>
        <v>165.86356616311124</v>
      </c>
      <c r="Q37" s="25">
        <f t="shared" si="37"/>
        <v>1076.4059530273194</v>
      </c>
      <c r="R37" s="25">
        <f t="shared" si="37"/>
        <v>53.880370743103676</v>
      </c>
      <c r="U37" s="15"/>
      <c r="V37" s="15"/>
      <c r="AQ37" s="92" t="e">
        <f>#REF!</f>
        <v>#REF!</v>
      </c>
      <c r="AR37" s="92" t="e">
        <f t="shared" si="34"/>
        <v>#REF!</v>
      </c>
      <c r="AS37" s="97" t="e">
        <f t="shared" si="35"/>
        <v>#REF!</v>
      </c>
      <c r="AU37" s="25" t="e">
        <f t="shared" si="36"/>
        <v>#REF!</v>
      </c>
      <c r="AV37" s="25" t="e">
        <f>#REF!</f>
        <v>#REF!</v>
      </c>
      <c r="AW37" s="25" t="e">
        <f>#REF!</f>
        <v>#REF!</v>
      </c>
      <c r="AX37" s="25" t="e">
        <f>#REF!</f>
        <v>#REF!</v>
      </c>
      <c r="AY37" s="25" t="e">
        <f>#REF!</f>
        <v>#REF!</v>
      </c>
      <c r="AZ37" s="25" t="e">
        <f>#REF!</f>
        <v>#REF!</v>
      </c>
      <c r="BA37" s="25" t="e">
        <f>#REF!</f>
        <v>#REF!</v>
      </c>
    </row>
    <row r="38" spans="1:53" s="4" customFormat="1" ht="27" customHeight="1">
      <c r="A38" s="13" t="s">
        <v>31</v>
      </c>
      <c r="B38" s="12" t="s">
        <v>32</v>
      </c>
      <c r="C38" s="211" t="s">
        <v>9</v>
      </c>
      <c r="D38" s="25">
        <f t="shared" si="32"/>
        <v>20478.45736</v>
      </c>
      <c r="E38" s="74">
        <f t="shared" si="3"/>
        <v>4565.7222344581969</v>
      </c>
      <c r="F38" s="25">
        <v>1919.1996443152584</v>
      </c>
      <c r="G38" s="25">
        <v>2646.522590142939</v>
      </c>
      <c r="H38" s="25">
        <v>14547.74627165265</v>
      </c>
      <c r="I38" s="33">
        <v>1364.9888538891528</v>
      </c>
      <c r="M38" s="25">
        <f>[52]СводПЗ!$C$38</f>
        <v>15026.88236</v>
      </c>
      <c r="N38" s="74">
        <f t="shared" si="5"/>
        <v>2880.2770262666891</v>
      </c>
      <c r="O38" s="25">
        <f>$M$38*O90</f>
        <v>1097.8266550118349</v>
      </c>
      <c r="P38" s="25">
        <f t="shared" ref="P38:R38" si="38">$M$38*P90</f>
        <v>1782.450371254854</v>
      </c>
      <c r="Q38" s="25">
        <f t="shared" si="38"/>
        <v>11567.580722988183</v>
      </c>
      <c r="R38" s="25">
        <f t="shared" si="38"/>
        <v>579.02461074512826</v>
      </c>
      <c r="U38" s="15"/>
      <c r="V38" s="15"/>
      <c r="AQ38" s="92" t="e">
        <f>#REF!</f>
        <v>#REF!</v>
      </c>
      <c r="AR38" s="92" t="e">
        <f t="shared" si="34"/>
        <v>#REF!</v>
      </c>
      <c r="AS38" s="97" t="e">
        <f t="shared" si="35"/>
        <v>#REF!</v>
      </c>
      <c r="AU38" s="25" t="e">
        <f>SUM(AV38:BA38)</f>
        <v>#REF!</v>
      </c>
      <c r="AV38" s="25" t="e">
        <f>#REF!</f>
        <v>#REF!</v>
      </c>
      <c r="AW38" s="25" t="e">
        <f>#REF!</f>
        <v>#REF!</v>
      </c>
      <c r="AX38" s="25" t="e">
        <f>#REF!</f>
        <v>#REF!</v>
      </c>
      <c r="AY38" s="25" t="e">
        <f>#REF!</f>
        <v>#REF!</v>
      </c>
      <c r="AZ38" s="25" t="e">
        <f>#REF!</f>
        <v>#REF!</v>
      </c>
      <c r="BA38" s="25" t="e">
        <f>#REF!</f>
        <v>#REF!</v>
      </c>
    </row>
    <row r="39" spans="1:53" s="4" customFormat="1" ht="27" customHeight="1">
      <c r="A39" s="13" t="s">
        <v>33</v>
      </c>
      <c r="B39" s="12" t="s">
        <v>34</v>
      </c>
      <c r="C39" s="343" t="s">
        <v>9</v>
      </c>
      <c r="D39" s="25">
        <f t="shared" si="32"/>
        <v>390838.78575275984</v>
      </c>
      <c r="E39" s="74">
        <f t="shared" si="3"/>
        <v>301489.3651574697</v>
      </c>
      <c r="F39" s="25">
        <f>SUM(F40:F44)</f>
        <v>170983.24303371712</v>
      </c>
      <c r="G39" s="25">
        <f t="shared" ref="G39:I39" si="39">SUM(G40:G44)</f>
        <v>130506.12212375256</v>
      </c>
      <c r="H39" s="25">
        <f t="shared" si="39"/>
        <v>81359.742869789654</v>
      </c>
      <c r="I39" s="25">
        <f t="shared" si="39"/>
        <v>7989.6777255004772</v>
      </c>
      <c r="M39" s="25">
        <f t="shared" ref="M39:M72" si="40">SUM(O39:R39)</f>
        <v>327658.90089290589</v>
      </c>
      <c r="N39" s="74">
        <f t="shared" si="5"/>
        <v>245257.82116468903</v>
      </c>
      <c r="O39" s="25">
        <f>SUM(O40:O44)</f>
        <v>143451.66851664681</v>
      </c>
      <c r="P39" s="25">
        <f t="shared" ref="P39:R39" si="41">SUM(P40:P44)</f>
        <v>101806.1526480422</v>
      </c>
      <c r="Q39" s="25">
        <f t="shared" si="41"/>
        <v>81171.094973790634</v>
      </c>
      <c r="R39" s="25">
        <f t="shared" si="41"/>
        <v>1229.9847544262102</v>
      </c>
      <c r="U39" s="15"/>
      <c r="V39" s="15"/>
      <c r="AQ39" s="92" t="e">
        <f>SUM(AQ40:AQ44)</f>
        <v>#REF!</v>
      </c>
      <c r="AR39" s="92" t="e">
        <f t="shared" si="34"/>
        <v>#REF!</v>
      </c>
      <c r="AS39" s="97" t="e">
        <f t="shared" si="35"/>
        <v>#REF!</v>
      </c>
      <c r="AU39" s="25" t="e">
        <f t="shared" si="36"/>
        <v>#REF!</v>
      </c>
      <c r="AV39" s="25" t="e">
        <f>SUM(AV40:AV44)</f>
        <v>#REF!</v>
      </c>
      <c r="AW39" s="25" t="e">
        <f t="shared" ref="AW39:BA39" si="42">SUM(AW40:AW44)</f>
        <v>#REF!</v>
      </c>
      <c r="AX39" s="25" t="e">
        <f t="shared" si="42"/>
        <v>#REF!</v>
      </c>
      <c r="AY39" s="25" t="e">
        <f t="shared" si="42"/>
        <v>#REF!</v>
      </c>
      <c r="AZ39" s="25" t="e">
        <f t="shared" si="42"/>
        <v>#REF!</v>
      </c>
      <c r="BA39" s="25" t="e">
        <f t="shared" si="42"/>
        <v>#REF!</v>
      </c>
    </row>
    <row r="40" spans="1:53" s="4" customFormat="1" ht="19.5" customHeight="1">
      <c r="A40" s="13"/>
      <c r="B40" s="18" t="s">
        <v>148</v>
      </c>
      <c r="C40" s="343" t="s">
        <v>9</v>
      </c>
      <c r="D40" s="28">
        <f t="shared" si="32"/>
        <v>7049.5699300135602</v>
      </c>
      <c r="E40" s="76">
        <f t="shared" si="3"/>
        <v>5485.8817994983538</v>
      </c>
      <c r="F40" s="49">
        <v>3114.8721794794146</v>
      </c>
      <c r="G40" s="49">
        <v>2371.0096200189391</v>
      </c>
      <c r="H40" s="49">
        <v>1418.2379570035564</v>
      </c>
      <c r="I40" s="50">
        <v>145.45017351165043</v>
      </c>
      <c r="J40" s="214"/>
      <c r="K40" s="214"/>
      <c r="L40" s="214"/>
      <c r="M40" s="28">
        <f>[52]СводПЗ!$C$40</f>
        <v>7049.5699299999997</v>
      </c>
      <c r="N40" s="76">
        <f t="shared" si="5"/>
        <v>5331.7470076992668</v>
      </c>
      <c r="O40" s="49">
        <f>$M$40*O92</f>
        <v>3123.4157002076759</v>
      </c>
      <c r="P40" s="49">
        <f t="shared" ref="P40:R40" si="43">$M$40*P92</f>
        <v>2208.3313074915905</v>
      </c>
      <c r="Q40" s="49">
        <f t="shared" si="43"/>
        <v>1691.366880526886</v>
      </c>
      <c r="R40" s="49">
        <f t="shared" si="43"/>
        <v>26.456041773847414</v>
      </c>
      <c r="U40" s="15"/>
      <c r="V40" s="15"/>
      <c r="AQ40" s="93" t="e">
        <f>#REF!</f>
        <v>#REF!</v>
      </c>
      <c r="AR40" s="93" t="e">
        <f t="shared" si="34"/>
        <v>#REF!</v>
      </c>
      <c r="AS40" s="97" t="e">
        <f t="shared" si="35"/>
        <v>#REF!</v>
      </c>
      <c r="AU40" s="28" t="e">
        <f t="shared" si="36"/>
        <v>#REF!</v>
      </c>
      <c r="AV40" s="49" t="e">
        <f>#REF!</f>
        <v>#REF!</v>
      </c>
      <c r="AW40" s="49" t="e">
        <f>#REF!</f>
        <v>#REF!</v>
      </c>
      <c r="AX40" s="49" t="e">
        <f>#REF!</f>
        <v>#REF!</v>
      </c>
      <c r="AY40" s="49" t="e">
        <f>#REF!</f>
        <v>#REF!</v>
      </c>
      <c r="AZ40" s="49" t="e">
        <f>#REF!</f>
        <v>#REF!</v>
      </c>
      <c r="BA40" s="49" t="e">
        <f>#REF!</f>
        <v>#REF!</v>
      </c>
    </row>
    <row r="41" spans="1:53" s="4" customFormat="1" ht="19.5" customHeight="1">
      <c r="A41" s="13"/>
      <c r="B41" s="18" t="s">
        <v>97</v>
      </c>
      <c r="C41" s="343" t="s">
        <v>9</v>
      </c>
      <c r="D41" s="28">
        <f t="shared" si="32"/>
        <v>378846.2362985785</v>
      </c>
      <c r="E41" s="76">
        <f t="shared" si="3"/>
        <v>294813.11528954876</v>
      </c>
      <c r="F41" s="49">
        <v>167394.268510314</v>
      </c>
      <c r="G41" s="49">
        <v>127418.84677923474</v>
      </c>
      <c r="H41" s="49">
        <v>76216.580234072419</v>
      </c>
      <c r="I41" s="50">
        <v>7816.5407749573169</v>
      </c>
      <c r="J41" s="214"/>
      <c r="K41" s="214"/>
      <c r="L41" s="214"/>
      <c r="M41" s="177">
        <f>[52]СводПЗ!$C$41</f>
        <v>315666.35143873811</v>
      </c>
      <c r="N41" s="76">
        <f t="shared" si="5"/>
        <v>238745.5038288892</v>
      </c>
      <c r="O41" s="49">
        <f>$M$41*O92</f>
        <v>139860.62240693718</v>
      </c>
      <c r="P41" s="49">
        <f>$M$41*P92</f>
        <v>98884.881421952014</v>
      </c>
      <c r="Q41" s="178">
        <f>$M$41*Q92</f>
        <v>75736.196310097774</v>
      </c>
      <c r="R41" s="178">
        <f>$M$41*R92</f>
        <v>1184.6512997511686</v>
      </c>
      <c r="U41" s="15"/>
      <c r="V41" s="15"/>
      <c r="AQ41" s="93" t="e">
        <f>#REF!</f>
        <v>#REF!</v>
      </c>
      <c r="AR41" s="93" t="e">
        <f t="shared" si="34"/>
        <v>#REF!</v>
      </c>
      <c r="AS41" s="97" t="e">
        <f t="shared" si="35"/>
        <v>#REF!</v>
      </c>
      <c r="AU41" s="28" t="e">
        <f t="shared" si="36"/>
        <v>#REF!</v>
      </c>
      <c r="AV41" s="49" t="e">
        <f>#REF!</f>
        <v>#REF!</v>
      </c>
      <c r="AW41" s="49" t="e">
        <f>#REF!</f>
        <v>#REF!</v>
      </c>
      <c r="AX41" s="49" t="e">
        <f>#REF!</f>
        <v>#REF!</v>
      </c>
      <c r="AY41" s="49" t="e">
        <f>#REF!</f>
        <v>#REF!</v>
      </c>
      <c r="AZ41" s="49" t="e">
        <f>#REF!</f>
        <v>#REF!</v>
      </c>
      <c r="BA41" s="49" t="e">
        <f>#REF!</f>
        <v>#REF!</v>
      </c>
    </row>
    <row r="42" spans="1:53" s="4" customFormat="1" ht="19.5" customHeight="1" outlineLevel="1">
      <c r="A42" s="13"/>
      <c r="B42" s="18" t="s">
        <v>35</v>
      </c>
      <c r="C42" s="343" t="s">
        <v>9</v>
      </c>
      <c r="D42" s="28">
        <f t="shared" si="32"/>
        <v>128.84780000000001</v>
      </c>
      <c r="E42" s="76">
        <f t="shared" si="3"/>
        <v>39.867390930506666</v>
      </c>
      <c r="F42" s="49">
        <v>16.364254279270934</v>
      </c>
      <c r="G42" s="49">
        <v>23.503136651235732</v>
      </c>
      <c r="H42" s="49">
        <v>75.278962890270748</v>
      </c>
      <c r="I42" s="50">
        <v>13.701446179222581</v>
      </c>
      <c r="J42" s="214"/>
      <c r="K42" s="214"/>
      <c r="L42" s="214"/>
      <c r="M42" s="28">
        <f t="shared" si="40"/>
        <v>128.84780000000001</v>
      </c>
      <c r="N42" s="76">
        <f t="shared" si="5"/>
        <v>36.632203446183688</v>
      </c>
      <c r="O42" s="49">
        <f>[52]СводПЗ!$E$42</f>
        <v>14.227238952021755</v>
      </c>
      <c r="P42" s="49">
        <f>[52]СводПЗ!$F$42</f>
        <v>22.404964494161934</v>
      </c>
      <c r="Q42" s="28">
        <f>[52]СводПЗ!$L$42</f>
        <v>81.42297870058502</v>
      </c>
      <c r="R42" s="50">
        <f>[52]СводПЗ!$J$42</f>
        <v>10.792617853231292</v>
      </c>
      <c r="U42" s="15"/>
      <c r="V42" s="15"/>
      <c r="AQ42" s="93" t="e">
        <f>#REF!</f>
        <v>#REF!</v>
      </c>
      <c r="AR42" s="93" t="e">
        <f t="shared" si="34"/>
        <v>#REF!</v>
      </c>
      <c r="AS42" s="97" t="e">
        <f t="shared" si="35"/>
        <v>#REF!</v>
      </c>
      <c r="AU42" s="28" t="e">
        <f t="shared" si="36"/>
        <v>#REF!</v>
      </c>
      <c r="AV42" s="49" t="e">
        <f>#REF!</f>
        <v>#REF!</v>
      </c>
      <c r="AW42" s="49" t="e">
        <f>#REF!</f>
        <v>#REF!</v>
      </c>
      <c r="AX42" s="49" t="e">
        <f>#REF!</f>
        <v>#REF!</v>
      </c>
      <c r="AY42" s="49" t="e">
        <f>#REF!</f>
        <v>#REF!</v>
      </c>
      <c r="AZ42" s="49" t="e">
        <f>#REF!</f>
        <v>#REF!</v>
      </c>
      <c r="BA42" s="49" t="e">
        <f>#REF!</f>
        <v>#REF!</v>
      </c>
    </row>
    <row r="43" spans="1:53" s="4" customFormat="1" ht="19.5" customHeight="1" outlineLevel="1">
      <c r="A43" s="341"/>
      <c r="B43" s="56" t="s">
        <v>36</v>
      </c>
      <c r="C43" s="344"/>
      <c r="D43" s="28">
        <f t="shared" si="32"/>
        <v>4655.3017241677644</v>
      </c>
      <c r="E43" s="76">
        <f t="shared" si="3"/>
        <v>1115.0891399064469</v>
      </c>
      <c r="F43" s="49">
        <v>442.85286298169564</v>
      </c>
      <c r="G43" s="49">
        <v>672.23627692475134</v>
      </c>
      <c r="H43" s="49">
        <v>3536.8140459516494</v>
      </c>
      <c r="I43" s="50">
        <v>3.3985383096677753</v>
      </c>
      <c r="J43" s="214"/>
      <c r="K43" s="214"/>
      <c r="L43" s="214"/>
      <c r="M43" s="28">
        <f t="shared" si="40"/>
        <v>4655.3017241677635</v>
      </c>
      <c r="N43" s="76">
        <f t="shared" si="5"/>
        <v>1113.4943912756485</v>
      </c>
      <c r="O43" s="49">
        <f>[52]СводПЗ!$E$43</f>
        <v>441.79944574277499</v>
      </c>
      <c r="P43" s="49">
        <f>[52]СводПЗ!$F$43</f>
        <v>671.69494553287348</v>
      </c>
      <c r="Q43" s="28">
        <f>[52]СводПЗ!$L$43</f>
        <v>3539.8426682026261</v>
      </c>
      <c r="R43" s="50">
        <f>[52]СводПЗ!$J$43</f>
        <v>1.9646646894892064</v>
      </c>
      <c r="U43" s="15"/>
      <c r="V43" s="15"/>
      <c r="AQ43" s="93" t="e">
        <f>#REF!</f>
        <v>#REF!</v>
      </c>
      <c r="AR43" s="93" t="e">
        <f t="shared" si="34"/>
        <v>#REF!</v>
      </c>
      <c r="AS43" s="97" t="e">
        <f t="shared" si="35"/>
        <v>#REF!</v>
      </c>
      <c r="AU43" s="28" t="e">
        <f t="shared" si="36"/>
        <v>#REF!</v>
      </c>
      <c r="AV43" s="49" t="e">
        <f>#REF!</f>
        <v>#REF!</v>
      </c>
      <c r="AW43" s="49" t="e">
        <f>#REF!</f>
        <v>#REF!</v>
      </c>
      <c r="AX43" s="49" t="e">
        <f>#REF!</f>
        <v>#REF!</v>
      </c>
      <c r="AY43" s="49" t="e">
        <f>#REF!</f>
        <v>#REF!</v>
      </c>
      <c r="AZ43" s="49" t="e">
        <f>#REF!</f>
        <v>#REF!</v>
      </c>
      <c r="BA43" s="49" t="e">
        <f>#REF!</f>
        <v>#REF!</v>
      </c>
    </row>
    <row r="44" spans="1:53" s="4" customFormat="1" ht="37.5" customHeight="1" outlineLevel="1">
      <c r="A44" s="341"/>
      <c r="B44" s="56" t="s">
        <v>37</v>
      </c>
      <c r="C44" s="344"/>
      <c r="D44" s="28">
        <f t="shared" si="32"/>
        <v>158.83000000000001</v>
      </c>
      <c r="E44" s="76">
        <f t="shared" si="3"/>
        <v>35.411537585612137</v>
      </c>
      <c r="F44" s="49">
        <v>14.885226662727124</v>
      </c>
      <c r="G44" s="49">
        <v>20.526310922885013</v>
      </c>
      <c r="H44" s="49">
        <v>112.83166987176764</v>
      </c>
      <c r="I44" s="50">
        <v>10.58679254262022</v>
      </c>
      <c r="J44" s="214"/>
      <c r="K44" s="214"/>
      <c r="L44" s="214"/>
      <c r="M44" s="28">
        <f>[52]СводПЗ!$C$44</f>
        <v>158.83000000000001</v>
      </c>
      <c r="N44" s="76">
        <f t="shared" si="5"/>
        <v>30.443733378767082</v>
      </c>
      <c r="O44" s="49">
        <f>$M$44*O90</f>
        <v>11.603724807194787</v>
      </c>
      <c r="P44" s="49">
        <f t="shared" ref="P44:R44" si="44">$M$44*P90</f>
        <v>18.840008571572294</v>
      </c>
      <c r="Q44" s="49">
        <f t="shared" si="44"/>
        <v>122.26613626275925</v>
      </c>
      <c r="R44" s="49">
        <f t="shared" si="44"/>
        <v>6.1201303584736877</v>
      </c>
      <c r="U44" s="15"/>
      <c r="V44" s="15"/>
      <c r="AQ44" s="93" t="e">
        <f>#REF!</f>
        <v>#REF!</v>
      </c>
      <c r="AR44" s="93" t="e">
        <f t="shared" si="34"/>
        <v>#REF!</v>
      </c>
      <c r="AS44" s="97" t="e">
        <f t="shared" si="35"/>
        <v>#REF!</v>
      </c>
      <c r="AU44" s="28" t="e">
        <f t="shared" si="36"/>
        <v>#REF!</v>
      </c>
      <c r="AV44" s="49" t="e">
        <f>#REF!</f>
        <v>#REF!</v>
      </c>
      <c r="AW44" s="49" t="e">
        <f>#REF!</f>
        <v>#REF!</v>
      </c>
      <c r="AX44" s="49" t="e">
        <f>#REF!</f>
        <v>#REF!</v>
      </c>
      <c r="AY44" s="49" t="e">
        <f>#REF!</f>
        <v>#REF!</v>
      </c>
      <c r="AZ44" s="49" t="e">
        <f>#REF!</f>
        <v>#REF!</v>
      </c>
      <c r="BA44" s="49" t="e">
        <f>#REF!</f>
        <v>#REF!</v>
      </c>
    </row>
    <row r="45" spans="1:53" s="4" customFormat="1" ht="25.5" customHeight="1">
      <c r="A45" s="13" t="s">
        <v>38</v>
      </c>
      <c r="B45" s="12" t="s">
        <v>39</v>
      </c>
      <c r="C45" s="343" t="s">
        <v>9</v>
      </c>
      <c r="D45" s="25">
        <f t="shared" si="32"/>
        <v>422232.40846603562</v>
      </c>
      <c r="E45" s="74">
        <f t="shared" si="3"/>
        <v>44401.665552482213</v>
      </c>
      <c r="F45" s="33">
        <f>SUM(F46:F67)</f>
        <v>18500.474236874688</v>
      </c>
      <c r="G45" s="33">
        <f t="shared" ref="G45:I45" si="45">SUM(G46:G67)</f>
        <v>25901.191315607528</v>
      </c>
      <c r="H45" s="33">
        <f t="shared" si="45"/>
        <v>364501.63942003867</v>
      </c>
      <c r="I45" s="33">
        <f t="shared" si="45"/>
        <v>13329.103493514727</v>
      </c>
      <c r="M45" s="25">
        <f t="shared" si="40"/>
        <v>436895.13103917858</v>
      </c>
      <c r="N45" s="74">
        <f t="shared" si="5"/>
        <v>37360.467936003901</v>
      </c>
      <c r="O45" s="33">
        <f>SUM(O46:O67)</f>
        <v>14350.099081205322</v>
      </c>
      <c r="P45" s="33">
        <f t="shared" ref="P45:R45" si="46">SUM(P46:P67)</f>
        <v>23010.368854798577</v>
      </c>
      <c r="Q45" s="33">
        <f t="shared" si="46"/>
        <v>391285.40462256223</v>
      </c>
      <c r="R45" s="33">
        <f t="shared" si="46"/>
        <v>8249.2584806124269</v>
      </c>
      <c r="U45" s="15"/>
      <c r="V45" s="15"/>
      <c r="AQ45" s="92" t="e">
        <f>SUM(AQ46:AQ67)</f>
        <v>#REF!</v>
      </c>
      <c r="AR45" s="92" t="e">
        <f t="shared" si="34"/>
        <v>#REF!</v>
      </c>
      <c r="AS45" s="97" t="e">
        <f t="shared" si="35"/>
        <v>#REF!</v>
      </c>
      <c r="AU45" s="25" t="e">
        <f t="shared" si="36"/>
        <v>#REF!</v>
      </c>
      <c r="AV45" s="33" t="e">
        <f>SUM(AV46:AV67)</f>
        <v>#REF!</v>
      </c>
      <c r="AW45" s="33" t="e">
        <f t="shared" ref="AW45:BA45" si="47">SUM(AW46:AW67)</f>
        <v>#REF!</v>
      </c>
      <c r="AX45" s="33" t="e">
        <f t="shared" si="47"/>
        <v>#REF!</v>
      </c>
      <c r="AY45" s="33" t="e">
        <f t="shared" si="47"/>
        <v>#REF!</v>
      </c>
      <c r="AZ45" s="33" t="e">
        <f t="shared" si="47"/>
        <v>#REF!</v>
      </c>
      <c r="BA45" s="33" t="e">
        <f t="shared" si="47"/>
        <v>#REF!</v>
      </c>
    </row>
    <row r="46" spans="1:53" s="4" customFormat="1" ht="22.5" customHeight="1" outlineLevel="1">
      <c r="A46" s="9"/>
      <c r="B46" s="18" t="s">
        <v>149</v>
      </c>
      <c r="C46" s="343" t="s">
        <v>9</v>
      </c>
      <c r="D46" s="28">
        <f t="shared" si="32"/>
        <v>5683.5645714285702</v>
      </c>
      <c r="E46" s="76">
        <f t="shared" si="3"/>
        <v>1267.1646442195829</v>
      </c>
      <c r="F46" s="29">
        <v>532.65218723137843</v>
      </c>
      <c r="G46" s="29">
        <v>734.51245698820458</v>
      </c>
      <c r="H46" s="49">
        <v>4037.562686005811</v>
      </c>
      <c r="I46" s="29">
        <v>378.83724120317623</v>
      </c>
      <c r="J46" s="214"/>
      <c r="K46" s="214"/>
      <c r="L46" s="214"/>
      <c r="M46" s="28">
        <f>[52]СводПЗ!$C$46</f>
        <v>5683.5645714285711</v>
      </c>
      <c r="N46" s="76">
        <f t="shared" si="5"/>
        <v>1089.3969933487249</v>
      </c>
      <c r="O46" s="29">
        <f>$M$46*O90</f>
        <v>415.22709318629421</v>
      </c>
      <c r="P46" s="29">
        <f t="shared" ref="P46:R46" si="48">$M$46*P90</f>
        <v>674.16990016243074</v>
      </c>
      <c r="Q46" s="29">
        <f t="shared" si="48"/>
        <v>4375.165147317739</v>
      </c>
      <c r="R46" s="29">
        <f t="shared" si="48"/>
        <v>219.00243076210722</v>
      </c>
      <c r="U46" s="15"/>
      <c r="V46" s="15"/>
      <c r="AQ46" s="93" t="e">
        <f>#REF!</f>
        <v>#REF!</v>
      </c>
      <c r="AR46" s="93" t="e">
        <f t="shared" si="34"/>
        <v>#REF!</v>
      </c>
      <c r="AS46" s="97" t="e">
        <f t="shared" si="35"/>
        <v>#REF!</v>
      </c>
      <c r="AU46" s="28" t="e">
        <f t="shared" si="36"/>
        <v>#REF!</v>
      </c>
      <c r="AV46" s="29" t="e">
        <f>#REF!</f>
        <v>#REF!</v>
      </c>
      <c r="AW46" s="29" t="e">
        <f>#REF!</f>
        <v>#REF!</v>
      </c>
      <c r="AX46" s="29" t="e">
        <f>#REF!</f>
        <v>#REF!</v>
      </c>
      <c r="AY46" s="29" t="e">
        <f>#REF!</f>
        <v>#REF!</v>
      </c>
      <c r="AZ46" s="29" t="e">
        <f>#REF!</f>
        <v>#REF!</v>
      </c>
      <c r="BA46" s="29" t="e">
        <f>#REF!</f>
        <v>#REF!</v>
      </c>
    </row>
    <row r="47" spans="1:53" s="4" customFormat="1" ht="81" hidden="1" outlineLevel="1">
      <c r="A47" s="9"/>
      <c r="B47" s="18" t="s">
        <v>84</v>
      </c>
      <c r="C47" s="343" t="s">
        <v>9</v>
      </c>
      <c r="D47" s="28">
        <f t="shared" si="32"/>
        <v>0</v>
      </c>
      <c r="E47" s="76">
        <f t="shared" si="3"/>
        <v>0</v>
      </c>
      <c r="F47" s="29">
        <v>0</v>
      </c>
      <c r="G47" s="29">
        <v>0</v>
      </c>
      <c r="H47" s="49">
        <v>0</v>
      </c>
      <c r="I47" s="29">
        <v>0</v>
      </c>
      <c r="J47" s="214"/>
      <c r="K47" s="214"/>
      <c r="L47" s="214"/>
      <c r="M47" s="28">
        <f t="shared" si="40"/>
        <v>0</v>
      </c>
      <c r="N47" s="76">
        <f t="shared" si="5"/>
        <v>0</v>
      </c>
      <c r="O47" s="29">
        <v>0</v>
      </c>
      <c r="P47" s="29">
        <v>0</v>
      </c>
      <c r="Q47" s="29"/>
      <c r="R47" s="29">
        <v>0</v>
      </c>
      <c r="U47" s="15"/>
      <c r="V47" s="15"/>
      <c r="AQ47" s="93" t="e">
        <f>#REF!</f>
        <v>#REF!</v>
      </c>
      <c r="AR47" s="93" t="e">
        <f t="shared" si="34"/>
        <v>#REF!</v>
      </c>
      <c r="AS47" s="97" t="e">
        <f t="shared" si="35"/>
        <v>#REF!</v>
      </c>
      <c r="AU47" s="28" t="e">
        <f t="shared" si="36"/>
        <v>#REF!</v>
      </c>
      <c r="AV47" s="29" t="e">
        <f>#REF!</f>
        <v>#REF!</v>
      </c>
      <c r="AW47" s="29" t="e">
        <f>#REF!</f>
        <v>#REF!</v>
      </c>
      <c r="AX47" s="29" t="e">
        <f>#REF!</f>
        <v>#REF!</v>
      </c>
      <c r="AY47" s="29" t="e">
        <f>#REF!</f>
        <v>#REF!</v>
      </c>
      <c r="AZ47" s="29" t="e">
        <f>#REF!</f>
        <v>#REF!</v>
      </c>
      <c r="BA47" s="29" t="e">
        <f>#REF!</f>
        <v>#REF!</v>
      </c>
    </row>
    <row r="48" spans="1:53" s="4" customFormat="1" ht="52.5" customHeight="1" outlineLevel="1">
      <c r="A48" s="9"/>
      <c r="B48" s="18" t="s">
        <v>85</v>
      </c>
      <c r="C48" s="343" t="s">
        <v>9</v>
      </c>
      <c r="D48" s="28">
        <f t="shared" si="32"/>
        <v>11224.196428571428</v>
      </c>
      <c r="E48" s="76">
        <f t="shared" si="3"/>
        <v>6745.1687572289829</v>
      </c>
      <c r="F48" s="29">
        <v>2688.4027686458444</v>
      </c>
      <c r="G48" s="29">
        <v>4056.7659885831386</v>
      </c>
      <c r="H48" s="49">
        <v>2193.3386703986653</v>
      </c>
      <c r="I48" s="29">
        <v>2285.6890009437789</v>
      </c>
      <c r="J48" s="214"/>
      <c r="K48" s="214"/>
      <c r="L48" s="214"/>
      <c r="M48" s="28">
        <f t="shared" si="40"/>
        <v>11224.196428571428</v>
      </c>
      <c r="N48" s="76">
        <f t="shared" si="5"/>
        <v>6678.1455580288712</v>
      </c>
      <c r="O48" s="29">
        <f>[52]СводПЗ!$E$48</f>
        <v>2644.130340953177</v>
      </c>
      <c r="P48" s="29">
        <f>[52]СводПЗ!$F$48</f>
        <v>4034.0152170756946</v>
      </c>
      <c r="Q48" s="28">
        <f>[52]СводПЗ!$L$48</f>
        <v>2320.6239042649495</v>
      </c>
      <c r="R48" s="29">
        <f>[52]СводПЗ!$J$48</f>
        <v>2225.426966277606</v>
      </c>
      <c r="U48" s="15"/>
      <c r="V48" s="15"/>
      <c r="AQ48" s="93" t="e">
        <f>#REF!</f>
        <v>#REF!</v>
      </c>
      <c r="AR48" s="93" t="e">
        <f t="shared" si="34"/>
        <v>#REF!</v>
      </c>
      <c r="AS48" s="97" t="e">
        <f t="shared" si="35"/>
        <v>#REF!</v>
      </c>
      <c r="AU48" s="28" t="e">
        <f t="shared" si="36"/>
        <v>#REF!</v>
      </c>
      <c r="AV48" s="29" t="e">
        <f>#REF!</f>
        <v>#REF!</v>
      </c>
      <c r="AW48" s="29" t="e">
        <f>#REF!</f>
        <v>#REF!</v>
      </c>
      <c r="AX48" s="29" t="e">
        <f>#REF!</f>
        <v>#REF!</v>
      </c>
      <c r="AY48" s="29" t="e">
        <f>#REF!</f>
        <v>#REF!</v>
      </c>
      <c r="AZ48" s="29" t="e">
        <f>#REF!</f>
        <v>#REF!</v>
      </c>
      <c r="BA48" s="29" t="e">
        <f>#REF!</f>
        <v>#REF!</v>
      </c>
    </row>
    <row r="49" spans="1:53" s="4" customFormat="1" ht="36" customHeight="1" outlineLevel="1">
      <c r="A49" s="9"/>
      <c r="B49" s="18" t="s">
        <v>86</v>
      </c>
      <c r="C49" s="343" t="s">
        <v>9</v>
      </c>
      <c r="D49" s="28">
        <f t="shared" si="32"/>
        <v>39095.405430428575</v>
      </c>
      <c r="E49" s="76">
        <f t="shared" si="3"/>
        <v>0</v>
      </c>
      <c r="F49" s="29"/>
      <c r="G49" s="29"/>
      <c r="H49" s="49">
        <v>39095.405430428575</v>
      </c>
      <c r="I49" s="29"/>
      <c r="J49" s="214"/>
      <c r="K49" s="214"/>
      <c r="L49" s="214"/>
      <c r="M49" s="28">
        <f t="shared" si="40"/>
        <v>39095.405430428575</v>
      </c>
      <c r="N49" s="76">
        <f t="shared" si="5"/>
        <v>0</v>
      </c>
      <c r="O49" s="29"/>
      <c r="P49" s="29"/>
      <c r="Q49" s="28">
        <f>[52]СводПЗ!$L$49</f>
        <v>39095.405430428575</v>
      </c>
      <c r="R49" s="29"/>
      <c r="U49" s="15"/>
      <c r="V49" s="15"/>
      <c r="AQ49" s="93" t="e">
        <f>#REF!</f>
        <v>#REF!</v>
      </c>
      <c r="AR49" s="93" t="e">
        <f t="shared" si="34"/>
        <v>#REF!</v>
      </c>
      <c r="AS49" s="97" t="e">
        <f t="shared" si="35"/>
        <v>#REF!</v>
      </c>
      <c r="AU49" s="28" t="e">
        <f t="shared" si="36"/>
        <v>#REF!</v>
      </c>
      <c r="AV49" s="29" t="e">
        <f>#REF!</f>
        <v>#REF!</v>
      </c>
      <c r="AW49" s="29" t="e">
        <f>#REF!</f>
        <v>#REF!</v>
      </c>
      <c r="AX49" s="29" t="e">
        <f>#REF!</f>
        <v>#REF!</v>
      </c>
      <c r="AY49" s="29" t="e">
        <f>#REF!</f>
        <v>#REF!</v>
      </c>
      <c r="AZ49" s="29" t="e">
        <f>#REF!</f>
        <v>#REF!</v>
      </c>
      <c r="BA49" s="29" t="e">
        <f>#REF!</f>
        <v>#REF!</v>
      </c>
    </row>
    <row r="50" spans="1:53" s="4" customFormat="1" ht="53.25" customHeight="1" outlineLevel="1">
      <c r="A50" s="9"/>
      <c r="B50" s="18" t="s">
        <v>87</v>
      </c>
      <c r="C50" s="343" t="s">
        <v>9</v>
      </c>
      <c r="D50" s="28">
        <f t="shared" si="32"/>
        <v>1442.808</v>
      </c>
      <c r="E50" s="76">
        <f t="shared" si="3"/>
        <v>0</v>
      </c>
      <c r="F50" s="29"/>
      <c r="G50" s="29"/>
      <c r="H50" s="49">
        <v>1442.808</v>
      </c>
      <c r="I50" s="29"/>
      <c r="J50" s="214"/>
      <c r="K50" s="214"/>
      <c r="L50" s="214"/>
      <c r="M50" s="28">
        <f t="shared" si="40"/>
        <v>1442.808</v>
      </c>
      <c r="N50" s="76">
        <f t="shared" si="5"/>
        <v>0</v>
      </c>
      <c r="O50" s="29"/>
      <c r="P50" s="29"/>
      <c r="Q50" s="28">
        <f>[52]СводПЗ!$L$50</f>
        <v>1442.808</v>
      </c>
      <c r="R50" s="29"/>
      <c r="U50" s="15"/>
      <c r="V50" s="15"/>
      <c r="AQ50" s="93" t="e">
        <f>#REF!</f>
        <v>#REF!</v>
      </c>
      <c r="AR50" s="93" t="e">
        <f t="shared" si="34"/>
        <v>#REF!</v>
      </c>
      <c r="AS50" s="97" t="e">
        <f t="shared" si="35"/>
        <v>#REF!</v>
      </c>
      <c r="AU50" s="28" t="e">
        <f t="shared" si="36"/>
        <v>#REF!</v>
      </c>
      <c r="AV50" s="29" t="e">
        <f>#REF!</f>
        <v>#REF!</v>
      </c>
      <c r="AW50" s="29" t="e">
        <f>#REF!</f>
        <v>#REF!</v>
      </c>
      <c r="AX50" s="29" t="e">
        <f>#REF!</f>
        <v>#REF!</v>
      </c>
      <c r="AY50" s="29" t="e">
        <f>#REF!</f>
        <v>#REF!</v>
      </c>
      <c r="AZ50" s="29" t="e">
        <f>#REF!</f>
        <v>#REF!</v>
      </c>
      <c r="BA50" s="29" t="e">
        <f>#REF!</f>
        <v>#REF!</v>
      </c>
    </row>
    <row r="51" spans="1:53" s="4" customFormat="1" ht="34.5" customHeight="1" outlineLevel="1">
      <c r="A51" s="9"/>
      <c r="B51" s="18" t="s">
        <v>124</v>
      </c>
      <c r="C51" s="343" t="s">
        <v>9</v>
      </c>
      <c r="D51" s="28">
        <f t="shared" si="32"/>
        <v>2223.2142857142853</v>
      </c>
      <c r="E51" s="76">
        <f t="shared" si="3"/>
        <v>0</v>
      </c>
      <c r="F51" s="29"/>
      <c r="G51" s="29"/>
      <c r="H51" s="49">
        <v>2223.2142857142853</v>
      </c>
      <c r="I51" s="29"/>
      <c r="J51" s="214"/>
      <c r="K51" s="214"/>
      <c r="L51" s="214"/>
      <c r="M51" s="28">
        <f t="shared" si="40"/>
        <v>2223.2142857142853</v>
      </c>
      <c r="N51" s="76">
        <f t="shared" si="5"/>
        <v>0</v>
      </c>
      <c r="O51" s="29"/>
      <c r="P51" s="29"/>
      <c r="Q51" s="28">
        <f>[52]СводПЗ!$L$51</f>
        <v>2223.2142857142853</v>
      </c>
      <c r="R51" s="29"/>
      <c r="U51" s="15"/>
      <c r="V51" s="15"/>
      <c r="AQ51" s="93" t="e">
        <f>#REF!</f>
        <v>#REF!</v>
      </c>
      <c r="AR51" s="93" t="e">
        <f t="shared" si="34"/>
        <v>#REF!</v>
      </c>
      <c r="AS51" s="97" t="e">
        <f t="shared" si="35"/>
        <v>#REF!</v>
      </c>
      <c r="AU51" s="28" t="e">
        <f t="shared" si="36"/>
        <v>#REF!</v>
      </c>
      <c r="AV51" s="29" t="e">
        <f>#REF!</f>
        <v>#REF!</v>
      </c>
      <c r="AW51" s="29" t="e">
        <f>#REF!</f>
        <v>#REF!</v>
      </c>
      <c r="AX51" s="29" t="e">
        <f>#REF!</f>
        <v>#REF!</v>
      </c>
      <c r="AY51" s="29" t="e">
        <f>#REF!</f>
        <v>#REF!</v>
      </c>
      <c r="AZ51" s="29" t="e">
        <f>#REF!</f>
        <v>#REF!</v>
      </c>
      <c r="BA51" s="29" t="e">
        <f>#REF!</f>
        <v>#REF!</v>
      </c>
    </row>
    <row r="52" spans="1:53" s="4" customFormat="1" ht="35.25" customHeight="1" outlineLevel="1">
      <c r="A52" s="9"/>
      <c r="B52" s="18" t="s">
        <v>150</v>
      </c>
      <c r="C52" s="343" t="s">
        <v>9</v>
      </c>
      <c r="D52" s="28">
        <f t="shared" si="32"/>
        <v>4560</v>
      </c>
      <c r="E52" s="76">
        <f t="shared" si="3"/>
        <v>0</v>
      </c>
      <c r="F52" s="29"/>
      <c r="G52" s="29"/>
      <c r="H52" s="49">
        <v>4560</v>
      </c>
      <c r="I52" s="29"/>
      <c r="J52" s="214"/>
      <c r="K52" s="214"/>
      <c r="L52" s="214"/>
      <c r="M52" s="28">
        <f t="shared" si="40"/>
        <v>4560</v>
      </c>
      <c r="N52" s="76">
        <f t="shared" si="5"/>
        <v>0</v>
      </c>
      <c r="O52" s="29"/>
      <c r="P52" s="29"/>
      <c r="Q52" s="28">
        <f>[52]СводПЗ!$L$52</f>
        <v>4560</v>
      </c>
      <c r="R52" s="29"/>
      <c r="U52" s="15"/>
      <c r="V52" s="15"/>
      <c r="AQ52" s="93" t="e">
        <f>#REF!</f>
        <v>#REF!</v>
      </c>
      <c r="AR52" s="93" t="e">
        <f t="shared" si="34"/>
        <v>#REF!</v>
      </c>
      <c r="AS52" s="97" t="e">
        <f t="shared" si="35"/>
        <v>#REF!</v>
      </c>
      <c r="AU52" s="28" t="e">
        <f t="shared" si="36"/>
        <v>#REF!</v>
      </c>
      <c r="AV52" s="29" t="e">
        <f>#REF!</f>
        <v>#REF!</v>
      </c>
      <c r="AW52" s="29" t="e">
        <f>#REF!</f>
        <v>#REF!</v>
      </c>
      <c r="AX52" s="29" t="e">
        <f>#REF!</f>
        <v>#REF!</v>
      </c>
      <c r="AY52" s="29" t="e">
        <f>#REF!</f>
        <v>#REF!</v>
      </c>
      <c r="AZ52" s="29" t="e">
        <f>#REF!</f>
        <v>#REF!</v>
      </c>
      <c r="BA52" s="29" t="e">
        <f>#REF!</f>
        <v>#REF!</v>
      </c>
    </row>
    <row r="53" spans="1:53" s="4" customFormat="1" ht="20.25" customHeight="1" outlineLevel="1">
      <c r="A53" s="9"/>
      <c r="B53" s="18" t="s">
        <v>123</v>
      </c>
      <c r="C53" s="343" t="s">
        <v>9</v>
      </c>
      <c r="D53" s="28">
        <f t="shared" si="32"/>
        <v>22552.37260714285</v>
      </c>
      <c r="E53" s="76">
        <f t="shared" si="3"/>
        <v>5028.1067192757582</v>
      </c>
      <c r="F53" s="29">
        <v>2113.5627906541563</v>
      </c>
      <c r="G53" s="29">
        <v>2914.5439286216024</v>
      </c>
      <c r="H53" s="49">
        <v>16021.040488788252</v>
      </c>
      <c r="I53" s="29">
        <v>1503.225399078842</v>
      </c>
      <c r="J53" s="214"/>
      <c r="K53" s="214"/>
      <c r="L53" s="214"/>
      <c r="M53" s="28">
        <f>[52]СводПЗ!$C$53</f>
        <v>22552.372607142854</v>
      </c>
      <c r="N53" s="76">
        <f t="shared" si="5"/>
        <v>4322.7250438233787</v>
      </c>
      <c r="O53" s="29">
        <f>$M$53*O90</f>
        <v>1647.6202573984995</v>
      </c>
      <c r="P53" s="29">
        <f t="shared" ref="P53:R53" si="49">$M$53*P90</f>
        <v>2675.104786424879</v>
      </c>
      <c r="Q53" s="29">
        <f t="shared" si="49"/>
        <v>17360.646365506811</v>
      </c>
      <c r="R53" s="29">
        <f t="shared" si="49"/>
        <v>869.00119781266358</v>
      </c>
      <c r="U53" s="15"/>
      <c r="V53" s="15"/>
      <c r="AQ53" s="93" t="e">
        <f>#REF!</f>
        <v>#REF!</v>
      </c>
      <c r="AR53" s="93" t="e">
        <f t="shared" si="34"/>
        <v>#REF!</v>
      </c>
      <c r="AS53" s="97" t="e">
        <f t="shared" si="35"/>
        <v>#REF!</v>
      </c>
      <c r="AU53" s="28" t="e">
        <f t="shared" si="36"/>
        <v>#REF!</v>
      </c>
      <c r="AV53" s="29" t="e">
        <f>#REF!</f>
        <v>#REF!</v>
      </c>
      <c r="AW53" s="29" t="e">
        <f>#REF!</f>
        <v>#REF!</v>
      </c>
      <c r="AX53" s="29" t="e">
        <f>#REF!</f>
        <v>#REF!</v>
      </c>
      <c r="AY53" s="29" t="e">
        <f>#REF!</f>
        <v>#REF!</v>
      </c>
      <c r="AZ53" s="29" t="e">
        <f>#REF!</f>
        <v>#REF!</v>
      </c>
      <c r="BA53" s="29" t="e">
        <f>#REF!</f>
        <v>#REF!</v>
      </c>
    </row>
    <row r="54" spans="1:53" s="4" customFormat="1" ht="20.25" customHeight="1" outlineLevel="1">
      <c r="A54" s="9"/>
      <c r="B54" s="18" t="s">
        <v>125</v>
      </c>
      <c r="C54" s="343" t="s">
        <v>9</v>
      </c>
      <c r="D54" s="28">
        <f t="shared" si="32"/>
        <v>719.99999999999989</v>
      </c>
      <c r="E54" s="76">
        <f t="shared" si="3"/>
        <v>160.52576378291721</v>
      </c>
      <c r="F54" s="29">
        <v>67.476945143634893</v>
      </c>
      <c r="G54" s="29">
        <v>93.048818639282317</v>
      </c>
      <c r="H54" s="49">
        <v>511.4827318999728</v>
      </c>
      <c r="I54" s="29">
        <v>47.99150431710985</v>
      </c>
      <c r="J54" s="214"/>
      <c r="K54" s="214"/>
      <c r="L54" s="214"/>
      <c r="M54" s="28">
        <f>[52]СводПЗ!$C$54</f>
        <v>720</v>
      </c>
      <c r="N54" s="76">
        <f t="shared" si="5"/>
        <v>138.00596885167974</v>
      </c>
      <c r="O54" s="29">
        <f>$M$54*O90</f>
        <v>52.601409438898479</v>
      </c>
      <c r="P54" s="29">
        <f t="shared" ref="P54:R54" si="50">$M$54*P90</f>
        <v>85.404559412781268</v>
      </c>
      <c r="Q54" s="29">
        <f t="shared" si="50"/>
        <v>554.25057047904454</v>
      </c>
      <c r="R54" s="29">
        <f t="shared" si="50"/>
        <v>27.74346066927567</v>
      </c>
      <c r="U54" s="15"/>
      <c r="V54" s="15"/>
      <c r="AQ54" s="93" t="e">
        <f>#REF!</f>
        <v>#REF!</v>
      </c>
      <c r="AR54" s="93" t="e">
        <f t="shared" si="34"/>
        <v>#REF!</v>
      </c>
      <c r="AS54" s="97" t="e">
        <f t="shared" si="35"/>
        <v>#REF!</v>
      </c>
      <c r="AU54" s="28" t="e">
        <f t="shared" si="36"/>
        <v>#REF!</v>
      </c>
      <c r="AV54" s="29" t="e">
        <f>#REF!</f>
        <v>#REF!</v>
      </c>
      <c r="AW54" s="29" t="e">
        <f>#REF!</f>
        <v>#REF!</v>
      </c>
      <c r="AX54" s="29" t="e">
        <f>#REF!</f>
        <v>#REF!</v>
      </c>
      <c r="AY54" s="29" t="e">
        <f>#REF!</f>
        <v>#REF!</v>
      </c>
      <c r="AZ54" s="29" t="e">
        <f>#REF!</f>
        <v>#REF!</v>
      </c>
      <c r="BA54" s="29" t="e">
        <f>#REF!</f>
        <v>#REF!</v>
      </c>
    </row>
    <row r="55" spans="1:53" s="4" customFormat="1" ht="20.25" customHeight="1" outlineLevel="1">
      <c r="A55" s="9"/>
      <c r="B55" s="18" t="s">
        <v>151</v>
      </c>
      <c r="C55" s="343" t="s">
        <v>9</v>
      </c>
      <c r="D55" s="28">
        <f t="shared" si="32"/>
        <v>1347.9985937499998</v>
      </c>
      <c r="E55" s="76">
        <f t="shared" si="3"/>
        <v>351.65104188119449</v>
      </c>
      <c r="F55" s="29">
        <v>143.68574828732955</v>
      </c>
      <c r="G55" s="29">
        <v>207.96529359386497</v>
      </c>
      <c r="H55" s="49">
        <v>943.89386455175054</v>
      </c>
      <c r="I55" s="29">
        <v>52.453687317054701</v>
      </c>
      <c r="J55" s="214"/>
      <c r="K55" s="214"/>
      <c r="L55" s="214"/>
      <c r="M55" s="28">
        <f t="shared" si="40"/>
        <v>1347.9985937499996</v>
      </c>
      <c r="N55" s="76">
        <f t="shared" si="5"/>
        <v>327.03738789022793</v>
      </c>
      <c r="O55" s="29">
        <f>[52]СводПЗ!$E$55</f>
        <v>127.42710606236093</v>
      </c>
      <c r="P55" s="29">
        <f>[52]СводПЗ!$F$55</f>
        <v>199.61028182786703</v>
      </c>
      <c r="Q55" s="28">
        <f>[52]СводПЗ!$L$55</f>
        <v>990.63819699087969</v>
      </c>
      <c r="R55" s="29">
        <f>[52]СводПЗ!$J$55</f>
        <v>30.323008868892011</v>
      </c>
      <c r="U55" s="15"/>
      <c r="V55" s="15"/>
      <c r="AQ55" s="93" t="e">
        <f>#REF!</f>
        <v>#REF!</v>
      </c>
      <c r="AR55" s="93" t="e">
        <f t="shared" si="34"/>
        <v>#REF!</v>
      </c>
      <c r="AS55" s="97" t="e">
        <f t="shared" si="35"/>
        <v>#REF!</v>
      </c>
      <c r="AU55" s="28" t="e">
        <f t="shared" si="36"/>
        <v>#REF!</v>
      </c>
      <c r="AV55" s="29" t="e">
        <f>#REF!</f>
        <v>#REF!</v>
      </c>
      <c r="AW55" s="29" t="e">
        <f>#REF!</f>
        <v>#REF!</v>
      </c>
      <c r="AX55" s="29" t="e">
        <f>#REF!</f>
        <v>#REF!</v>
      </c>
      <c r="AY55" s="29" t="e">
        <f>#REF!</f>
        <v>#REF!</v>
      </c>
      <c r="AZ55" s="29" t="e">
        <f>#REF!</f>
        <v>#REF!</v>
      </c>
      <c r="BA55" s="29" t="e">
        <f>#REF!</f>
        <v>#REF!</v>
      </c>
    </row>
    <row r="56" spans="1:53" s="4" customFormat="1" ht="20.25" customHeight="1" outlineLevel="1">
      <c r="A56" s="9"/>
      <c r="B56" s="18" t="s">
        <v>88</v>
      </c>
      <c r="C56" s="343" t="s">
        <v>9</v>
      </c>
      <c r="D56" s="28">
        <f t="shared" si="32"/>
        <v>56063.999999999993</v>
      </c>
      <c r="E56" s="76">
        <f t="shared" si="3"/>
        <v>12499.606139896485</v>
      </c>
      <c r="F56" s="29">
        <v>5254.2047951843697</v>
      </c>
      <c r="G56" s="29">
        <v>7245.401344712116</v>
      </c>
      <c r="H56" s="49">
        <v>39827.455390611227</v>
      </c>
      <c r="I56" s="29">
        <v>3736.9384694922874</v>
      </c>
      <c r="J56" s="214"/>
      <c r="K56" s="214"/>
      <c r="L56" s="214"/>
      <c r="M56" s="28">
        <f>[52]СводПЗ!$C$56</f>
        <v>56064</v>
      </c>
      <c r="N56" s="76">
        <f t="shared" si="5"/>
        <v>10746.064774584131</v>
      </c>
      <c r="O56" s="29">
        <f>$M$56*O90</f>
        <v>4095.8964149755616</v>
      </c>
      <c r="P56" s="29">
        <f t="shared" ref="P56:R56" si="51">$M$56*P90</f>
        <v>6650.1683596085686</v>
      </c>
      <c r="Q56" s="29">
        <f t="shared" si="51"/>
        <v>43157.6444213016</v>
      </c>
      <c r="R56" s="29">
        <f t="shared" si="51"/>
        <v>2160.2908041142655</v>
      </c>
      <c r="U56" s="15"/>
      <c r="V56" s="15"/>
      <c r="AQ56" s="93" t="e">
        <f>#REF!</f>
        <v>#REF!</v>
      </c>
      <c r="AR56" s="93" t="e">
        <f t="shared" si="34"/>
        <v>#REF!</v>
      </c>
      <c r="AS56" s="97" t="e">
        <f t="shared" si="35"/>
        <v>#REF!</v>
      </c>
      <c r="AU56" s="28" t="e">
        <f t="shared" si="36"/>
        <v>#REF!</v>
      </c>
      <c r="AV56" s="29" t="e">
        <f>#REF!</f>
        <v>#REF!</v>
      </c>
      <c r="AW56" s="29" t="e">
        <f>#REF!</f>
        <v>#REF!</v>
      </c>
      <c r="AX56" s="29" t="e">
        <f>#REF!</f>
        <v>#REF!</v>
      </c>
      <c r="AY56" s="29" t="e">
        <f>#REF!</f>
        <v>#REF!</v>
      </c>
      <c r="AZ56" s="29" t="e">
        <f>#REF!</f>
        <v>#REF!</v>
      </c>
      <c r="BA56" s="29" t="e">
        <f>#REF!</f>
        <v>#REF!</v>
      </c>
    </row>
    <row r="57" spans="1:53" s="4" customFormat="1" ht="20.25" customHeight="1" outlineLevel="1">
      <c r="A57" s="9"/>
      <c r="B57" s="18" t="s">
        <v>40</v>
      </c>
      <c r="C57" s="343" t="s">
        <v>9</v>
      </c>
      <c r="D57" s="28">
        <f t="shared" si="32"/>
        <v>599.3850000000001</v>
      </c>
      <c r="E57" s="76">
        <f t="shared" si="3"/>
        <v>541.41432781302763</v>
      </c>
      <c r="F57" s="29">
        <v>214.89098405029395</v>
      </c>
      <c r="G57" s="29">
        <v>326.52334376273365</v>
      </c>
      <c r="H57" s="49">
        <v>57.970672186972457</v>
      </c>
      <c r="I57" s="29"/>
      <c r="J57" s="214"/>
      <c r="K57" s="214"/>
      <c r="L57" s="214"/>
      <c r="M57" s="28">
        <f>[52]СводПЗ!$C$57</f>
        <v>599.3850000000001</v>
      </c>
      <c r="N57" s="76">
        <f t="shared" si="5"/>
        <v>541.41432781302763</v>
      </c>
      <c r="O57" s="29">
        <f>$M$57*O93</f>
        <v>214.89098405029398</v>
      </c>
      <c r="P57" s="29">
        <f t="shared" ref="P57:R57" si="52">$M$57*P93</f>
        <v>326.52334376273365</v>
      </c>
      <c r="Q57" s="29">
        <f t="shared" si="52"/>
        <v>57.970672186972472</v>
      </c>
      <c r="R57" s="29">
        <f t="shared" si="52"/>
        <v>0</v>
      </c>
      <c r="U57" s="15"/>
      <c r="V57" s="15"/>
      <c r="AQ57" s="93" t="e">
        <f>#REF!</f>
        <v>#REF!</v>
      </c>
      <c r="AR57" s="93" t="e">
        <f t="shared" si="34"/>
        <v>#REF!</v>
      </c>
      <c r="AS57" s="97" t="e">
        <f t="shared" si="35"/>
        <v>#REF!</v>
      </c>
      <c r="AU57" s="28" t="e">
        <f t="shared" si="36"/>
        <v>#REF!</v>
      </c>
      <c r="AV57" s="29" t="e">
        <f>#REF!</f>
        <v>#REF!</v>
      </c>
      <c r="AW57" s="29" t="e">
        <f>#REF!</f>
        <v>#REF!</v>
      </c>
      <c r="AX57" s="29" t="e">
        <f>#REF!</f>
        <v>#REF!</v>
      </c>
      <c r="AY57" s="29" t="e">
        <f>#REF!</f>
        <v>#REF!</v>
      </c>
      <c r="AZ57" s="29" t="e">
        <f>#REF!</f>
        <v>#REF!</v>
      </c>
      <c r="BA57" s="29" t="e">
        <f>#REF!</f>
        <v>#REF!</v>
      </c>
    </row>
    <row r="58" spans="1:53" s="4" customFormat="1" ht="20.25" customHeight="1" outlineLevel="1">
      <c r="A58" s="63"/>
      <c r="B58" s="18" t="s">
        <v>166</v>
      </c>
      <c r="C58" s="343" t="s">
        <v>9</v>
      </c>
      <c r="D58" s="28">
        <f t="shared" si="32"/>
        <v>1974.2999999999993</v>
      </c>
      <c r="E58" s="76">
        <f t="shared" si="3"/>
        <v>440.17502143974076</v>
      </c>
      <c r="F58" s="58">
        <v>185.0274066626088</v>
      </c>
      <c r="G58" s="58">
        <v>255.14761477713196</v>
      </c>
      <c r="H58" s="49">
        <v>1402.5282744307169</v>
      </c>
      <c r="I58" s="58">
        <v>131.59670412954162</v>
      </c>
      <c r="J58" s="214"/>
      <c r="K58" s="214"/>
      <c r="L58" s="214"/>
      <c r="M58" s="28">
        <f>[52]СводПЗ!$C$58</f>
        <v>1974.2999999999995</v>
      </c>
      <c r="N58" s="76">
        <f t="shared" si="5"/>
        <v>378.42386708871015</v>
      </c>
      <c r="O58" s="58">
        <f>$M$58*O90</f>
        <v>144.23744813224619</v>
      </c>
      <c r="P58" s="58">
        <f t="shared" ref="P58:R58" si="53">$M$58*P90</f>
        <v>234.18641895646394</v>
      </c>
      <c r="Q58" s="58">
        <f t="shared" si="53"/>
        <v>1519.8012518010796</v>
      </c>
      <c r="R58" s="58">
        <f t="shared" si="53"/>
        <v>76.074881110209645</v>
      </c>
      <c r="U58" s="15"/>
      <c r="V58" s="15"/>
      <c r="AQ58" s="93" t="e">
        <f>#REF!</f>
        <v>#REF!</v>
      </c>
      <c r="AR58" s="93" t="e">
        <f t="shared" si="34"/>
        <v>#REF!</v>
      </c>
      <c r="AS58" s="97" t="e">
        <f t="shared" si="35"/>
        <v>#REF!</v>
      </c>
      <c r="AU58" s="28" t="e">
        <f t="shared" ref="AU58" si="54">SUM(AV58:BA58)</f>
        <v>#REF!</v>
      </c>
      <c r="AV58" s="29" t="e">
        <f>#REF!</f>
        <v>#REF!</v>
      </c>
      <c r="AW58" s="29" t="e">
        <f>#REF!</f>
        <v>#REF!</v>
      </c>
      <c r="AX58" s="29" t="e">
        <f>#REF!</f>
        <v>#REF!</v>
      </c>
      <c r="AY58" s="29" t="e">
        <f>#REF!</f>
        <v>#REF!</v>
      </c>
      <c r="AZ58" s="29" t="e">
        <f>#REF!</f>
        <v>#REF!</v>
      </c>
      <c r="BA58" s="29" t="e">
        <f>#REF!</f>
        <v>#REF!</v>
      </c>
    </row>
    <row r="59" spans="1:53" s="4" customFormat="1" ht="20.25" customHeight="1" outlineLevel="1">
      <c r="A59" s="9"/>
      <c r="B59" s="18" t="s">
        <v>115</v>
      </c>
      <c r="C59" s="343" t="s">
        <v>9</v>
      </c>
      <c r="D59" s="28">
        <f t="shared" si="32"/>
        <v>9240</v>
      </c>
      <c r="E59" s="76">
        <f t="shared" si="3"/>
        <v>2060.0806352141039</v>
      </c>
      <c r="F59" s="29">
        <v>865.95412934331443</v>
      </c>
      <c r="G59" s="29">
        <v>1194.1265058707895</v>
      </c>
      <c r="H59" s="49">
        <v>6564.0283927163182</v>
      </c>
      <c r="I59" s="29">
        <v>615.89097206957649</v>
      </c>
      <c r="J59" s="214"/>
      <c r="K59" s="214"/>
      <c r="L59" s="214"/>
      <c r="M59" s="28">
        <f>[52]СводПЗ!$C$59</f>
        <v>9240</v>
      </c>
      <c r="N59" s="76">
        <f t="shared" si="5"/>
        <v>1771.0766002632236</v>
      </c>
      <c r="O59" s="29">
        <f>$M$59*O90</f>
        <v>675.05142113253055</v>
      </c>
      <c r="P59" s="29">
        <f t="shared" ref="P59:R59" si="55">$M$59*P90</f>
        <v>1096.025179130693</v>
      </c>
      <c r="Q59" s="29">
        <f t="shared" si="55"/>
        <v>7112.8823211477384</v>
      </c>
      <c r="R59" s="29">
        <f t="shared" si="55"/>
        <v>356.0410785890378</v>
      </c>
      <c r="U59" s="15"/>
      <c r="V59" s="15"/>
      <c r="AQ59" s="93" t="e">
        <f>#REF!</f>
        <v>#REF!</v>
      </c>
      <c r="AR59" s="93" t="e">
        <f t="shared" si="34"/>
        <v>#REF!</v>
      </c>
      <c r="AS59" s="97" t="e">
        <f t="shared" si="35"/>
        <v>#REF!</v>
      </c>
      <c r="AU59" s="28" t="e">
        <f t="shared" si="36"/>
        <v>#REF!</v>
      </c>
      <c r="AV59" s="29" t="e">
        <f>#REF!</f>
        <v>#REF!</v>
      </c>
      <c r="AW59" s="29" t="e">
        <f>#REF!</f>
        <v>#REF!</v>
      </c>
      <c r="AX59" s="29" t="e">
        <f>#REF!</f>
        <v>#REF!</v>
      </c>
      <c r="AY59" s="29" t="e">
        <f>#REF!</f>
        <v>#REF!</v>
      </c>
      <c r="AZ59" s="29" t="e">
        <f>#REF!</f>
        <v>#REF!</v>
      </c>
      <c r="BA59" s="29" t="e">
        <f>#REF!</f>
        <v>#REF!</v>
      </c>
    </row>
    <row r="60" spans="1:53" s="4" customFormat="1" ht="20.25" customHeight="1" outlineLevel="1">
      <c r="A60" s="9"/>
      <c r="B60" s="18" t="s">
        <v>116</v>
      </c>
      <c r="C60" s="343" t="s">
        <v>9</v>
      </c>
      <c r="D60" s="28">
        <f t="shared" si="32"/>
        <v>10183.257142857141</v>
      </c>
      <c r="E60" s="76">
        <f t="shared" si="3"/>
        <v>2270.3821259097081</v>
      </c>
      <c r="F60" s="29">
        <v>954.35428279458267</v>
      </c>
      <c r="G60" s="29">
        <v>1316.0278431151253</v>
      </c>
      <c r="H60" s="49">
        <v>7234.1113653728935</v>
      </c>
      <c r="I60" s="29">
        <v>678.76365157453927</v>
      </c>
      <c r="J60" s="214"/>
      <c r="K60" s="214"/>
      <c r="L60" s="214"/>
      <c r="M60" s="28">
        <f>[52]СводПЗ!$C$60</f>
        <v>10183.257142857141</v>
      </c>
      <c r="N60" s="76">
        <f t="shared" si="5"/>
        <v>1951.8753723135942</v>
      </c>
      <c r="O60" s="29">
        <f>$M$60*O90</f>
        <v>743.96344221252218</v>
      </c>
      <c r="P60" s="29">
        <f t="shared" ref="P60:R60" si="56">$M$60*P90</f>
        <v>1207.9119301010721</v>
      </c>
      <c r="Q60" s="29">
        <f t="shared" si="56"/>
        <v>7838.9945566157994</v>
      </c>
      <c r="R60" s="29">
        <f t="shared" si="56"/>
        <v>392.3872139277467</v>
      </c>
      <c r="U60" s="15"/>
      <c r="V60" s="15"/>
      <c r="AQ60" s="93" t="e">
        <f>#REF!</f>
        <v>#REF!</v>
      </c>
      <c r="AR60" s="93" t="e">
        <f t="shared" si="34"/>
        <v>#REF!</v>
      </c>
      <c r="AS60" s="97" t="e">
        <f t="shared" si="35"/>
        <v>#REF!</v>
      </c>
      <c r="AU60" s="28" t="e">
        <f t="shared" si="36"/>
        <v>#REF!</v>
      </c>
      <c r="AV60" s="29" t="e">
        <f>#REF!</f>
        <v>#REF!</v>
      </c>
      <c r="AW60" s="29" t="e">
        <f>#REF!</f>
        <v>#REF!</v>
      </c>
      <c r="AX60" s="29" t="e">
        <f>#REF!</f>
        <v>#REF!</v>
      </c>
      <c r="AY60" s="29" t="e">
        <f>#REF!</f>
        <v>#REF!</v>
      </c>
      <c r="AZ60" s="29" t="e">
        <f>#REF!</f>
        <v>#REF!</v>
      </c>
      <c r="BA60" s="29" t="e">
        <f>#REF!</f>
        <v>#REF!</v>
      </c>
    </row>
    <row r="61" spans="1:53" s="4" customFormat="1" ht="39" customHeight="1" outlineLevel="1">
      <c r="A61" s="9"/>
      <c r="B61" s="18" t="s">
        <v>152</v>
      </c>
      <c r="C61" s="343" t="s">
        <v>9</v>
      </c>
      <c r="D61" s="28">
        <f t="shared" si="32"/>
        <v>375.28928571428571</v>
      </c>
      <c r="E61" s="76">
        <f t="shared" si="3"/>
        <v>83.67166559559881</v>
      </c>
      <c r="F61" s="29">
        <v>35.171353534912186</v>
      </c>
      <c r="G61" s="29">
        <v>48.500312060686625</v>
      </c>
      <c r="H61" s="49">
        <v>266.60276265268379</v>
      </c>
      <c r="I61" s="29">
        <v>25.014857466003075</v>
      </c>
      <c r="J61" s="214"/>
      <c r="K61" s="214"/>
      <c r="L61" s="214"/>
      <c r="M61" s="28">
        <f>[52]СводПЗ!$C$61</f>
        <v>375.28928571428565</v>
      </c>
      <c r="N61" s="76">
        <f t="shared" si="5"/>
        <v>71.933557603687291</v>
      </c>
      <c r="O61" s="29">
        <f>$M$61*O90</f>
        <v>27.417701910956797</v>
      </c>
      <c r="P61" s="29">
        <f t="shared" ref="P61:R61" si="57">$M$61*P90</f>
        <v>44.515855692730497</v>
      </c>
      <c r="Q61" s="29">
        <f t="shared" si="57"/>
        <v>288.89486208585549</v>
      </c>
      <c r="R61" s="29">
        <f t="shared" si="57"/>
        <v>14.460866024742838</v>
      </c>
      <c r="U61" s="15"/>
      <c r="V61" s="15"/>
      <c r="AQ61" s="93" t="e">
        <f>#REF!</f>
        <v>#REF!</v>
      </c>
      <c r="AR61" s="93" t="e">
        <f t="shared" si="34"/>
        <v>#REF!</v>
      </c>
      <c r="AS61" s="97" t="e">
        <f t="shared" si="35"/>
        <v>#REF!</v>
      </c>
      <c r="AU61" s="28" t="e">
        <f t="shared" si="36"/>
        <v>#REF!</v>
      </c>
      <c r="AV61" s="29" t="e">
        <f>#REF!</f>
        <v>#REF!</v>
      </c>
      <c r="AW61" s="29" t="e">
        <f>#REF!</f>
        <v>#REF!</v>
      </c>
      <c r="AX61" s="29" t="e">
        <f>#REF!</f>
        <v>#REF!</v>
      </c>
      <c r="AY61" s="29" t="e">
        <f>#REF!</f>
        <v>#REF!</v>
      </c>
      <c r="AZ61" s="29" t="e">
        <f>#REF!</f>
        <v>#REF!</v>
      </c>
      <c r="BA61" s="29" t="e">
        <f>#REF!</f>
        <v>#REF!</v>
      </c>
    </row>
    <row r="62" spans="1:53" s="4" customFormat="1" ht="36" customHeight="1" outlineLevel="1">
      <c r="A62" s="63"/>
      <c r="B62" s="56" t="s">
        <v>126</v>
      </c>
      <c r="C62" s="344"/>
      <c r="D62" s="28">
        <f t="shared" si="32"/>
        <v>41712.393749999996</v>
      </c>
      <c r="E62" s="76">
        <f t="shared" si="3"/>
        <v>9299.880369350738</v>
      </c>
      <c r="F62" s="58">
        <v>3909.2012567756233</v>
      </c>
      <c r="G62" s="58">
        <v>5390.6791125751151</v>
      </c>
      <c r="H62" s="49">
        <v>29632.179318524104</v>
      </c>
      <c r="I62" s="58">
        <v>2780.3340621251541</v>
      </c>
      <c r="J62" s="214"/>
      <c r="K62" s="214"/>
      <c r="L62" s="214"/>
      <c r="M62" s="28">
        <f>[52]СводПЗ!$C$62</f>
        <v>41712.393749999996</v>
      </c>
      <c r="N62" s="76">
        <f t="shared" si="5"/>
        <v>7995.2212674881957</v>
      </c>
      <c r="O62" s="58">
        <f>$M$62*O90</f>
        <v>3047.4037532226384</v>
      </c>
      <c r="P62" s="58">
        <f t="shared" ref="P62:R62" si="58">$M$62*P90</f>
        <v>4947.8175142655573</v>
      </c>
      <c r="Q62" s="58">
        <f t="shared" si="58"/>
        <v>32109.886155533375</v>
      </c>
      <c r="R62" s="58">
        <f t="shared" si="58"/>
        <v>1607.2863269784239</v>
      </c>
      <c r="U62" s="15"/>
      <c r="V62" s="15"/>
      <c r="AQ62" s="93" t="e">
        <f>#REF!</f>
        <v>#REF!</v>
      </c>
      <c r="AR62" s="93" t="e">
        <f t="shared" si="34"/>
        <v>#REF!</v>
      </c>
      <c r="AS62" s="97" t="e">
        <f t="shared" si="35"/>
        <v>#REF!</v>
      </c>
      <c r="AU62" s="28" t="e">
        <f t="shared" si="36"/>
        <v>#REF!</v>
      </c>
      <c r="AV62" s="29" t="e">
        <f>#REF!</f>
        <v>#REF!</v>
      </c>
      <c r="AW62" s="29" t="e">
        <f>#REF!</f>
        <v>#REF!</v>
      </c>
      <c r="AX62" s="29" t="e">
        <f>#REF!</f>
        <v>#REF!</v>
      </c>
      <c r="AY62" s="29" t="e">
        <f>#REF!</f>
        <v>#REF!</v>
      </c>
      <c r="AZ62" s="29" t="e">
        <f>#REF!</f>
        <v>#REF!</v>
      </c>
      <c r="BA62" s="29" t="e">
        <f>#REF!</f>
        <v>#REF!</v>
      </c>
    </row>
    <row r="63" spans="1:53" s="4" customFormat="1" ht="40.5" customHeight="1" outlineLevel="1">
      <c r="A63" s="63"/>
      <c r="B63" s="56" t="s">
        <v>153</v>
      </c>
      <c r="C63" s="344"/>
      <c r="D63" s="28">
        <f t="shared" si="32"/>
        <v>13507.419798999999</v>
      </c>
      <c r="E63" s="76">
        <f t="shared" si="3"/>
        <v>3011.5123332930179</v>
      </c>
      <c r="F63" s="58">
        <v>1265.8880900127374</v>
      </c>
      <c r="G63" s="58">
        <v>1745.6242432802806</v>
      </c>
      <c r="H63" s="49">
        <v>9595.5721940448657</v>
      </c>
      <c r="I63" s="58">
        <v>900.33527166211616</v>
      </c>
      <c r="J63" s="214"/>
      <c r="K63" s="214"/>
      <c r="L63" s="214"/>
      <c r="M63" s="28">
        <f>[52]СводПЗ!$C$63</f>
        <v>4157.7245149999999</v>
      </c>
      <c r="N63" s="76">
        <f t="shared" si="5"/>
        <v>796.93166654299353</v>
      </c>
      <c r="O63" s="58">
        <f>$M$63*O90</f>
        <v>303.7530132606397</v>
      </c>
      <c r="P63" s="58">
        <f t="shared" ref="P63:R63" si="59">$M$63*P90</f>
        <v>493.17865328235376</v>
      </c>
      <c r="Q63" s="58">
        <f t="shared" si="59"/>
        <v>3200.584978240915</v>
      </c>
      <c r="R63" s="58">
        <f t="shared" si="59"/>
        <v>160.20787021609135</v>
      </c>
      <c r="U63" s="15"/>
      <c r="V63" s="15"/>
      <c r="AQ63" s="93" t="e">
        <f>#REF!</f>
        <v>#REF!</v>
      </c>
      <c r="AR63" s="93" t="e">
        <f t="shared" si="34"/>
        <v>#REF!</v>
      </c>
      <c r="AS63" s="97" t="e">
        <f t="shared" si="35"/>
        <v>#REF!</v>
      </c>
      <c r="AU63" s="28" t="e">
        <f t="shared" si="36"/>
        <v>#REF!</v>
      </c>
      <c r="AV63" s="29" t="e">
        <f>#REF!</f>
        <v>#REF!</v>
      </c>
      <c r="AW63" s="29" t="e">
        <f>#REF!</f>
        <v>#REF!</v>
      </c>
      <c r="AX63" s="29" t="e">
        <f>#REF!</f>
        <v>#REF!</v>
      </c>
      <c r="AY63" s="29" t="e">
        <f>#REF!</f>
        <v>#REF!</v>
      </c>
      <c r="AZ63" s="29" t="e">
        <f>#REF!</f>
        <v>#REF!</v>
      </c>
      <c r="BA63" s="29" t="e">
        <f>#REF!</f>
        <v>#REF!</v>
      </c>
    </row>
    <row r="64" spans="1:53" s="4" customFormat="1" hidden="1" outlineLevel="1">
      <c r="A64" s="63"/>
      <c r="B64" s="56" t="s">
        <v>118</v>
      </c>
      <c r="C64" s="344"/>
      <c r="D64" s="28">
        <f t="shared" si="32"/>
        <v>0</v>
      </c>
      <c r="E64" s="76">
        <f t="shared" si="3"/>
        <v>0</v>
      </c>
      <c r="F64" s="58">
        <v>0</v>
      </c>
      <c r="G64" s="58">
        <v>0</v>
      </c>
      <c r="H64" s="49">
        <v>0</v>
      </c>
      <c r="I64" s="58">
        <v>0</v>
      </c>
      <c r="J64" s="214"/>
      <c r="K64" s="214"/>
      <c r="L64" s="214"/>
      <c r="M64" s="28">
        <f t="shared" si="40"/>
        <v>0</v>
      </c>
      <c r="N64" s="76">
        <f t="shared" si="5"/>
        <v>0</v>
      </c>
      <c r="O64" s="58">
        <v>0</v>
      </c>
      <c r="P64" s="58">
        <v>0</v>
      </c>
      <c r="Q64" s="58">
        <v>0</v>
      </c>
      <c r="R64" s="58">
        <v>0</v>
      </c>
      <c r="U64" s="15"/>
      <c r="V64" s="15"/>
      <c r="AQ64" s="93" t="e">
        <f>#REF!</f>
        <v>#REF!</v>
      </c>
      <c r="AR64" s="93" t="e">
        <f t="shared" si="34"/>
        <v>#REF!</v>
      </c>
      <c r="AS64" s="97" t="e">
        <f t="shared" si="35"/>
        <v>#REF!</v>
      </c>
      <c r="AU64" s="28" t="e">
        <f t="shared" si="36"/>
        <v>#REF!</v>
      </c>
      <c r="AV64" s="29" t="e">
        <f>#REF!</f>
        <v>#REF!</v>
      </c>
      <c r="AW64" s="29" t="e">
        <f>#REF!</f>
        <v>#REF!</v>
      </c>
      <c r="AX64" s="29" t="e">
        <f>#REF!</f>
        <v>#REF!</v>
      </c>
      <c r="AY64" s="29" t="e">
        <f>#REF!</f>
        <v>#REF!</v>
      </c>
      <c r="AZ64" s="29" t="e">
        <f>#REF!</f>
        <v>#REF!</v>
      </c>
      <c r="BA64" s="29" t="e">
        <f>#REF!</f>
        <v>#REF!</v>
      </c>
    </row>
    <row r="65" spans="1:53" s="4" customFormat="1" ht="27.75" customHeight="1" outlineLevel="1">
      <c r="A65" s="63"/>
      <c r="B65" s="56" t="s">
        <v>93</v>
      </c>
      <c r="C65" s="344"/>
      <c r="D65" s="28">
        <f t="shared" si="32"/>
        <v>2880.9999999999995</v>
      </c>
      <c r="E65" s="76">
        <f t="shared" si="3"/>
        <v>642.32600758136732</v>
      </c>
      <c r="F65" s="58">
        <v>270.00149855390572</v>
      </c>
      <c r="G65" s="58">
        <v>372.3245090274616</v>
      </c>
      <c r="H65" s="49">
        <v>2046.6413202830859</v>
      </c>
      <c r="I65" s="58">
        <v>192.03267213554651</v>
      </c>
      <c r="J65" s="214"/>
      <c r="K65" s="214"/>
      <c r="L65" s="214"/>
      <c r="M65" s="28">
        <f>[52]СводПЗ!$C$65</f>
        <v>2880.9999999999995</v>
      </c>
      <c r="N65" s="76">
        <f t="shared" si="5"/>
        <v>552.2155503634574</v>
      </c>
      <c r="O65" s="58">
        <f>$M$65*O90</f>
        <v>210.47869526870346</v>
      </c>
      <c r="P65" s="58">
        <f t="shared" ref="P65:R65" si="60">$M$65*P90</f>
        <v>341.73685509475393</v>
      </c>
      <c r="Q65" s="58">
        <f t="shared" si="60"/>
        <v>2217.7720743751765</v>
      </c>
      <c r="R65" s="58">
        <f t="shared" si="60"/>
        <v>111.01237526136555</v>
      </c>
      <c r="U65" s="15"/>
      <c r="V65" s="15"/>
      <c r="AQ65" s="93" t="e">
        <f>#REF!</f>
        <v>#REF!</v>
      </c>
      <c r="AR65" s="93" t="e">
        <f t="shared" si="34"/>
        <v>#REF!</v>
      </c>
      <c r="AS65" s="97" t="e">
        <f t="shared" si="35"/>
        <v>#REF!</v>
      </c>
      <c r="AU65" s="28" t="e">
        <f t="shared" si="36"/>
        <v>#REF!</v>
      </c>
      <c r="AV65" s="29" t="e">
        <f>#REF!</f>
        <v>#REF!</v>
      </c>
      <c r="AW65" s="29" t="e">
        <f>#REF!</f>
        <v>#REF!</v>
      </c>
      <c r="AX65" s="29" t="e">
        <f>#REF!</f>
        <v>#REF!</v>
      </c>
      <c r="AY65" s="29" t="e">
        <f>#REF!</f>
        <v>#REF!</v>
      </c>
      <c r="AZ65" s="29" t="e">
        <f>#REF!</f>
        <v>#REF!</v>
      </c>
      <c r="BA65" s="29" t="e">
        <f>#REF!</f>
        <v>#REF!</v>
      </c>
    </row>
    <row r="66" spans="1:53" s="4" customFormat="1" outlineLevel="1">
      <c r="A66" s="63"/>
      <c r="B66" s="56" t="s">
        <v>154</v>
      </c>
      <c r="C66" s="344"/>
      <c r="D66" s="28">
        <f t="shared" si="32"/>
        <v>1284</v>
      </c>
      <c r="E66" s="74">
        <f t="shared" si="3"/>
        <v>0</v>
      </c>
      <c r="F66" s="58"/>
      <c r="G66" s="58"/>
      <c r="H66" s="49">
        <v>1284</v>
      </c>
      <c r="I66" s="58"/>
      <c r="J66" s="214"/>
      <c r="K66" s="214"/>
      <c r="L66" s="214"/>
      <c r="M66" s="28">
        <f t="shared" si="40"/>
        <v>1284</v>
      </c>
      <c r="N66" s="74">
        <f t="shared" si="5"/>
        <v>0</v>
      </c>
      <c r="O66" s="58"/>
      <c r="P66" s="58"/>
      <c r="Q66" s="28">
        <f>[52]СводПЗ!$L$66</f>
        <v>1284</v>
      </c>
      <c r="R66" s="58"/>
      <c r="U66" s="15"/>
      <c r="V66" s="15"/>
      <c r="AQ66" s="93" t="e">
        <f>#REF!</f>
        <v>#REF!</v>
      </c>
      <c r="AR66" s="93" t="e">
        <f t="shared" si="34"/>
        <v>#REF!</v>
      </c>
      <c r="AS66" s="97" t="e">
        <f t="shared" si="35"/>
        <v>#REF!</v>
      </c>
      <c r="AU66" s="28" t="e">
        <f t="shared" si="36"/>
        <v>#REF!</v>
      </c>
      <c r="AV66" s="29" t="e">
        <f>#REF!</f>
        <v>#REF!</v>
      </c>
      <c r="AW66" s="29" t="e">
        <f>#REF!</f>
        <v>#REF!</v>
      </c>
      <c r="AX66" s="29" t="e">
        <f>#REF!</f>
        <v>#REF!</v>
      </c>
      <c r="AY66" s="29" t="e">
        <f>#REF!</f>
        <v>#REF!</v>
      </c>
      <c r="AZ66" s="29" t="e">
        <f>#REF!</f>
        <v>#REF!</v>
      </c>
      <c r="BA66" s="29" t="e">
        <f>#REF!</f>
        <v>#REF!</v>
      </c>
    </row>
    <row r="67" spans="1:53" s="4" customFormat="1" outlineLevel="1">
      <c r="A67" s="63"/>
      <c r="B67" s="56" t="s">
        <v>127</v>
      </c>
      <c r="C67" s="344"/>
      <c r="D67" s="28">
        <f t="shared" si="32"/>
        <v>195561.80357142852</v>
      </c>
      <c r="E67" s="74">
        <f t="shared" si="3"/>
        <v>0</v>
      </c>
      <c r="F67" s="58"/>
      <c r="G67" s="58"/>
      <c r="H67" s="49">
        <v>195561.80357142852</v>
      </c>
      <c r="I67" s="58"/>
      <c r="J67" s="214"/>
      <c r="K67" s="214"/>
      <c r="L67" s="214"/>
      <c r="M67" s="28">
        <f t="shared" si="40"/>
        <v>219574.22142857141</v>
      </c>
      <c r="N67" s="74">
        <f t="shared" si="5"/>
        <v>0</v>
      </c>
      <c r="O67" s="58"/>
      <c r="P67" s="58"/>
      <c r="Q67" s="28">
        <f>[52]СводПЗ!$L$67</f>
        <v>219574.22142857141</v>
      </c>
      <c r="R67" s="58"/>
      <c r="U67" s="15"/>
      <c r="V67" s="15"/>
      <c r="AQ67" s="93" t="e">
        <f>#REF!</f>
        <v>#REF!</v>
      </c>
      <c r="AR67" s="93" t="e">
        <f t="shared" si="34"/>
        <v>#REF!</v>
      </c>
      <c r="AS67" s="97" t="e">
        <f t="shared" si="35"/>
        <v>#REF!</v>
      </c>
      <c r="AU67" s="28" t="e">
        <f t="shared" si="36"/>
        <v>#REF!</v>
      </c>
      <c r="AV67" s="29" t="e">
        <f>#REF!</f>
        <v>#REF!</v>
      </c>
      <c r="AW67" s="29" t="e">
        <f>#REF!</f>
        <v>#REF!</v>
      </c>
      <c r="AX67" s="29" t="e">
        <f>#REF!</f>
        <v>#REF!</v>
      </c>
      <c r="AY67" s="29" t="e">
        <f>#REF!</f>
        <v>#REF!</v>
      </c>
      <c r="AZ67" s="29" t="e">
        <f>#REF!</f>
        <v>#REF!</v>
      </c>
      <c r="BA67" s="29" t="e">
        <f>#REF!</f>
        <v>#REF!</v>
      </c>
    </row>
    <row r="68" spans="1:53" s="4" customFormat="1" ht="44.25" customHeight="1">
      <c r="A68" s="79" t="s">
        <v>41</v>
      </c>
      <c r="B68" s="12" t="s">
        <v>108</v>
      </c>
      <c r="C68" s="343" t="s">
        <v>9</v>
      </c>
      <c r="D68" s="25">
        <f t="shared" si="32"/>
        <v>24630.262846479996</v>
      </c>
      <c r="E68" s="74">
        <f t="shared" si="3"/>
        <v>5491.3774383405689</v>
      </c>
      <c r="F68" s="33">
        <f t="shared" ref="F68:I68" si="61">F69</f>
        <v>2308.298465229499</v>
      </c>
      <c r="G68" s="33">
        <f t="shared" si="61"/>
        <v>3183.0789731110704</v>
      </c>
      <c r="H68" s="33">
        <f t="shared" si="61"/>
        <v>17497.158511294434</v>
      </c>
      <c r="I68" s="33">
        <f t="shared" si="61"/>
        <v>1641.7268968449932</v>
      </c>
      <c r="M68" s="25">
        <f t="shared" si="40"/>
        <v>24630.262846479996</v>
      </c>
      <c r="N68" s="74">
        <f t="shared" si="5"/>
        <v>4721.0045655555605</v>
      </c>
      <c r="O68" s="33">
        <f t="shared" ref="O68:R68" si="62">O69</f>
        <v>1799.4257507991438</v>
      </c>
      <c r="P68" s="33">
        <f t="shared" si="62"/>
        <v>2921.5788147564167</v>
      </c>
      <c r="Q68" s="33">
        <f t="shared" si="62"/>
        <v>18960.190602375493</v>
      </c>
      <c r="R68" s="33">
        <f t="shared" si="62"/>
        <v>949.06767854894395</v>
      </c>
      <c r="U68" s="15"/>
      <c r="V68" s="15"/>
      <c r="AQ68" s="92" t="e">
        <f>AQ69</f>
        <v>#REF!</v>
      </c>
      <c r="AR68" s="92" t="e">
        <f t="shared" si="34"/>
        <v>#REF!</v>
      </c>
      <c r="AS68" s="97" t="e">
        <f t="shared" si="35"/>
        <v>#REF!</v>
      </c>
      <c r="AU68" s="25" t="e">
        <f t="shared" si="36"/>
        <v>#REF!</v>
      </c>
      <c r="AV68" s="33" t="e">
        <f t="shared" ref="AV68:BA68" si="63">AV69</f>
        <v>#REF!</v>
      </c>
      <c r="AW68" s="33" t="e">
        <f t="shared" si="63"/>
        <v>#REF!</v>
      </c>
      <c r="AX68" s="33" t="e">
        <f t="shared" si="63"/>
        <v>#REF!</v>
      </c>
      <c r="AY68" s="33" t="e">
        <f>AY69</f>
        <v>#REF!</v>
      </c>
      <c r="AZ68" s="33" t="e">
        <f t="shared" si="63"/>
        <v>#REF!</v>
      </c>
      <c r="BA68" s="33" t="e">
        <f t="shared" si="63"/>
        <v>#REF!</v>
      </c>
    </row>
    <row r="69" spans="1:53" s="4" customFormat="1" ht="25.5" customHeight="1" outlineLevel="1">
      <c r="A69" s="13"/>
      <c r="B69" s="18" t="s">
        <v>168</v>
      </c>
      <c r="C69" s="343" t="s">
        <v>9</v>
      </c>
      <c r="D69" s="28">
        <f t="shared" si="32"/>
        <v>24630.262846479996</v>
      </c>
      <c r="E69" s="76">
        <f t="shared" si="3"/>
        <v>5491.3774383405689</v>
      </c>
      <c r="F69" s="29">
        <v>2308.298465229499</v>
      </c>
      <c r="G69" s="29">
        <v>3183.0789731110704</v>
      </c>
      <c r="H69" s="49">
        <v>17497.158511294434</v>
      </c>
      <c r="I69" s="29">
        <v>1641.7268968449932</v>
      </c>
      <c r="J69" s="214"/>
      <c r="K69" s="214"/>
      <c r="L69" s="214"/>
      <c r="M69" s="28">
        <f>[52]СводПЗ!$C$69</f>
        <v>24630.262846479996</v>
      </c>
      <c r="N69" s="76">
        <f t="shared" si="5"/>
        <v>4721.0045655555605</v>
      </c>
      <c r="O69" s="29">
        <f>$M$69*O90</f>
        <v>1799.4257507991438</v>
      </c>
      <c r="P69" s="29">
        <f t="shared" ref="P69:R69" si="64">$M$69*P90</f>
        <v>2921.5788147564167</v>
      </c>
      <c r="Q69" s="29">
        <f t="shared" si="64"/>
        <v>18960.190602375493</v>
      </c>
      <c r="R69" s="29">
        <f t="shared" si="64"/>
        <v>949.06767854894395</v>
      </c>
      <c r="U69" s="15"/>
      <c r="V69" s="15"/>
      <c r="AQ69" s="93" t="e">
        <f>#REF!</f>
        <v>#REF!</v>
      </c>
      <c r="AR69" s="93" t="e">
        <f t="shared" si="34"/>
        <v>#REF!</v>
      </c>
      <c r="AS69" s="97" t="e">
        <f t="shared" si="35"/>
        <v>#REF!</v>
      </c>
      <c r="AU69" s="28" t="e">
        <f t="shared" si="36"/>
        <v>#REF!</v>
      </c>
      <c r="AV69" s="29" t="e">
        <f>#REF!</f>
        <v>#REF!</v>
      </c>
      <c r="AW69" s="29" t="e">
        <f>#REF!</f>
        <v>#REF!</v>
      </c>
      <c r="AX69" s="29" t="e">
        <f>#REF!</f>
        <v>#REF!</v>
      </c>
      <c r="AY69" s="29" t="e">
        <f>#REF!</f>
        <v>#REF!</v>
      </c>
      <c r="AZ69" s="29" t="e">
        <f>#REF!</f>
        <v>#REF!</v>
      </c>
      <c r="BA69" s="29" t="e">
        <f>#REF!</f>
        <v>#REF!</v>
      </c>
    </row>
    <row r="70" spans="1:53" s="4" customFormat="1" ht="25.5" customHeight="1" outlineLevel="1">
      <c r="A70" s="341" t="s">
        <v>43</v>
      </c>
      <c r="B70" s="65" t="s">
        <v>160</v>
      </c>
      <c r="C70" s="344"/>
      <c r="D70" s="25">
        <f t="shared" si="32"/>
        <v>5755.7888171200002</v>
      </c>
      <c r="E70" s="74">
        <f t="shared" si="3"/>
        <v>1356.7431421639915</v>
      </c>
      <c r="F70" s="61">
        <f>SUM(F71:F74)</f>
        <v>567.51610114249934</v>
      </c>
      <c r="G70" s="61">
        <f t="shared" ref="G70:I70" si="65">SUM(G71:G74)</f>
        <v>789.22704102149214</v>
      </c>
      <c r="H70" s="61">
        <f t="shared" si="65"/>
        <v>3956.4709385695528</v>
      </c>
      <c r="I70" s="61">
        <f t="shared" si="65"/>
        <v>442.57473638645547</v>
      </c>
      <c r="M70" s="25">
        <f t="shared" si="40"/>
        <v>5755.7888171200002</v>
      </c>
      <c r="N70" s="74">
        <f t="shared" si="5"/>
        <v>1183.1069650980285</v>
      </c>
      <c r="O70" s="61">
        <f>SUM(O71:O74)</f>
        <v>452.82006774319626</v>
      </c>
      <c r="P70" s="61">
        <f t="shared" ref="P70:R70" si="66">SUM(P71:P74)</f>
        <v>730.28689735483226</v>
      </c>
      <c r="Q70" s="61">
        <f t="shared" si="66"/>
        <v>4286.2272269779996</v>
      </c>
      <c r="R70" s="61">
        <f t="shared" si="66"/>
        <v>286.45462504397187</v>
      </c>
      <c r="U70" s="15"/>
      <c r="V70" s="15"/>
      <c r="AQ70" s="92" t="e">
        <f>SUM(AQ71:AQ74)</f>
        <v>#REF!</v>
      </c>
      <c r="AR70" s="92" t="e">
        <f t="shared" si="34"/>
        <v>#REF!</v>
      </c>
      <c r="AS70" s="97" t="e">
        <f t="shared" si="35"/>
        <v>#REF!</v>
      </c>
      <c r="AU70" s="25" t="e">
        <f t="shared" si="36"/>
        <v>#REF!</v>
      </c>
      <c r="AV70" s="61" t="e">
        <f>SUM(AV71:AV74)</f>
        <v>#REF!</v>
      </c>
      <c r="AW70" s="61" t="e">
        <f t="shared" ref="AW70:BA70" si="67">SUM(AW71:AW74)</f>
        <v>#REF!</v>
      </c>
      <c r="AX70" s="61" t="e">
        <f t="shared" si="67"/>
        <v>#REF!</v>
      </c>
      <c r="AY70" s="61" t="e">
        <f t="shared" si="67"/>
        <v>#REF!</v>
      </c>
      <c r="AZ70" s="61" t="e">
        <f t="shared" si="67"/>
        <v>#REF!</v>
      </c>
      <c r="BA70" s="61" t="e">
        <f t="shared" si="67"/>
        <v>#REF!</v>
      </c>
    </row>
    <row r="71" spans="1:53" s="4" customFormat="1" ht="56.25" customHeight="1" outlineLevel="1">
      <c r="A71" s="341"/>
      <c r="B71" s="56" t="s">
        <v>90</v>
      </c>
      <c r="C71" s="344"/>
      <c r="D71" s="28">
        <f t="shared" si="32"/>
        <v>228.50450973599996</v>
      </c>
      <c r="E71" s="76">
        <f t="shared" si="3"/>
        <v>88.62683963672572</v>
      </c>
      <c r="F71" s="58">
        <v>36.081415530352459</v>
      </c>
      <c r="G71" s="58">
        <v>52.545424106373261</v>
      </c>
      <c r="H71" s="49">
        <v>128.33851873757945</v>
      </c>
      <c r="I71" s="58">
        <v>11.539151361694788</v>
      </c>
      <c r="J71" s="214"/>
      <c r="K71" s="214"/>
      <c r="L71" s="214"/>
      <c r="M71" s="28">
        <f t="shared" si="40"/>
        <v>228.50450973599993</v>
      </c>
      <c r="N71" s="76">
        <f t="shared" si="5"/>
        <v>83.212145389410139</v>
      </c>
      <c r="O71" s="58">
        <f>[52]СводПЗ!$E$71</f>
        <v>32.504718768587239</v>
      </c>
      <c r="P71" s="58">
        <f>[52]СводПЗ!$F$71</f>
        <v>50.707426620822901</v>
      </c>
      <c r="Q71" s="28">
        <f>[52]СводПЗ!$L$71</f>
        <v>138.6216838477111</v>
      </c>
      <c r="R71" s="58">
        <f>[52]СводПЗ!$J$71</f>
        <v>6.6706804988787098</v>
      </c>
      <c r="U71" s="15"/>
      <c r="V71" s="15"/>
      <c r="AQ71" s="93" t="e">
        <f>#REF!</f>
        <v>#REF!</v>
      </c>
      <c r="AR71" s="93" t="e">
        <f t="shared" si="34"/>
        <v>#REF!</v>
      </c>
      <c r="AS71" s="97" t="e">
        <f t="shared" si="35"/>
        <v>#REF!</v>
      </c>
      <c r="AU71" s="28" t="e">
        <f t="shared" si="36"/>
        <v>#REF!</v>
      </c>
      <c r="AV71" s="58" t="e">
        <f>#REF!</f>
        <v>#REF!</v>
      </c>
      <c r="AW71" s="58" t="e">
        <f>#REF!</f>
        <v>#REF!</v>
      </c>
      <c r="AX71" s="58" t="e">
        <f>#REF!</f>
        <v>#REF!</v>
      </c>
      <c r="AY71" s="58" t="e">
        <f>#REF!</f>
        <v>#REF!</v>
      </c>
      <c r="AZ71" s="58" t="e">
        <f>#REF!</f>
        <v>#REF!</v>
      </c>
      <c r="BA71" s="58" t="e">
        <f>#REF!</f>
        <v>#REF!</v>
      </c>
    </row>
    <row r="72" spans="1:53" s="4" customFormat="1" ht="55.5" customHeight="1" outlineLevel="1">
      <c r="A72" s="341"/>
      <c r="B72" s="56" t="s">
        <v>105</v>
      </c>
      <c r="C72" s="344"/>
      <c r="D72" s="28">
        <f t="shared" si="32"/>
        <v>148.92859858399999</v>
      </c>
      <c r="E72" s="76">
        <f t="shared" ref="E72:E135" si="68">F72+G72</f>
        <v>68.998721900414452</v>
      </c>
      <c r="F72" s="58">
        <v>27.386056270961983</v>
      </c>
      <c r="G72" s="58">
        <v>41.612665629452472</v>
      </c>
      <c r="H72" s="49">
        <v>7.3878766835855387</v>
      </c>
      <c r="I72" s="58">
        <v>72.542000000000002</v>
      </c>
      <c r="J72" s="214"/>
      <c r="K72" s="214"/>
      <c r="L72" s="214"/>
      <c r="M72" s="28">
        <f t="shared" si="40"/>
        <v>148.92859858399999</v>
      </c>
      <c r="N72" s="76">
        <f t="shared" ref="N72:N89" si="69">O72+P72</f>
        <v>68.998721900414452</v>
      </c>
      <c r="O72" s="58">
        <f>[52]СводПЗ!$E$72</f>
        <v>27.386056270961983</v>
      </c>
      <c r="P72" s="58">
        <f>[52]СводПЗ!$F$72</f>
        <v>41.612665629452472</v>
      </c>
      <c r="Q72" s="28">
        <f>[52]СводПЗ!$L$72</f>
        <v>7.3878766835855387</v>
      </c>
      <c r="R72" s="58">
        <f>[52]СводПЗ!$J$72</f>
        <v>72.542000000000002</v>
      </c>
      <c r="U72" s="15"/>
      <c r="V72" s="15"/>
      <c r="AQ72" s="93" t="e">
        <f>#REF!</f>
        <v>#REF!</v>
      </c>
      <c r="AR72" s="93" t="e">
        <f t="shared" si="34"/>
        <v>#REF!</v>
      </c>
      <c r="AS72" s="97" t="e">
        <f t="shared" si="35"/>
        <v>#REF!</v>
      </c>
      <c r="AU72" s="28" t="e">
        <f t="shared" si="36"/>
        <v>#REF!</v>
      </c>
      <c r="AV72" s="58" t="e">
        <f>#REF!</f>
        <v>#REF!</v>
      </c>
      <c r="AW72" s="58" t="e">
        <f>#REF!</f>
        <v>#REF!</v>
      </c>
      <c r="AX72" s="58" t="e">
        <f>#REF!</f>
        <v>#REF!</v>
      </c>
      <c r="AY72" s="58" t="e">
        <f>#REF!</f>
        <v>#REF!</v>
      </c>
      <c r="AZ72" s="58" t="e">
        <f>#REF!</f>
        <v>#REF!</v>
      </c>
      <c r="BA72" s="58" t="e">
        <f>#REF!</f>
        <v>#REF!</v>
      </c>
    </row>
    <row r="73" spans="1:53" s="4" customFormat="1" outlineLevel="1">
      <c r="A73" s="341"/>
      <c r="B73" s="56" t="s">
        <v>91</v>
      </c>
      <c r="C73" s="344"/>
      <c r="D73" s="28">
        <f t="shared" si="32"/>
        <v>4257.4697088000003</v>
      </c>
      <c r="E73" s="76">
        <f t="shared" si="68"/>
        <v>949.21330109410292</v>
      </c>
      <c r="F73" s="58">
        <v>399.00145832136781</v>
      </c>
      <c r="G73" s="58">
        <v>550.21184277273505</v>
      </c>
      <c r="H73" s="49">
        <v>3024.4753300533421</v>
      </c>
      <c r="I73" s="58">
        <v>283.7810776525551</v>
      </c>
      <c r="J73" s="214"/>
      <c r="K73" s="214"/>
      <c r="L73" s="214"/>
      <c r="M73" s="28">
        <f>[52]СводПЗ!$C$73</f>
        <v>4257.4697088000003</v>
      </c>
      <c r="N73" s="76">
        <f t="shared" si="69"/>
        <v>816.05032224947627</v>
      </c>
      <c r="O73" s="58">
        <f>$M$73*O90</f>
        <v>311.04014906430098</v>
      </c>
      <c r="P73" s="58">
        <f t="shared" ref="P73:R73" si="70">$M$73*P90</f>
        <v>505.01017318517529</v>
      </c>
      <c r="Q73" s="58">
        <f t="shared" si="70"/>
        <v>3277.3680762495164</v>
      </c>
      <c r="R73" s="58">
        <f t="shared" si="70"/>
        <v>164.05131030100745</v>
      </c>
      <c r="U73" s="15"/>
      <c r="V73" s="15"/>
      <c r="AQ73" s="93" t="e">
        <f>#REF!</f>
        <v>#REF!</v>
      </c>
      <c r="AR73" s="93" t="e">
        <f t="shared" si="34"/>
        <v>#REF!</v>
      </c>
      <c r="AS73" s="97" t="e">
        <f t="shared" si="35"/>
        <v>#REF!</v>
      </c>
      <c r="AU73" s="28" t="e">
        <f t="shared" si="36"/>
        <v>#REF!</v>
      </c>
      <c r="AV73" s="58" t="e">
        <f>#REF!</f>
        <v>#REF!</v>
      </c>
      <c r="AW73" s="58" t="e">
        <f>#REF!</f>
        <v>#REF!</v>
      </c>
      <c r="AX73" s="58" t="e">
        <f>#REF!</f>
        <v>#REF!</v>
      </c>
      <c r="AY73" s="58" t="e">
        <f>#REF!</f>
        <v>#REF!</v>
      </c>
      <c r="AZ73" s="58" t="e">
        <f>#REF!</f>
        <v>#REF!</v>
      </c>
      <c r="BA73" s="58" t="e">
        <f>#REF!</f>
        <v>#REF!</v>
      </c>
    </row>
    <row r="74" spans="1:53" s="4" customFormat="1" ht="23.25" customHeight="1" outlineLevel="1">
      <c r="A74" s="341"/>
      <c r="B74" s="56" t="s">
        <v>129</v>
      </c>
      <c r="C74" s="344"/>
      <c r="D74" s="28">
        <f t="shared" si="32"/>
        <v>1120.886</v>
      </c>
      <c r="E74" s="76">
        <f t="shared" si="68"/>
        <v>249.90427953274849</v>
      </c>
      <c r="F74" s="58">
        <v>105.04717101981713</v>
      </c>
      <c r="G74" s="58">
        <v>144.85710851293135</v>
      </c>
      <c r="H74" s="49">
        <v>796.26921309504587</v>
      </c>
      <c r="I74" s="58">
        <v>74.71250737220555</v>
      </c>
      <c r="J74" s="214"/>
      <c r="K74" s="214"/>
      <c r="L74" s="214"/>
      <c r="M74" s="28">
        <f>[52]СводПЗ!$C$74</f>
        <v>1120.886</v>
      </c>
      <c r="N74" s="76">
        <f t="shared" si="69"/>
        <v>214.84577555872767</v>
      </c>
      <c r="O74" s="58">
        <f>$M$74*O90</f>
        <v>81.889143639346059</v>
      </c>
      <c r="P74" s="58">
        <f t="shared" ref="P74:R74" si="71">$M$74*P90</f>
        <v>132.95663191938161</v>
      </c>
      <c r="Q74" s="58">
        <f t="shared" si="71"/>
        <v>862.84959019718656</v>
      </c>
      <c r="R74" s="58">
        <f t="shared" si="71"/>
        <v>43.190634244085736</v>
      </c>
      <c r="U74" s="15"/>
      <c r="V74" s="15"/>
      <c r="AQ74" s="93" t="e">
        <f>#REF!</f>
        <v>#REF!</v>
      </c>
      <c r="AR74" s="93" t="e">
        <f t="shared" si="34"/>
        <v>#REF!</v>
      </c>
      <c r="AS74" s="97" t="e">
        <f t="shared" si="35"/>
        <v>#REF!</v>
      </c>
      <c r="AU74" s="28" t="e">
        <f t="shared" si="36"/>
        <v>#REF!</v>
      </c>
      <c r="AV74" s="58" t="e">
        <f>#REF!</f>
        <v>#REF!</v>
      </c>
      <c r="AW74" s="58" t="e">
        <f>#REF!</f>
        <v>#REF!</v>
      </c>
      <c r="AX74" s="58" t="e">
        <f>#REF!</f>
        <v>#REF!</v>
      </c>
      <c r="AY74" s="58" t="e">
        <f>#REF!</f>
        <v>#REF!</v>
      </c>
      <c r="AZ74" s="58" t="e">
        <f>#REF!</f>
        <v>#REF!</v>
      </c>
      <c r="BA74" s="58" t="e">
        <f>#REF!</f>
        <v>#REF!</v>
      </c>
    </row>
    <row r="75" spans="1:53" s="4" customFormat="1" ht="30" customHeight="1">
      <c r="A75" s="13" t="s">
        <v>159</v>
      </c>
      <c r="B75" s="12" t="s">
        <v>44</v>
      </c>
      <c r="C75" s="343" t="s">
        <v>9</v>
      </c>
      <c r="D75" s="25">
        <f t="shared" ref="D75:I75" si="72">SUM(D76:D89)</f>
        <v>42918.220302243899</v>
      </c>
      <c r="E75" s="74">
        <f t="shared" si="68"/>
        <v>9584.6333426833207</v>
      </c>
      <c r="F75" s="25">
        <f t="shared" si="72"/>
        <v>4028.4018268738014</v>
      </c>
      <c r="G75" s="25">
        <f t="shared" si="72"/>
        <v>5556.2315158095189</v>
      </c>
      <c r="H75" s="25">
        <f t="shared" si="72"/>
        <v>30474.437555740558</v>
      </c>
      <c r="I75" s="25">
        <f t="shared" si="72"/>
        <v>2859.1494038200231</v>
      </c>
      <c r="M75" s="25">
        <f t="shared" ref="M75:R75" si="73">SUM(M76:M89)</f>
        <v>41341.827302243895</v>
      </c>
      <c r="N75" s="74">
        <f t="shared" si="69"/>
        <v>7940.8354404402089</v>
      </c>
      <c r="O75" s="25">
        <f t="shared" si="73"/>
        <v>3027.0072215393811</v>
      </c>
      <c r="P75" s="25">
        <f t="shared" si="73"/>
        <v>4913.8282189008278</v>
      </c>
      <c r="Q75" s="25">
        <f t="shared" si="73"/>
        <v>31808.885584751228</v>
      </c>
      <c r="R75" s="25">
        <f t="shared" si="73"/>
        <v>1592.1062770524541</v>
      </c>
      <c r="U75" s="15"/>
      <c r="V75" s="15"/>
      <c r="AQ75" s="92" t="e">
        <f>SUM(AQ76:AQ89)</f>
        <v>#REF!</v>
      </c>
      <c r="AR75" s="92" t="e">
        <f t="shared" si="34"/>
        <v>#REF!</v>
      </c>
      <c r="AS75" s="97" t="e">
        <f t="shared" si="35"/>
        <v>#REF!</v>
      </c>
      <c r="AU75" s="25" t="e">
        <f t="shared" ref="AU75:BA75" si="74">SUM(AU76:AU89)</f>
        <v>#REF!</v>
      </c>
      <c r="AV75" s="25" t="e">
        <f t="shared" si="74"/>
        <v>#REF!</v>
      </c>
      <c r="AW75" s="25" t="e">
        <f t="shared" si="74"/>
        <v>#REF!</v>
      </c>
      <c r="AX75" s="25" t="e">
        <f t="shared" si="74"/>
        <v>#REF!</v>
      </c>
      <c r="AY75" s="25" t="e">
        <f t="shared" si="74"/>
        <v>#REF!</v>
      </c>
      <c r="AZ75" s="25" t="e">
        <f t="shared" si="74"/>
        <v>#REF!</v>
      </c>
      <c r="BA75" s="25" t="e">
        <f t="shared" si="74"/>
        <v>#REF!</v>
      </c>
    </row>
    <row r="76" spans="1:53" s="4" customFormat="1" ht="39" customHeight="1">
      <c r="A76" s="13"/>
      <c r="B76" s="18" t="s">
        <v>182</v>
      </c>
      <c r="C76" s="343" t="s">
        <v>9</v>
      </c>
      <c r="D76" s="28">
        <f t="shared" ref="D76:D92" si="75">SUM(F76:I76)</f>
        <v>1946.9999999999998</v>
      </c>
      <c r="E76" s="76">
        <f t="shared" si="68"/>
        <v>434.08841956297192</v>
      </c>
      <c r="F76" s="28">
        <v>182.46890582591269</v>
      </c>
      <c r="G76" s="28">
        <v>251.61951373705924</v>
      </c>
      <c r="H76" s="49">
        <v>1383.1345541795099</v>
      </c>
      <c r="I76" s="50">
        <v>129.77702625751789</v>
      </c>
      <c r="J76" s="214"/>
      <c r="K76" s="214"/>
      <c r="L76" s="214"/>
      <c r="M76" s="28">
        <f>[52]СводПЗ!$C$76</f>
        <v>1947.0000000000002</v>
      </c>
      <c r="N76" s="76">
        <f t="shared" si="69"/>
        <v>373.19114076975075</v>
      </c>
      <c r="O76" s="28">
        <f>$M$76*O90</f>
        <v>142.24297802435467</v>
      </c>
      <c r="P76" s="28">
        <f t="shared" ref="P76:R76" si="76">$M$76*P90</f>
        <v>230.94816274539605</v>
      </c>
      <c r="Q76" s="28">
        <f t="shared" si="76"/>
        <v>1498.7859176704164</v>
      </c>
      <c r="R76" s="28">
        <f t="shared" si="76"/>
        <v>75.022941559832972</v>
      </c>
      <c r="U76" s="15"/>
      <c r="V76" s="15"/>
      <c r="AQ76" s="93" t="e">
        <f>#REF!</f>
        <v>#REF!</v>
      </c>
      <c r="AR76" s="93" t="e">
        <f t="shared" si="34"/>
        <v>#REF!</v>
      </c>
      <c r="AS76" s="97" t="e">
        <f t="shared" si="35"/>
        <v>#REF!</v>
      </c>
      <c r="AU76" s="28" t="e">
        <f t="shared" si="36"/>
        <v>#REF!</v>
      </c>
      <c r="AV76" s="28" t="e">
        <f>#REF!</f>
        <v>#REF!</v>
      </c>
      <c r="AW76" s="28" t="e">
        <f>#REF!</f>
        <v>#REF!</v>
      </c>
      <c r="AX76" s="28" t="e">
        <f>#REF!</f>
        <v>#REF!</v>
      </c>
      <c r="AY76" s="28" t="e">
        <f>#REF!</f>
        <v>#REF!</v>
      </c>
      <c r="AZ76" s="28" t="e">
        <f>#REF!</f>
        <v>#REF!</v>
      </c>
      <c r="BA76" s="28" t="e">
        <f>#REF!</f>
        <v>#REF!</v>
      </c>
    </row>
    <row r="77" spans="1:53" s="4" customFormat="1" ht="37.5" customHeight="1">
      <c r="A77" s="13"/>
      <c r="B77" s="18" t="s">
        <v>104</v>
      </c>
      <c r="C77" s="343" t="s">
        <v>9</v>
      </c>
      <c r="D77" s="28">
        <f t="shared" si="75"/>
        <v>1454.9999999999998</v>
      </c>
      <c r="E77" s="76">
        <f t="shared" si="68"/>
        <v>324.39581431131182</v>
      </c>
      <c r="F77" s="49">
        <v>136.35965997776216</v>
      </c>
      <c r="G77" s="49">
        <v>188.03615433354966</v>
      </c>
      <c r="H77" s="49">
        <v>1033.6213540478618</v>
      </c>
      <c r="I77" s="50">
        <v>96.982831640826163</v>
      </c>
      <c r="J77" s="214"/>
      <c r="K77" s="214"/>
      <c r="L77" s="214"/>
      <c r="M77" s="28">
        <f>[52]СводПЗ!$C$77</f>
        <v>1455</v>
      </c>
      <c r="N77" s="76">
        <f t="shared" si="69"/>
        <v>278.88706205443617</v>
      </c>
      <c r="O77" s="49">
        <f>$M$77*O90</f>
        <v>106.29868157444068</v>
      </c>
      <c r="P77" s="49">
        <f t="shared" ref="P77:R77" si="77">$M$77*P90</f>
        <v>172.58838047999549</v>
      </c>
      <c r="Q77" s="49">
        <f t="shared" si="77"/>
        <v>1120.0480278430691</v>
      </c>
      <c r="R77" s="49">
        <f t="shared" si="77"/>
        <v>56.064910102494586</v>
      </c>
      <c r="U77" s="15"/>
      <c r="V77" s="15"/>
      <c r="AQ77" s="93" t="e">
        <f>#REF!</f>
        <v>#REF!</v>
      </c>
      <c r="AR77" s="93" t="e">
        <f t="shared" si="34"/>
        <v>#REF!</v>
      </c>
      <c r="AS77" s="97" t="e">
        <f t="shared" si="35"/>
        <v>#REF!</v>
      </c>
      <c r="AU77" s="28" t="e">
        <f t="shared" si="36"/>
        <v>#REF!</v>
      </c>
      <c r="AV77" s="28" t="e">
        <f>#REF!</f>
        <v>#REF!</v>
      </c>
      <c r="AW77" s="28" t="e">
        <f>#REF!</f>
        <v>#REF!</v>
      </c>
      <c r="AX77" s="28" t="e">
        <f>#REF!</f>
        <v>#REF!</v>
      </c>
      <c r="AY77" s="28" t="e">
        <f>#REF!</f>
        <v>#REF!</v>
      </c>
      <c r="AZ77" s="28" t="e">
        <f>#REF!</f>
        <v>#REF!</v>
      </c>
      <c r="BA77" s="28" t="e">
        <f>#REF!</f>
        <v>#REF!</v>
      </c>
    </row>
    <row r="78" spans="1:53" s="4" customFormat="1" ht="20.25" customHeight="1">
      <c r="A78" s="13"/>
      <c r="B78" s="18" t="s">
        <v>117</v>
      </c>
      <c r="C78" s="343" t="s">
        <v>9</v>
      </c>
      <c r="D78" s="28">
        <f t="shared" si="75"/>
        <v>1079.6035714285713</v>
      </c>
      <c r="E78" s="76">
        <f t="shared" si="68"/>
        <v>240.70026095324531</v>
      </c>
      <c r="F78" s="49">
        <v>101.17826523077503</v>
      </c>
      <c r="G78" s="49">
        <v>139.52199572247028</v>
      </c>
      <c r="H78" s="49">
        <v>766.94247789340716</v>
      </c>
      <c r="I78" s="50">
        <v>71.960832581918751</v>
      </c>
      <c r="J78" s="214"/>
      <c r="K78" s="214"/>
      <c r="L78" s="214"/>
      <c r="M78" s="28">
        <f>[52]СводПЗ!$C$78</f>
        <v>1079.6035714285713</v>
      </c>
      <c r="N78" s="76">
        <f t="shared" si="69"/>
        <v>206.93296784824116</v>
      </c>
      <c r="O78" s="49">
        <f>$M$78*O90</f>
        <v>78.873152072793559</v>
      </c>
      <c r="P78" s="49">
        <f t="shared" ref="P78:R78" si="78">$M$78*P90</f>
        <v>128.05981577544759</v>
      </c>
      <c r="Q78" s="49">
        <f t="shared" si="78"/>
        <v>831.0706879937494</v>
      </c>
      <c r="R78" s="49">
        <f t="shared" si="78"/>
        <v>41.599915586580714</v>
      </c>
      <c r="U78" s="15"/>
      <c r="V78" s="15"/>
      <c r="AQ78" s="93" t="e">
        <f>#REF!</f>
        <v>#REF!</v>
      </c>
      <c r="AR78" s="93" t="e">
        <f t="shared" si="34"/>
        <v>#REF!</v>
      </c>
      <c r="AS78" s="97" t="e">
        <f t="shared" si="35"/>
        <v>#REF!</v>
      </c>
      <c r="AU78" s="28" t="e">
        <f t="shared" si="36"/>
        <v>#REF!</v>
      </c>
      <c r="AV78" s="28" t="e">
        <f>#REF!</f>
        <v>#REF!</v>
      </c>
      <c r="AW78" s="28" t="e">
        <f>#REF!</f>
        <v>#REF!</v>
      </c>
      <c r="AX78" s="28" t="e">
        <f>#REF!</f>
        <v>#REF!</v>
      </c>
      <c r="AY78" s="28" t="e">
        <f>#REF!</f>
        <v>#REF!</v>
      </c>
      <c r="AZ78" s="28" t="e">
        <f>#REF!</f>
        <v>#REF!</v>
      </c>
      <c r="BA78" s="28" t="e">
        <f>#REF!</f>
        <v>#REF!</v>
      </c>
    </row>
    <row r="79" spans="1:53" s="4" customFormat="1" ht="20.25" customHeight="1">
      <c r="A79" s="13"/>
      <c r="B79" s="18" t="s">
        <v>155</v>
      </c>
      <c r="C79" s="343" t="s">
        <v>9</v>
      </c>
      <c r="D79" s="28">
        <f t="shared" si="75"/>
        <v>319.07734806629833</v>
      </c>
      <c r="E79" s="76">
        <f t="shared" si="68"/>
        <v>71.139076394680913</v>
      </c>
      <c r="F79" s="49">
        <v>29.903284322286265</v>
      </c>
      <c r="G79" s="49">
        <v>41.235792072394652</v>
      </c>
      <c r="H79" s="49">
        <v>226.67021343937336</v>
      </c>
      <c r="I79" s="50">
        <v>21.268058232244059</v>
      </c>
      <c r="J79" s="214"/>
      <c r="K79" s="214"/>
      <c r="L79" s="214"/>
      <c r="M79" s="28">
        <f>[52]СводПЗ!$C$79</f>
        <v>319.07734806629838</v>
      </c>
      <c r="N79" s="76">
        <f t="shared" si="69"/>
        <v>61.159136886825216</v>
      </c>
      <c r="O79" s="49">
        <f>$M$79*O90</f>
        <v>23.310997539324006</v>
      </c>
      <c r="P79" s="49">
        <f t="shared" ref="P79:R79" si="79">$M$79*P90</f>
        <v>37.84813934750121</v>
      </c>
      <c r="Q79" s="49">
        <f t="shared" si="79"/>
        <v>245.62333637873132</v>
      </c>
      <c r="R79" s="49">
        <f t="shared" si="79"/>
        <v>12.294874800741852</v>
      </c>
      <c r="U79" s="15"/>
      <c r="V79" s="15"/>
      <c r="AQ79" s="93" t="e">
        <f>#REF!</f>
        <v>#REF!</v>
      </c>
      <c r="AR79" s="93" t="e">
        <f t="shared" si="34"/>
        <v>#REF!</v>
      </c>
      <c r="AS79" s="97" t="e">
        <f t="shared" si="35"/>
        <v>#REF!</v>
      </c>
      <c r="AU79" s="28" t="e">
        <f t="shared" si="36"/>
        <v>#REF!</v>
      </c>
      <c r="AV79" s="28" t="e">
        <f>#REF!</f>
        <v>#REF!</v>
      </c>
      <c r="AW79" s="28" t="e">
        <f>#REF!</f>
        <v>#REF!</v>
      </c>
      <c r="AX79" s="28" t="e">
        <f>#REF!</f>
        <v>#REF!</v>
      </c>
      <c r="AY79" s="28" t="e">
        <f>#REF!</f>
        <v>#REF!</v>
      </c>
      <c r="AZ79" s="28" t="e">
        <f>#REF!</f>
        <v>#REF!</v>
      </c>
      <c r="BA79" s="28" t="e">
        <f>#REF!</f>
        <v>#REF!</v>
      </c>
    </row>
    <row r="80" spans="1:53" s="4" customFormat="1" ht="39" customHeight="1">
      <c r="A80" s="13"/>
      <c r="B80" s="18" t="s">
        <v>156</v>
      </c>
      <c r="C80" s="343" t="s">
        <v>9</v>
      </c>
      <c r="D80" s="28">
        <f t="shared" si="75"/>
        <v>53.805714285714274</v>
      </c>
      <c r="E80" s="76">
        <f t="shared" si="68"/>
        <v>27.907105406090263</v>
      </c>
      <c r="F80" s="49">
        <v>11.235504977027016</v>
      </c>
      <c r="G80" s="49">
        <v>16.671600429063247</v>
      </c>
      <c r="H80" s="49">
        <v>23.871063043464844</v>
      </c>
      <c r="I80" s="50">
        <v>2.0275458361591667</v>
      </c>
      <c r="J80" s="214"/>
      <c r="K80" s="214"/>
      <c r="L80" s="214"/>
      <c r="M80" s="28">
        <f t="shared" ref="M80:M92" si="80">SUM(O80:R80)</f>
        <v>53.805714285714281</v>
      </c>
      <c r="N80" s="76">
        <f t="shared" si="69"/>
        <v>26.955688752378286</v>
      </c>
      <c r="O80" s="49">
        <f>[52]СводПЗ!$E$80</f>
        <v>10.6070431084537</v>
      </c>
      <c r="P80" s="49">
        <f>[52]СводПЗ!$F$80</f>
        <v>16.348645643924584</v>
      </c>
      <c r="Q80" s="28">
        <f>[52]СводПЗ!$L$80</f>
        <v>25.677919366608041</v>
      </c>
      <c r="R80" s="50">
        <f>[52]СводПЗ!$J$80</f>
        <v>1.17210616672795</v>
      </c>
      <c r="U80" s="15"/>
      <c r="V80" s="15"/>
      <c r="AQ80" s="93" t="e">
        <f>#REF!</f>
        <v>#REF!</v>
      </c>
      <c r="AR80" s="93" t="e">
        <f t="shared" si="34"/>
        <v>#REF!</v>
      </c>
      <c r="AS80" s="97" t="e">
        <f t="shared" si="35"/>
        <v>#REF!</v>
      </c>
      <c r="AU80" s="28" t="e">
        <f t="shared" si="36"/>
        <v>#REF!</v>
      </c>
      <c r="AV80" s="28" t="e">
        <f>#REF!</f>
        <v>#REF!</v>
      </c>
      <c r="AW80" s="28" t="e">
        <f>#REF!</f>
        <v>#REF!</v>
      </c>
      <c r="AX80" s="28" t="e">
        <f>#REF!</f>
        <v>#REF!</v>
      </c>
      <c r="AY80" s="28" t="e">
        <f>#REF!</f>
        <v>#REF!</v>
      </c>
      <c r="AZ80" s="28" t="e">
        <f>#REF!</f>
        <v>#REF!</v>
      </c>
      <c r="BA80" s="28" t="e">
        <f>#REF!</f>
        <v>#REF!</v>
      </c>
    </row>
    <row r="81" spans="1:53" s="4" customFormat="1" ht="19.5" customHeight="1">
      <c r="A81" s="13"/>
      <c r="B81" s="18" t="s">
        <v>128</v>
      </c>
      <c r="C81" s="343" t="s">
        <v>9</v>
      </c>
      <c r="D81" s="28">
        <f t="shared" si="75"/>
        <v>3363.9782603333329</v>
      </c>
      <c r="E81" s="76">
        <f t="shared" si="68"/>
        <v>750.00719387380195</v>
      </c>
      <c r="F81" s="49">
        <v>315.26524519012867</v>
      </c>
      <c r="G81" s="49">
        <v>434.74194868367323</v>
      </c>
      <c r="H81" s="49">
        <v>2389.7455425658491</v>
      </c>
      <c r="I81" s="50">
        <v>224.22552389368172</v>
      </c>
      <c r="J81" s="214"/>
      <c r="K81" s="214"/>
      <c r="L81" s="214"/>
      <c r="M81" s="28">
        <f>[52]СводПЗ!$C$81</f>
        <v>3363.9782603333329</v>
      </c>
      <c r="N81" s="76">
        <f t="shared" si="69"/>
        <v>644.79038751845803</v>
      </c>
      <c r="O81" s="49">
        <f>$M$81*O90</f>
        <v>245.76388585464869</v>
      </c>
      <c r="P81" s="49">
        <f t="shared" ref="P81:R81" si="81">$M$81*P90</f>
        <v>399.02650166380931</v>
      </c>
      <c r="Q81" s="49">
        <f t="shared" si="81"/>
        <v>2589.5650970400743</v>
      </c>
      <c r="R81" s="49">
        <f t="shared" si="81"/>
        <v>129.62277577480029</v>
      </c>
      <c r="U81" s="15"/>
      <c r="V81" s="15"/>
      <c r="AQ81" s="93" t="e">
        <f>#REF!</f>
        <v>#REF!</v>
      </c>
      <c r="AR81" s="93" t="e">
        <f t="shared" si="34"/>
        <v>#REF!</v>
      </c>
      <c r="AS81" s="97" t="e">
        <f t="shared" si="35"/>
        <v>#REF!</v>
      </c>
      <c r="AU81" s="28" t="e">
        <f t="shared" si="36"/>
        <v>#REF!</v>
      </c>
      <c r="AV81" s="28" t="e">
        <f>#REF!</f>
        <v>#REF!</v>
      </c>
      <c r="AW81" s="28" t="e">
        <f>#REF!</f>
        <v>#REF!</v>
      </c>
      <c r="AX81" s="28" t="e">
        <f>#REF!</f>
        <v>#REF!</v>
      </c>
      <c r="AY81" s="28" t="e">
        <f>#REF!</f>
        <v>#REF!</v>
      </c>
      <c r="AZ81" s="28" t="e">
        <f>#REF!</f>
        <v>#REF!</v>
      </c>
      <c r="BA81" s="28" t="e">
        <f>#REF!</f>
        <v>#REF!</v>
      </c>
    </row>
    <row r="82" spans="1:53" s="4" customFormat="1" ht="19.5" customHeight="1">
      <c r="A82" s="13"/>
      <c r="B82" s="18" t="s">
        <v>121</v>
      </c>
      <c r="C82" s="343" t="s">
        <v>9</v>
      </c>
      <c r="D82" s="28">
        <f t="shared" si="75"/>
        <v>5638.1569999999992</v>
      </c>
      <c r="E82" s="76">
        <f t="shared" si="68"/>
        <v>1257.0409149347238</v>
      </c>
      <c r="F82" s="28">
        <v>528.39668138916818</v>
      </c>
      <c r="G82" s="28">
        <v>728.64423354555561</v>
      </c>
      <c r="H82" s="49">
        <v>4005.3054795013268</v>
      </c>
      <c r="I82" s="29">
        <v>375.8106055639488</v>
      </c>
      <c r="J82" s="214"/>
      <c r="K82" s="214"/>
      <c r="L82" s="214"/>
      <c r="M82" s="28">
        <f>[52]СводПЗ!$C$82</f>
        <v>5638.1570000000002</v>
      </c>
      <c r="N82" s="76">
        <f t="shared" si="69"/>
        <v>1080.693499059556</v>
      </c>
      <c r="O82" s="28">
        <f>$M$82*O90</f>
        <v>411.90972894137718</v>
      </c>
      <c r="P82" s="28">
        <f t="shared" ref="P82:R82" si="82">$M$82*P90</f>
        <v>668.78377011817872</v>
      </c>
      <c r="Q82" s="28">
        <f t="shared" si="82"/>
        <v>4340.2107412505811</v>
      </c>
      <c r="R82" s="28">
        <f t="shared" si="82"/>
        <v>217.25275968986293</v>
      </c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Q82" s="93" t="e">
        <f>#REF!</f>
        <v>#REF!</v>
      </c>
      <c r="AR82" s="93" t="e">
        <f t="shared" si="34"/>
        <v>#REF!</v>
      </c>
      <c r="AS82" s="97" t="e">
        <f t="shared" si="35"/>
        <v>#REF!</v>
      </c>
      <c r="AU82" s="28" t="e">
        <f t="shared" si="36"/>
        <v>#REF!</v>
      </c>
      <c r="AV82" s="28" t="e">
        <f>#REF!</f>
        <v>#REF!</v>
      </c>
      <c r="AW82" s="28" t="e">
        <f>#REF!</f>
        <v>#REF!</v>
      </c>
      <c r="AX82" s="28" t="e">
        <f>#REF!</f>
        <v>#REF!</v>
      </c>
      <c r="AY82" s="28" t="e">
        <f>#REF!</f>
        <v>#REF!</v>
      </c>
      <c r="AZ82" s="28" t="e">
        <f>#REF!</f>
        <v>#REF!</v>
      </c>
      <c r="BA82" s="28" t="e">
        <f>#REF!</f>
        <v>#REF!</v>
      </c>
    </row>
    <row r="83" spans="1:53" s="4" customFormat="1" ht="19.5" customHeight="1">
      <c r="A83" s="13"/>
      <c r="B83" s="18" t="s">
        <v>114</v>
      </c>
      <c r="C83" s="343" t="s">
        <v>9</v>
      </c>
      <c r="D83" s="28">
        <f t="shared" si="75"/>
        <v>0</v>
      </c>
      <c r="E83" s="76">
        <f t="shared" si="68"/>
        <v>0</v>
      </c>
      <c r="F83" s="28">
        <v>0</v>
      </c>
      <c r="G83" s="28">
        <v>0</v>
      </c>
      <c r="H83" s="49">
        <v>0</v>
      </c>
      <c r="I83" s="29">
        <v>0</v>
      </c>
      <c r="J83" s="214"/>
      <c r="K83" s="214"/>
      <c r="L83" s="214"/>
      <c r="M83" s="28">
        <f t="shared" si="80"/>
        <v>0</v>
      </c>
      <c r="N83" s="76">
        <f t="shared" si="69"/>
        <v>0</v>
      </c>
      <c r="O83" s="28">
        <v>0</v>
      </c>
      <c r="P83" s="28">
        <v>0</v>
      </c>
      <c r="Q83" s="28">
        <v>0</v>
      </c>
      <c r="R83" s="29">
        <v>0</v>
      </c>
      <c r="U83" s="15"/>
      <c r="V83" s="15"/>
      <c r="AQ83" s="93" t="e">
        <f>#REF!</f>
        <v>#REF!</v>
      </c>
      <c r="AR83" s="93" t="e">
        <f t="shared" si="34"/>
        <v>#REF!</v>
      </c>
      <c r="AS83" s="97" t="e">
        <f t="shared" si="35"/>
        <v>#REF!</v>
      </c>
      <c r="AU83" s="28" t="e">
        <f t="shared" si="36"/>
        <v>#REF!</v>
      </c>
      <c r="AV83" s="28" t="e">
        <f>#REF!</f>
        <v>#REF!</v>
      </c>
      <c r="AW83" s="28" t="e">
        <f>#REF!</f>
        <v>#REF!</v>
      </c>
      <c r="AX83" s="28" t="e">
        <f>#REF!</f>
        <v>#REF!</v>
      </c>
      <c r="AY83" s="28" t="e">
        <f>#REF!</f>
        <v>#REF!</v>
      </c>
      <c r="AZ83" s="28" t="e">
        <f>#REF!</f>
        <v>#REF!</v>
      </c>
      <c r="BA83" s="28" t="e">
        <f>#REF!</f>
        <v>#REF!</v>
      </c>
    </row>
    <row r="84" spans="1:53" s="4" customFormat="1" ht="19.5" customHeight="1">
      <c r="A84" s="13"/>
      <c r="B84" s="18" t="s">
        <v>119</v>
      </c>
      <c r="C84" s="343" t="s">
        <v>9</v>
      </c>
      <c r="D84" s="28">
        <f t="shared" si="75"/>
        <v>7555.9349999999995</v>
      </c>
      <c r="E84" s="76">
        <f t="shared" si="68"/>
        <v>1684.6142180126062</v>
      </c>
      <c r="F84" s="28">
        <v>708.12696042204288</v>
      </c>
      <c r="G84" s="28">
        <v>976.48725759056322</v>
      </c>
      <c r="H84" s="49">
        <v>5367.6809386925306</v>
      </c>
      <c r="I84" s="29">
        <v>503.63984329486311</v>
      </c>
      <c r="J84" s="214"/>
      <c r="K84" s="214"/>
      <c r="L84" s="214"/>
      <c r="M84" s="28">
        <f>[52]СводПЗ!$C$84</f>
        <v>7555.9349999999995</v>
      </c>
      <c r="N84" s="76">
        <f t="shared" si="69"/>
        <v>1448.2835142434956</v>
      </c>
      <c r="O84" s="28">
        <f>$M$84*O90</f>
        <v>552.01782031764355</v>
      </c>
      <c r="P84" s="28">
        <f t="shared" ref="P84:R84" si="83">$M$84*P90</f>
        <v>896.26569392585202</v>
      </c>
      <c r="Q84" s="28">
        <f t="shared" si="83"/>
        <v>5816.501783684138</v>
      </c>
      <c r="R84" s="28">
        <f t="shared" si="83"/>
        <v>291.14970207236593</v>
      </c>
      <c r="U84" s="15"/>
      <c r="V84" s="15"/>
      <c r="AQ84" s="93" t="e">
        <f>#REF!</f>
        <v>#REF!</v>
      </c>
      <c r="AR84" s="93" t="e">
        <f t="shared" si="34"/>
        <v>#REF!</v>
      </c>
      <c r="AS84" s="97" t="e">
        <f t="shared" si="35"/>
        <v>#REF!</v>
      </c>
      <c r="AU84" s="28" t="e">
        <f t="shared" si="36"/>
        <v>#REF!</v>
      </c>
      <c r="AV84" s="28" t="e">
        <f>#REF!</f>
        <v>#REF!</v>
      </c>
      <c r="AW84" s="28" t="e">
        <f>#REF!</f>
        <v>#REF!</v>
      </c>
      <c r="AX84" s="28" t="e">
        <f>#REF!</f>
        <v>#REF!</v>
      </c>
      <c r="AY84" s="28" t="e">
        <f>#REF!</f>
        <v>#REF!</v>
      </c>
      <c r="AZ84" s="28" t="e">
        <f>#REF!</f>
        <v>#REF!</v>
      </c>
      <c r="BA84" s="28" t="e">
        <f>#REF!</f>
        <v>#REF!</v>
      </c>
    </row>
    <row r="85" spans="1:53" s="4" customFormat="1" ht="19.5" customHeight="1">
      <c r="A85" s="13"/>
      <c r="B85" s="18" t="s">
        <v>176</v>
      </c>
      <c r="C85" s="343"/>
      <c r="D85" s="28">
        <f t="shared" si="75"/>
        <v>10333.674999999999</v>
      </c>
      <c r="E85" s="76">
        <f t="shared" si="68"/>
        <v>2303.9181556381068</v>
      </c>
      <c r="F85" s="28">
        <v>968.45114042659895</v>
      </c>
      <c r="G85" s="28">
        <v>1335.4670152115077</v>
      </c>
      <c r="H85" s="49">
        <v>7340.9671105089619</v>
      </c>
      <c r="I85" s="29">
        <v>688.78973385293079</v>
      </c>
      <c r="J85" s="214"/>
      <c r="K85" s="214"/>
      <c r="L85" s="214"/>
      <c r="M85" s="28">
        <f>[52]СводПЗ!$C$85</f>
        <v>8757.2819999999992</v>
      </c>
      <c r="N85" s="76">
        <f t="shared" si="69"/>
        <v>1678.551648496355</v>
      </c>
      <c r="O85" s="28">
        <f>$M$85*O90</f>
        <v>639.78524451929957</v>
      </c>
      <c r="P85" s="28">
        <f t="shared" ref="P85:R85" si="84">$M$85*P90</f>
        <v>1038.7664039770555</v>
      </c>
      <c r="Q85" s="28">
        <f t="shared" si="84"/>
        <v>6741.2896449248165</v>
      </c>
      <c r="R85" s="28">
        <f t="shared" si="84"/>
        <v>337.44070657882747</v>
      </c>
      <c r="U85" s="15"/>
      <c r="V85" s="15"/>
      <c r="AQ85" s="93" t="e">
        <f>#REF!</f>
        <v>#REF!</v>
      </c>
      <c r="AR85" s="93" t="e">
        <f t="shared" si="34"/>
        <v>#REF!</v>
      </c>
      <c r="AS85" s="97" t="e">
        <f t="shared" si="35"/>
        <v>#REF!</v>
      </c>
      <c r="AU85" s="28" t="e">
        <f t="shared" si="36"/>
        <v>#REF!</v>
      </c>
      <c r="AV85" s="28" t="e">
        <f>#REF!</f>
        <v>#REF!</v>
      </c>
      <c r="AW85" s="28" t="e">
        <f>#REF!</f>
        <v>#REF!</v>
      </c>
      <c r="AX85" s="28" t="e">
        <f>#REF!</f>
        <v>#REF!</v>
      </c>
      <c r="AY85" s="28" t="e">
        <f>#REF!</f>
        <v>#REF!</v>
      </c>
      <c r="AZ85" s="28" t="e">
        <f>#REF!</f>
        <v>#REF!</v>
      </c>
      <c r="BA85" s="28" t="e">
        <f>#REF!</f>
        <v>#REF!</v>
      </c>
    </row>
    <row r="86" spans="1:53" s="4" customFormat="1" ht="19.5" customHeight="1">
      <c r="A86" s="341"/>
      <c r="B86" s="18" t="s">
        <v>167</v>
      </c>
      <c r="C86" s="343"/>
      <c r="D86" s="28">
        <f t="shared" si="75"/>
        <v>871.19999999999982</v>
      </c>
      <c r="E86" s="76">
        <f t="shared" si="68"/>
        <v>194.23617417732981</v>
      </c>
      <c r="F86" s="57">
        <v>81.647103623798216</v>
      </c>
      <c r="G86" s="57">
        <v>112.5890705535316</v>
      </c>
      <c r="H86" s="49">
        <v>618.89410559896714</v>
      </c>
      <c r="I86" s="58">
        <v>58.069720223702923</v>
      </c>
      <c r="J86" s="214"/>
      <c r="K86" s="214"/>
      <c r="L86" s="214"/>
      <c r="M86" s="28">
        <f>[52]СводПЗ!$C$86</f>
        <v>871.2</v>
      </c>
      <c r="N86" s="76">
        <f t="shared" si="69"/>
        <v>166.9872223105325</v>
      </c>
      <c r="O86" s="57">
        <f>$M$86*O90</f>
        <v>63.647705421067165</v>
      </c>
      <c r="P86" s="57">
        <f t="shared" ref="P86:R86" si="85">$M$86*P90</f>
        <v>103.33951688946534</v>
      </c>
      <c r="Q86" s="57">
        <f t="shared" si="85"/>
        <v>670.64319027964393</v>
      </c>
      <c r="R86" s="57">
        <f t="shared" si="85"/>
        <v>33.569587409823562</v>
      </c>
      <c r="U86" s="15"/>
      <c r="V86" s="15"/>
      <c r="AQ86" s="93" t="e">
        <f>#REF!</f>
        <v>#REF!</v>
      </c>
      <c r="AR86" s="93" t="e">
        <f t="shared" si="34"/>
        <v>#REF!</v>
      </c>
      <c r="AS86" s="97" t="e">
        <f t="shared" si="35"/>
        <v>#REF!</v>
      </c>
      <c r="AU86" s="28" t="e">
        <f t="shared" ref="AU86" si="86">SUM(AV86:BA86)</f>
        <v>#REF!</v>
      </c>
      <c r="AV86" s="28" t="e">
        <f>#REF!</f>
        <v>#REF!</v>
      </c>
      <c r="AW86" s="28" t="e">
        <f>#REF!</f>
        <v>#REF!</v>
      </c>
      <c r="AX86" s="28" t="e">
        <f>#REF!</f>
        <v>#REF!</v>
      </c>
      <c r="AY86" s="28" t="e">
        <f>#REF!</f>
        <v>#REF!</v>
      </c>
      <c r="AZ86" s="28" t="e">
        <f>#REF!</f>
        <v>#REF!</v>
      </c>
      <c r="BA86" s="28" t="e">
        <f>#REF!</f>
        <v>#REF!</v>
      </c>
    </row>
    <row r="87" spans="1:53" s="4" customFormat="1" ht="19.5" customHeight="1">
      <c r="A87" s="13"/>
      <c r="B87" s="18" t="s">
        <v>94</v>
      </c>
      <c r="C87" s="343" t="s">
        <v>9</v>
      </c>
      <c r="D87" s="28">
        <f t="shared" si="75"/>
        <v>3605.5003167014129</v>
      </c>
      <c r="E87" s="76">
        <f t="shared" si="68"/>
        <v>803.85512799728349</v>
      </c>
      <c r="F87" s="49">
        <v>337.90020428530477</v>
      </c>
      <c r="G87" s="49">
        <v>465.95492371197872</v>
      </c>
      <c r="H87" s="49">
        <v>2561.3210442398004</v>
      </c>
      <c r="I87" s="53">
        <v>240.3241444643289</v>
      </c>
      <c r="J87" s="214"/>
      <c r="K87" s="214"/>
      <c r="L87" s="214"/>
      <c r="M87" s="28">
        <f>[52]СводПЗ!$C$87</f>
        <v>3605.5003167014129</v>
      </c>
      <c r="N87" s="76">
        <f t="shared" si="69"/>
        <v>691.08411722418987</v>
      </c>
      <c r="O87" s="49">
        <f>$M$87*O90</f>
        <v>263.40888665401275</v>
      </c>
      <c r="P87" s="49">
        <f t="shared" ref="P87:R87" si="87">$M$87*P90</f>
        <v>427.67523057017712</v>
      </c>
      <c r="Q87" s="49">
        <f t="shared" si="87"/>
        <v>2775.4869547140747</v>
      </c>
      <c r="R87" s="49">
        <f t="shared" si="87"/>
        <v>138.92924476314809</v>
      </c>
      <c r="U87" s="15"/>
      <c r="V87" s="15"/>
      <c r="AQ87" s="93" t="e">
        <f>#REF!</f>
        <v>#REF!</v>
      </c>
      <c r="AR87" s="93" t="e">
        <f t="shared" si="34"/>
        <v>#REF!</v>
      </c>
      <c r="AS87" s="97" t="e">
        <f t="shared" si="35"/>
        <v>#REF!</v>
      </c>
      <c r="AU87" s="28" t="e">
        <f t="shared" si="36"/>
        <v>#REF!</v>
      </c>
      <c r="AV87" s="28" t="e">
        <f>#REF!</f>
        <v>#REF!</v>
      </c>
      <c r="AW87" s="28" t="e">
        <f>#REF!</f>
        <v>#REF!</v>
      </c>
      <c r="AX87" s="28" t="e">
        <f>#REF!</f>
        <v>#REF!</v>
      </c>
      <c r="AY87" s="28" t="e">
        <f>#REF!</f>
        <v>#REF!</v>
      </c>
      <c r="AZ87" s="28" t="e">
        <f>#REF!</f>
        <v>#REF!</v>
      </c>
      <c r="BA87" s="28" t="e">
        <f>#REF!</f>
        <v>#REF!</v>
      </c>
    </row>
    <row r="88" spans="1:53" s="4" customFormat="1" ht="35.25" customHeight="1">
      <c r="A88" s="13"/>
      <c r="B88" s="18" t="s">
        <v>157</v>
      </c>
      <c r="C88" s="343" t="s">
        <v>9</v>
      </c>
      <c r="D88" s="28">
        <f t="shared" si="75"/>
        <v>6382.8595199999991</v>
      </c>
      <c r="E88" s="76">
        <f t="shared" si="68"/>
        <v>1423.0741660653671</v>
      </c>
      <c r="F88" s="49">
        <v>598.18869679245518</v>
      </c>
      <c r="G88" s="49">
        <v>824.88546927291179</v>
      </c>
      <c r="H88" s="49">
        <v>4534.3367008657633</v>
      </c>
      <c r="I88" s="50">
        <v>425.44865306886902</v>
      </c>
      <c r="J88" s="214"/>
      <c r="K88" s="214"/>
      <c r="L88" s="214"/>
      <c r="M88" s="28">
        <f>[52]СводПЗ!$C$88</f>
        <v>6382.8595199999982</v>
      </c>
      <c r="N88" s="76">
        <f t="shared" si="69"/>
        <v>1223.4343223635658</v>
      </c>
      <c r="O88" s="49">
        <f>$M$88*O90</f>
        <v>466.31584305901521</v>
      </c>
      <c r="P88" s="49">
        <f t="shared" ref="P88:R88" si="88">$M$88*P90</f>
        <v>757.11847930455053</v>
      </c>
      <c r="Q88" s="49">
        <f t="shared" si="88"/>
        <v>4913.4771253438885</v>
      </c>
      <c r="R88" s="49">
        <f t="shared" si="88"/>
        <v>245.94807229254408</v>
      </c>
      <c r="U88" s="15"/>
      <c r="V88" s="15"/>
      <c r="AQ88" s="93" t="e">
        <f>#REF!</f>
        <v>#REF!</v>
      </c>
      <c r="AR88" s="93" t="e">
        <f t="shared" si="34"/>
        <v>#REF!</v>
      </c>
      <c r="AS88" s="97" t="e">
        <f t="shared" si="35"/>
        <v>#REF!</v>
      </c>
      <c r="AU88" s="28" t="e">
        <f t="shared" si="36"/>
        <v>#REF!</v>
      </c>
      <c r="AV88" s="28" t="e">
        <f>#REF!</f>
        <v>#REF!</v>
      </c>
      <c r="AW88" s="28" t="e">
        <f>#REF!</f>
        <v>#REF!</v>
      </c>
      <c r="AX88" s="28" t="e">
        <f>#REF!</f>
        <v>#REF!</v>
      </c>
      <c r="AY88" s="28" t="e">
        <f>#REF!</f>
        <v>#REF!</v>
      </c>
      <c r="AZ88" s="28" t="e">
        <f>#REF!</f>
        <v>#REF!</v>
      </c>
      <c r="BA88" s="28" t="e">
        <f>#REF!</f>
        <v>#REF!</v>
      </c>
    </row>
    <row r="89" spans="1:53" s="4" customFormat="1" ht="19.5" customHeight="1">
      <c r="A89" s="13"/>
      <c r="B89" s="18" t="s">
        <v>158</v>
      </c>
      <c r="C89" s="343" t="s">
        <v>9</v>
      </c>
      <c r="D89" s="28">
        <f t="shared" si="75"/>
        <v>312.42857142857139</v>
      </c>
      <c r="E89" s="76">
        <f t="shared" si="68"/>
        <v>69.656715355801566</v>
      </c>
      <c r="F89" s="49">
        <v>29.280174410541569</v>
      </c>
      <c r="G89" s="49">
        <v>40.376540945260004</v>
      </c>
      <c r="H89" s="49">
        <v>221.94697116373825</v>
      </c>
      <c r="I89" s="50">
        <v>20.824884909031599</v>
      </c>
      <c r="J89" s="214"/>
      <c r="K89" s="214"/>
      <c r="L89" s="214"/>
      <c r="M89" s="28">
        <f>[52]СводПЗ!$C$89</f>
        <v>312.42857142857144</v>
      </c>
      <c r="N89" s="76">
        <f t="shared" si="69"/>
        <v>59.884732912425321</v>
      </c>
      <c r="O89" s="49">
        <f>$M$89*O90</f>
        <v>22.825254452950592</v>
      </c>
      <c r="P89" s="49">
        <f t="shared" ref="P89:R89" si="89">$M$89*P90</f>
        <v>37.059478459474732</v>
      </c>
      <c r="Q89" s="49">
        <f t="shared" si="89"/>
        <v>240.50515826144255</v>
      </c>
      <c r="R89" s="49">
        <f t="shared" si="89"/>
        <v>12.03868025470355</v>
      </c>
      <c r="U89" s="15"/>
      <c r="V89" s="15"/>
      <c r="AQ89" s="93" t="e">
        <f>#REF!</f>
        <v>#REF!</v>
      </c>
      <c r="AR89" s="93" t="e">
        <f t="shared" si="34"/>
        <v>#REF!</v>
      </c>
      <c r="AS89" s="97" t="e">
        <f t="shared" si="35"/>
        <v>#REF!</v>
      </c>
      <c r="AU89" s="28" t="e">
        <f t="shared" si="36"/>
        <v>#REF!</v>
      </c>
      <c r="AV89" s="28" t="e">
        <f>#REF!</f>
        <v>#REF!</v>
      </c>
      <c r="AW89" s="28" t="e">
        <f>#REF!</f>
        <v>#REF!</v>
      </c>
      <c r="AX89" s="28" t="e">
        <f>#REF!</f>
        <v>#REF!</v>
      </c>
      <c r="AY89" s="28" t="e">
        <f>#REF!</f>
        <v>#REF!</v>
      </c>
      <c r="AZ89" s="28" t="e">
        <f>#REF!</f>
        <v>#REF!</v>
      </c>
      <c r="BA89" s="28" t="e">
        <f>#REF!</f>
        <v>#REF!</v>
      </c>
    </row>
    <row r="90" spans="1:53" s="4" customFormat="1" ht="37.5" customHeight="1">
      <c r="A90" s="107"/>
      <c r="B90" s="110" t="s">
        <v>184</v>
      </c>
      <c r="C90" s="108"/>
      <c r="D90" s="108">
        <f t="shared" si="75"/>
        <v>1</v>
      </c>
      <c r="E90" s="350">
        <v>0.22141716398731323</v>
      </c>
      <c r="F90" s="230">
        <f>F26/$D$26</f>
        <v>9.3072622588082576E-2</v>
      </c>
      <c r="G90" s="230">
        <f t="shared" ref="G90:I90" si="90">G26/$D$26</f>
        <v>0.12834454139923065</v>
      </c>
      <c r="H90" s="230">
        <f t="shared" si="90"/>
        <v>0.71211449062049514</v>
      </c>
      <c r="I90" s="230">
        <f t="shared" si="90"/>
        <v>6.6468345392191611E-2</v>
      </c>
      <c r="J90" s="231"/>
      <c r="K90" s="231"/>
      <c r="L90" s="231"/>
      <c r="M90" s="108">
        <f t="shared" si="80"/>
        <v>0.99999999999999989</v>
      </c>
      <c r="N90" s="108">
        <f>O90+P90</f>
        <v>0.19167495673844409</v>
      </c>
      <c r="O90" s="230">
        <f>[52]СводПЗ!$E$90</f>
        <v>7.3057513109581224E-2</v>
      </c>
      <c r="P90" s="230">
        <f>[52]СводПЗ!$F$90</f>
        <v>0.11861744362886288</v>
      </c>
      <c r="Q90" s="232">
        <f>[52]СводПЗ!$G$90+[52]СводПЗ!$H$90+[52]СводПЗ!$I$90</f>
        <v>0.76979245899867299</v>
      </c>
      <c r="R90" s="230">
        <f>[52]СводПЗ!$J$90</f>
        <v>3.8532584262882877E-2</v>
      </c>
      <c r="T90" s="197"/>
      <c r="U90" s="240"/>
      <c r="V90" s="240"/>
      <c r="W90" s="240"/>
      <c r="X90" s="240"/>
      <c r="Y90" s="240"/>
      <c r="Z90" s="240"/>
      <c r="AA90" s="240"/>
      <c r="AB90" s="240"/>
      <c r="AC90" s="197"/>
      <c r="AD90" s="197"/>
      <c r="AQ90" s="151" t="e">
        <f>AV90+AW90+AX90+AY90+AZ90+BA90</f>
        <v>#REF!</v>
      </c>
      <c r="AR90" s="93"/>
      <c r="AS90" s="97"/>
      <c r="AU90" s="108" t="e">
        <f>SUM(AV90:BA90)</f>
        <v>#REF!</v>
      </c>
      <c r="AV90" s="109" t="e">
        <f>#REF!</f>
        <v>#REF!</v>
      </c>
      <c r="AW90" s="109" t="e">
        <f>#REF!</f>
        <v>#REF!</v>
      </c>
      <c r="AX90" s="109" t="e">
        <f>#REF!</f>
        <v>#REF!</v>
      </c>
      <c r="AY90" s="109" t="e">
        <f>#REF!</f>
        <v>#REF!</v>
      </c>
      <c r="AZ90" s="109" t="e">
        <f>#REF!</f>
        <v>#REF!</v>
      </c>
      <c r="BA90" s="109" t="e">
        <f>#REF!</f>
        <v>#REF!</v>
      </c>
    </row>
    <row r="91" spans="1:53" s="4" customFormat="1" ht="37.5" customHeight="1">
      <c r="A91" s="107"/>
      <c r="B91" s="110" t="s">
        <v>185</v>
      </c>
      <c r="C91" s="108"/>
      <c r="D91" s="108">
        <f t="shared" si="75"/>
        <v>0.99999999999999989</v>
      </c>
      <c r="E91" s="351">
        <v>0.31614021648689933</v>
      </c>
      <c r="F91" s="230">
        <f>(F8+F33+F34)/($D$8+$D$33+$D$34)</f>
        <v>0.16079218264292713</v>
      </c>
      <c r="G91" s="230">
        <f t="shared" ref="G91:I91" si="91">(G8+G33+G34)/($D$8+$D$33+$D$34)</f>
        <v>0.15534803384397219</v>
      </c>
      <c r="H91" s="230">
        <f t="shared" si="91"/>
        <v>0.66071820773657308</v>
      </c>
      <c r="I91" s="230">
        <f t="shared" si="91"/>
        <v>2.3141575776527534E-2</v>
      </c>
      <c r="J91" s="231"/>
      <c r="K91" s="231"/>
      <c r="L91" s="231"/>
      <c r="M91" s="108">
        <f t="shared" si="80"/>
        <v>1</v>
      </c>
      <c r="N91" s="108">
        <f t="shared" ref="N91:N135" si="92">O91+P91</f>
        <v>0.27550259683408868</v>
      </c>
      <c r="O91" s="230">
        <f>(O8+O33+O34)/($M$8+$M$33+$M$34)</f>
        <v>0.1441540075696161</v>
      </c>
      <c r="P91" s="230">
        <f t="shared" ref="P91:R91" si="93">(P8+P33+P34)/($M$8+$M$33+$M$34)</f>
        <v>0.13134858926447257</v>
      </c>
      <c r="Q91" s="230">
        <f t="shared" si="93"/>
        <v>0.71306336489061084</v>
      </c>
      <c r="R91" s="230">
        <f t="shared" si="93"/>
        <v>1.1434038275300462E-2</v>
      </c>
      <c r="T91" s="235"/>
      <c r="U91" s="240"/>
      <c r="V91" s="240"/>
      <c r="W91" s="240"/>
      <c r="X91" s="240"/>
      <c r="Y91" s="240"/>
      <c r="Z91" s="240"/>
      <c r="AA91" s="240"/>
      <c r="AB91" s="240"/>
      <c r="AC91" s="196"/>
      <c r="AD91" s="196"/>
      <c r="AQ91" s="151" t="e">
        <f t="shared" ref="AQ91:AQ93" si="94">AV91+AW91+AX91+AY91+AZ91+BA91</f>
        <v>#REF!</v>
      </c>
      <c r="AR91" s="93"/>
      <c r="AS91" s="97"/>
      <c r="AU91" s="108" t="e">
        <f t="shared" ref="AU91:AU93" si="95">SUM(AV91:BA91)</f>
        <v>#REF!</v>
      </c>
      <c r="AV91" s="109" t="e">
        <f>#REF!</f>
        <v>#REF!</v>
      </c>
      <c r="AW91" s="109" t="e">
        <f>#REF!</f>
        <v>#REF!</v>
      </c>
      <c r="AX91" s="109" t="e">
        <f>#REF!</f>
        <v>#REF!</v>
      </c>
      <c r="AY91" s="109" t="e">
        <f>#REF!</f>
        <v>#REF!</v>
      </c>
      <c r="AZ91" s="109" t="e">
        <f>#REF!</f>
        <v>#REF!</v>
      </c>
      <c r="BA91" s="109" t="e">
        <f>#REF!</f>
        <v>#REF!</v>
      </c>
    </row>
    <row r="92" spans="1:53" s="4" customFormat="1" ht="37.5" customHeight="1">
      <c r="A92" s="107"/>
      <c r="B92" s="150" t="s">
        <v>186</v>
      </c>
      <c r="C92" s="108"/>
      <c r="D92" s="108">
        <f t="shared" si="75"/>
        <v>1</v>
      </c>
      <c r="E92" s="351">
        <v>0.77818673393708715</v>
      </c>
      <c r="F92" s="230">
        <f>F32/$D$32</f>
        <v>0.44185279533405847</v>
      </c>
      <c r="G92" s="230">
        <f t="shared" ref="G92:I92" si="96">G32/$D$32</f>
        <v>0.33633393860302885</v>
      </c>
      <c r="H92" s="230">
        <f t="shared" si="96"/>
        <v>0.20118077713725555</v>
      </c>
      <c r="I92" s="230">
        <f t="shared" si="96"/>
        <v>2.0632488925657149E-2</v>
      </c>
      <c r="J92" s="231"/>
      <c r="K92" s="231"/>
      <c r="L92" s="231"/>
      <c r="M92" s="108">
        <f t="shared" si="80"/>
        <v>1</v>
      </c>
      <c r="N92" s="108">
        <f t="shared" si="92"/>
        <v>0.7563223091113116</v>
      </c>
      <c r="O92" s="230">
        <f>[52]СводПЗ!$E$92</f>
        <v>0.44306471617732801</v>
      </c>
      <c r="P92" s="230">
        <f>[52]СводПЗ!$F$92</f>
        <v>0.31325759293398353</v>
      </c>
      <c r="Q92" s="230">
        <f>[52]СводПЗ!$G$92+[52]СводПЗ!$H$92+[52]СводПЗ!$I$92</f>
        <v>0.2399248319148011</v>
      </c>
      <c r="R92" s="233">
        <f>[52]СводПЗ!$J$92</f>
        <v>3.7528589738874203E-3</v>
      </c>
      <c r="T92" s="236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Q92" s="151" t="e">
        <f t="shared" si="94"/>
        <v>#REF!</v>
      </c>
      <c r="AR92" s="93"/>
      <c r="AS92" s="97"/>
      <c r="AU92" s="108" t="e">
        <f t="shared" si="95"/>
        <v>#REF!</v>
      </c>
      <c r="AV92" s="109" t="e">
        <f>#REF!</f>
        <v>#REF!</v>
      </c>
      <c r="AW92" s="109" t="e">
        <f>#REF!</f>
        <v>#REF!</v>
      </c>
      <c r="AX92" s="109" t="e">
        <f>#REF!</f>
        <v>#REF!</v>
      </c>
      <c r="AY92" s="109" t="e">
        <f>#REF!</f>
        <v>#REF!</v>
      </c>
      <c r="AZ92" s="109" t="e">
        <f>#REF!</f>
        <v>#REF!</v>
      </c>
      <c r="BA92" s="109" t="e">
        <f>#REF!</f>
        <v>#REF!</v>
      </c>
    </row>
    <row r="93" spans="1:53" s="4" customFormat="1" ht="37.5" customHeight="1">
      <c r="A93" s="107"/>
      <c r="B93" s="150" t="s">
        <v>202</v>
      </c>
      <c r="C93" s="108"/>
      <c r="D93" s="108">
        <f t="shared" ref="D93" si="97">SUM(F93:I93)</f>
        <v>1</v>
      </c>
      <c r="E93" s="351">
        <v>0.90328307817684383</v>
      </c>
      <c r="F93" s="230">
        <v>0.3585191221840619</v>
      </c>
      <c r="G93" s="230">
        <v>0.54476395599278193</v>
      </c>
      <c r="H93" s="230">
        <v>9.6716921823156166E-2</v>
      </c>
      <c r="I93" s="230">
        <v>0</v>
      </c>
      <c r="J93" s="231"/>
      <c r="K93" s="231"/>
      <c r="L93" s="231"/>
      <c r="M93" s="108">
        <f t="shared" ref="M93" si="98">SUM(O93:R93)</f>
        <v>1</v>
      </c>
      <c r="N93" s="108">
        <f t="shared" si="92"/>
        <v>0.90328307817684383</v>
      </c>
      <c r="O93" s="230">
        <f>[52]Вед.пути!$H$3</f>
        <v>0.3585191221840619</v>
      </c>
      <c r="P93" s="230">
        <f>[52]Вед.пути!$I$3</f>
        <v>0.54476395599278193</v>
      </c>
      <c r="Q93" s="232">
        <f>[52]Вед.пути!$J$3+[52]Вед.пути!$K$3+[52]Вед.пути!$L$3</f>
        <v>9.6716921823156166E-2</v>
      </c>
      <c r="R93" s="233">
        <f>[52]Вед.пути!$M$3</f>
        <v>0</v>
      </c>
      <c r="T93" s="234"/>
      <c r="U93" s="234"/>
      <c r="V93" s="234"/>
      <c r="W93" s="234"/>
      <c r="AQ93" s="151" t="e">
        <f t="shared" si="94"/>
        <v>#REF!</v>
      </c>
      <c r="AR93" s="93"/>
      <c r="AS93" s="97"/>
      <c r="AU93" s="108" t="e">
        <f t="shared" si="95"/>
        <v>#REF!</v>
      </c>
      <c r="AV93" s="109" t="e">
        <f>#REF!</f>
        <v>#REF!</v>
      </c>
      <c r="AW93" s="109" t="e">
        <f>#REF!</f>
        <v>#REF!</v>
      </c>
      <c r="AX93" s="109" t="e">
        <f>#REF!</f>
        <v>#REF!</v>
      </c>
      <c r="AY93" s="109" t="e">
        <f>#REF!</f>
        <v>#REF!</v>
      </c>
      <c r="AZ93" s="109" t="e">
        <f>#REF!</f>
        <v>#REF!</v>
      </c>
      <c r="BA93" s="109" t="e">
        <f>#REF!</f>
        <v>#REF!</v>
      </c>
    </row>
    <row r="94" spans="1:53" s="4" customFormat="1" ht="39.75" customHeight="1">
      <c r="A94" s="19" t="s">
        <v>45</v>
      </c>
      <c r="B94" s="17" t="s">
        <v>274</v>
      </c>
      <c r="C94" s="211" t="s">
        <v>9</v>
      </c>
      <c r="D94" s="27">
        <f>D95+D135</f>
        <v>3278689.6052555027</v>
      </c>
      <c r="E94" s="70">
        <f t="shared" si="68"/>
        <v>2433207.8870612094</v>
      </c>
      <c r="F94" s="27">
        <f>F95+F135</f>
        <v>1374586.8400986097</v>
      </c>
      <c r="G94" s="27">
        <f>G95+G135</f>
        <v>1058621.0469626</v>
      </c>
      <c r="H94" s="27">
        <f>H95+H135</f>
        <v>768102.16992851906</v>
      </c>
      <c r="I94" s="27">
        <f>I95+I135</f>
        <v>77379.548265773759</v>
      </c>
      <c r="J94" s="6"/>
      <c r="K94" s="6"/>
      <c r="L94" s="6"/>
      <c r="M94" s="27">
        <f>M95+M135</f>
        <v>3262321.8106989665</v>
      </c>
      <c r="N94" s="70">
        <f t="shared" si="92"/>
        <v>2353664.1920274142</v>
      </c>
      <c r="O94" s="27">
        <f>O95+O135</f>
        <v>1371709.6119005743</v>
      </c>
      <c r="P94" s="27">
        <f>P95+P135</f>
        <v>981954.58012684004</v>
      </c>
      <c r="Q94" s="27">
        <f>Q95+Q135</f>
        <v>889491.33523575694</v>
      </c>
      <c r="R94" s="27">
        <f>R95+R135</f>
        <v>19166.283435795147</v>
      </c>
      <c r="T94" s="15"/>
      <c r="U94" s="317"/>
      <c r="V94" s="317"/>
      <c r="W94" s="317"/>
      <c r="X94" s="317"/>
      <c r="Y94" s="317"/>
      <c r="Z94" s="317"/>
      <c r="AA94" s="317"/>
      <c r="AB94" s="317"/>
      <c r="AC94" s="15"/>
      <c r="AD94" s="241"/>
      <c r="AQ94" s="99" t="e">
        <f>AQ95+AQ135</f>
        <v>#REF!</v>
      </c>
      <c r="AR94" s="91" t="e">
        <f>D94-AQ94</f>
        <v>#REF!</v>
      </c>
      <c r="AS94" s="105" t="e">
        <f>100%-(AQ94/D94)</f>
        <v>#REF!</v>
      </c>
      <c r="AU94" s="27" t="e">
        <f t="shared" ref="AU94:BA94" si="99">AU95+AU135</f>
        <v>#REF!</v>
      </c>
      <c r="AV94" s="27" t="e">
        <f t="shared" si="99"/>
        <v>#REF!</v>
      </c>
      <c r="AW94" s="27" t="e">
        <f t="shared" si="99"/>
        <v>#REF!</v>
      </c>
      <c r="AX94" s="27" t="e">
        <f t="shared" si="99"/>
        <v>#REF!</v>
      </c>
      <c r="AY94" s="27" t="e">
        <f t="shared" si="99"/>
        <v>#REF!</v>
      </c>
      <c r="AZ94" s="27" t="e">
        <f t="shared" si="99"/>
        <v>#REF!</v>
      </c>
      <c r="BA94" s="27" t="e">
        <f t="shared" si="99"/>
        <v>#REF!</v>
      </c>
    </row>
    <row r="95" spans="1:53" s="4" customFormat="1" ht="42" customHeight="1">
      <c r="A95" s="19" t="s">
        <v>46</v>
      </c>
      <c r="B95" s="17" t="s">
        <v>47</v>
      </c>
      <c r="C95" s="211" t="s">
        <v>9</v>
      </c>
      <c r="D95" s="27">
        <f>D97+D98+D99+D100+D101+D107+D108+D109+D112+D113+D114+D117</f>
        <v>218490.58824175212</v>
      </c>
      <c r="E95" s="70">
        <f t="shared" si="68"/>
        <v>51801.608813794148</v>
      </c>
      <c r="F95" s="27">
        <f>F97+F98+F99+F100+F101+F107+F108+F109+F112+F113+F114+F117</f>
        <v>22429.350152546129</v>
      </c>
      <c r="G95" s="27">
        <f>G97+G98+G99+G100+G101+G107+G108+G109+G112+G113+G114+G117</f>
        <v>29372.258661248019</v>
      </c>
      <c r="H95" s="27">
        <f>H97+H98+H99+H100+H101+H107+H108+H109+H112+H113+H114+H117</f>
        <v>152448.95349102729</v>
      </c>
      <c r="I95" s="27">
        <f>I97+I98+I99+I100+I101+I107+I108+I109+I112+I113+I114+I117</f>
        <v>14240.025936930659</v>
      </c>
      <c r="J95" s="6"/>
      <c r="K95" s="6"/>
      <c r="L95" s="6"/>
      <c r="M95" s="27">
        <f>M97+M98+M99+M100+M101+M107+M108+M109+M112+M113+M114+M117</f>
        <v>201936.93746096574</v>
      </c>
      <c r="N95" s="70">
        <f t="shared" si="92"/>
        <v>39026.837930721347</v>
      </c>
      <c r="O95" s="27">
        <f>O97+O98+O99+O100+O101+O107+O108+O109+O112+O113+O114+O117</f>
        <v>15761.056645991628</v>
      </c>
      <c r="P95" s="27">
        <f>P97+P98+P99+P100+P101+P107+P108+P109+P112+P113+P114+P117</f>
        <v>23265.781284729721</v>
      </c>
      <c r="Q95" s="27">
        <f>Q97+Q98+Q99+Q100+Q101+Q107+Q108+Q109+Q112+Q113+Q114+Q117</f>
        <v>155229.00892952981</v>
      </c>
      <c r="R95" s="27">
        <f>R97+R98+R99+R100+R101+R107+R108+R109+R112+R113+R114+R117</f>
        <v>7681.0906007146014</v>
      </c>
      <c r="T95" s="15"/>
      <c r="U95" s="317"/>
      <c r="V95" s="317"/>
      <c r="W95" s="317"/>
      <c r="X95" s="317"/>
      <c r="Y95" s="317"/>
      <c r="Z95" s="317"/>
      <c r="AA95" s="317"/>
      <c r="AB95" s="317"/>
      <c r="AC95" s="15"/>
      <c r="AD95" s="15"/>
      <c r="AQ95" s="99" t="e">
        <f>AQ97+AQ98+AQ99+AQ100+AQ101+AQ107+AQ108+AQ109+AQ112+AQ113+AQ114+AQ117</f>
        <v>#REF!</v>
      </c>
      <c r="AR95" s="91" t="e">
        <f>D95-AQ95</f>
        <v>#REF!</v>
      </c>
      <c r="AS95" s="98" t="e">
        <f>100%-(AQ95/D95)</f>
        <v>#REF!</v>
      </c>
      <c r="AU95" s="27" t="e">
        <f t="shared" ref="AU95:BA95" si="100">AU97+AU98+AU99+AU100+AU101+AU107+AU108+AU109+AU112+AU113+AU114+AU117</f>
        <v>#REF!</v>
      </c>
      <c r="AV95" s="27" t="e">
        <f t="shared" si="100"/>
        <v>#REF!</v>
      </c>
      <c r="AW95" s="27" t="e">
        <f t="shared" si="100"/>
        <v>#REF!</v>
      </c>
      <c r="AX95" s="27" t="e">
        <f t="shared" si="100"/>
        <v>#REF!</v>
      </c>
      <c r="AY95" s="27" t="e">
        <f t="shared" si="100"/>
        <v>#REF!</v>
      </c>
      <c r="AZ95" s="27" t="e">
        <f t="shared" si="100"/>
        <v>#REF!</v>
      </c>
      <c r="BA95" s="27" t="e">
        <f t="shared" si="100"/>
        <v>#REF!</v>
      </c>
    </row>
    <row r="96" spans="1:53" s="4" customFormat="1">
      <c r="A96" s="13"/>
      <c r="B96" s="12" t="s">
        <v>7</v>
      </c>
      <c r="C96" s="211"/>
      <c r="D96" s="25"/>
      <c r="E96" s="74">
        <f t="shared" si="68"/>
        <v>0</v>
      </c>
      <c r="F96" s="25"/>
      <c r="G96" s="25"/>
      <c r="H96" s="25"/>
      <c r="I96" s="33"/>
      <c r="M96" s="25"/>
      <c r="N96" s="74">
        <f t="shared" si="92"/>
        <v>0</v>
      </c>
      <c r="O96" s="25"/>
      <c r="P96" s="25"/>
      <c r="Q96" s="25"/>
      <c r="R96" s="33"/>
      <c r="T96" s="15"/>
      <c r="U96" s="317"/>
      <c r="V96" s="317"/>
      <c r="W96" s="317"/>
      <c r="X96" s="317"/>
      <c r="Y96" s="317"/>
      <c r="Z96" s="317"/>
      <c r="AA96" s="317"/>
      <c r="AB96" s="317"/>
      <c r="AC96" s="15"/>
      <c r="AD96" s="15"/>
      <c r="AQ96" s="92"/>
      <c r="AR96" s="92"/>
      <c r="AS96" s="97"/>
      <c r="AU96" s="25"/>
      <c r="AV96" s="25"/>
      <c r="AW96" s="25"/>
      <c r="AX96" s="25"/>
      <c r="AY96" s="32"/>
      <c r="AZ96" s="33"/>
      <c r="BA96" s="33"/>
    </row>
    <row r="97" spans="1:53" s="4" customFormat="1" ht="39.75" customHeight="1">
      <c r="A97" s="13" t="s">
        <v>49</v>
      </c>
      <c r="B97" s="12" t="s">
        <v>48</v>
      </c>
      <c r="C97" s="211" t="s">
        <v>9</v>
      </c>
      <c r="D97" s="25">
        <f>SUM(F97:I97)</f>
        <v>131547.80799999999</v>
      </c>
      <c r="E97" s="74">
        <f t="shared" si="68"/>
        <v>29328.906046067423</v>
      </c>
      <c r="F97" s="25">
        <v>12328.394755807522</v>
      </c>
      <c r="G97" s="25">
        <v>17000.511290259903</v>
      </c>
      <c r="H97" s="33">
        <v>93450.600293462659</v>
      </c>
      <c r="I97" s="33">
        <v>8768.3016604699133</v>
      </c>
      <c r="M97" s="25">
        <f>O97+P97+Q97+R97</f>
        <v>128389.69632243537</v>
      </c>
      <c r="N97" s="74">
        <f t="shared" si="92"/>
        <v>22061.533742952193</v>
      </c>
      <c r="O97" s="25">
        <v>8408.8230307654412</v>
      </c>
      <c r="P97" s="25">
        <v>13652.710712186752</v>
      </c>
      <c r="Q97" s="25">
        <v>101259.53465775032</v>
      </c>
      <c r="R97" s="25">
        <v>5068.627921732862</v>
      </c>
      <c r="T97" s="15"/>
      <c r="U97" s="15">
        <v>9610.0834637319367</v>
      </c>
      <c r="V97" s="15">
        <v>15603.097956784799</v>
      </c>
      <c r="W97" s="15" t="s">
        <v>277</v>
      </c>
      <c r="X97" s="15"/>
      <c r="AC97" s="15"/>
      <c r="AD97" s="15"/>
      <c r="AQ97" s="92" t="e">
        <f>#REF!</f>
        <v>#REF!</v>
      </c>
      <c r="AR97" s="92" t="e">
        <f>D97-AQ97</f>
        <v>#REF!</v>
      </c>
      <c r="AS97" s="97" t="e">
        <f>100%-(AQ97/D97)</f>
        <v>#REF!</v>
      </c>
      <c r="AU97" s="25" t="e">
        <f t="shared" ref="AU97:AU99" si="101">SUM(AV97:BA97)</f>
        <v>#REF!</v>
      </c>
      <c r="AV97" s="25" t="e">
        <f>#REF!</f>
        <v>#REF!</v>
      </c>
      <c r="AW97" s="25" t="e">
        <f>#REF!</f>
        <v>#REF!</v>
      </c>
      <c r="AX97" s="25" t="e">
        <f>#REF!</f>
        <v>#REF!</v>
      </c>
      <c r="AY97" s="25" t="e">
        <f>#REF!</f>
        <v>#REF!</v>
      </c>
      <c r="AZ97" s="25" t="e">
        <f>#REF!</f>
        <v>#REF!</v>
      </c>
      <c r="BA97" s="25" t="e">
        <f>#REF!</f>
        <v>#REF!</v>
      </c>
    </row>
    <row r="98" spans="1:53" s="4" customFormat="1" ht="24.75" customHeight="1">
      <c r="A98" s="13" t="s">
        <v>50</v>
      </c>
      <c r="B98" s="12" t="s">
        <v>20</v>
      </c>
      <c r="C98" s="211" t="s">
        <v>9</v>
      </c>
      <c r="D98" s="25">
        <f>SUM(F98:I98)</f>
        <v>13023.232991999999</v>
      </c>
      <c r="E98" s="70"/>
      <c r="F98" s="25">
        <v>1220.5110808249447</v>
      </c>
      <c r="G98" s="25">
        <v>1683.0506177357304</v>
      </c>
      <c r="H98" s="33">
        <v>9251.6094290528017</v>
      </c>
      <c r="I98" s="33">
        <v>868.06186438652139</v>
      </c>
      <c r="M98" s="25">
        <f>O98+P98+Q98+R98</f>
        <v>12710.579935921105</v>
      </c>
      <c r="N98" s="70"/>
      <c r="O98" s="25">
        <v>832.47348004577873</v>
      </c>
      <c r="P98" s="25">
        <v>1351.6183605064884</v>
      </c>
      <c r="Q98" s="25">
        <v>10024.693931117283</v>
      </c>
      <c r="R98" s="25">
        <v>501.79416425155341</v>
      </c>
      <c r="T98" s="15"/>
      <c r="U98" s="15">
        <v>8408.8230307654449</v>
      </c>
      <c r="V98" s="15">
        <v>13652.710712186761</v>
      </c>
      <c r="W98" s="15" t="s">
        <v>278</v>
      </c>
      <c r="X98" s="15">
        <f>U97-U98</f>
        <v>1201.2604329664919</v>
      </c>
      <c r="Y98" s="15">
        <f>V97-V98</f>
        <v>1950.3872445980378</v>
      </c>
      <c r="AC98" s="15"/>
      <c r="AD98" s="15"/>
      <c r="AQ98" s="92" t="e">
        <f>#REF!</f>
        <v>#REF!</v>
      </c>
      <c r="AR98" s="92" t="e">
        <f>D98-AQ98</f>
        <v>#REF!</v>
      </c>
      <c r="AS98" s="97" t="e">
        <f>100%-(AQ98/D98)</f>
        <v>#REF!</v>
      </c>
      <c r="AU98" s="25" t="e">
        <f t="shared" si="101"/>
        <v>#REF!</v>
      </c>
      <c r="AV98" s="25" t="e">
        <f>#REF!</f>
        <v>#REF!</v>
      </c>
      <c r="AW98" s="25" t="e">
        <f>#REF!</f>
        <v>#REF!</v>
      </c>
      <c r="AX98" s="25" t="e">
        <f>#REF!</f>
        <v>#REF!</v>
      </c>
      <c r="AY98" s="25" t="e">
        <f>#REF!</f>
        <v>#REF!</v>
      </c>
      <c r="AZ98" s="25" t="e">
        <f>#REF!</f>
        <v>#REF!</v>
      </c>
      <c r="BA98" s="25" t="e">
        <f>#REF!</f>
        <v>#REF!</v>
      </c>
    </row>
    <row r="99" spans="1:53" s="4" customFormat="1" ht="25.5" customHeight="1">
      <c r="A99" s="341" t="s">
        <v>51</v>
      </c>
      <c r="B99" s="59" t="s">
        <v>161</v>
      </c>
      <c r="C99" s="342"/>
      <c r="D99" s="25">
        <f>SUM(F99:I99)</f>
        <v>1246.3063199999999</v>
      </c>
      <c r="E99" s="76">
        <f t="shared" si="68"/>
        <v>277.86704711871778</v>
      </c>
      <c r="F99" s="60">
        <v>116.80130998167428</v>
      </c>
      <c r="G99" s="60">
        <v>161.06573713704353</v>
      </c>
      <c r="H99" s="33">
        <v>885.36689074694698</v>
      </c>
      <c r="I99" s="61">
        <v>83.072382134335129</v>
      </c>
      <c r="M99" s="25">
        <f>'[53]Свод АУП'!$C$14</f>
        <v>623.15316000000007</v>
      </c>
      <c r="N99" s="76">
        <f t="shared" si="92"/>
        <v>119.44285498442474</v>
      </c>
      <c r="O99" s="60">
        <f>$M$99*O90</f>
        <v>45.526020155976973</v>
      </c>
      <c r="P99" s="60">
        <f t="shared" ref="P99:R99" si="102">$M$99*P90</f>
        <v>73.916834828447776</v>
      </c>
      <c r="Q99" s="60">
        <f t="shared" si="102"/>
        <v>479.69860336919356</v>
      </c>
      <c r="R99" s="60">
        <f t="shared" si="102"/>
        <v>24.011701646381738</v>
      </c>
      <c r="T99" s="15"/>
      <c r="U99" s="15">
        <v>7207.5625977989512</v>
      </c>
      <c r="V99" s="15">
        <v>11702.323467588649</v>
      </c>
      <c r="W99" s="15" t="s">
        <v>279</v>
      </c>
      <c r="X99" s="15">
        <f>U98-U99</f>
        <v>1201.2604329664937</v>
      </c>
      <c r="Y99" s="15">
        <f>V98-V99</f>
        <v>1950.3872445981124</v>
      </c>
      <c r="AC99" s="15"/>
      <c r="AD99" s="15"/>
      <c r="AQ99" s="92" t="e">
        <f>#REF!</f>
        <v>#REF!</v>
      </c>
      <c r="AR99" s="92" t="e">
        <f>D99-AQ99</f>
        <v>#REF!</v>
      </c>
      <c r="AS99" s="97" t="e">
        <f>100%-(AQ99/D99)</f>
        <v>#REF!</v>
      </c>
      <c r="AU99" s="25" t="e">
        <f t="shared" si="101"/>
        <v>#REF!</v>
      </c>
      <c r="AV99" s="25" t="e">
        <f>#REF!</f>
        <v>#REF!</v>
      </c>
      <c r="AW99" s="25" t="e">
        <f>#REF!</f>
        <v>#REF!</v>
      </c>
      <c r="AX99" s="25" t="e">
        <f>#REF!</f>
        <v>#REF!</v>
      </c>
      <c r="AY99" s="25" t="e">
        <f>#REF!</f>
        <v>#REF!</v>
      </c>
      <c r="AZ99" s="25" t="e">
        <f>#REF!</f>
        <v>#REF!</v>
      </c>
      <c r="BA99" s="25" t="e">
        <f>#REF!</f>
        <v>#REF!</v>
      </c>
    </row>
    <row r="100" spans="1:53" s="4" customFormat="1" ht="39.75" customHeight="1">
      <c r="A100" s="13" t="s">
        <v>51</v>
      </c>
      <c r="B100" s="12" t="s">
        <v>22</v>
      </c>
      <c r="C100" s="43" t="s">
        <v>9</v>
      </c>
      <c r="D100" s="25">
        <f>SUM(F100:I100)</f>
        <v>5232.0325734999969</v>
      </c>
      <c r="E100" s="76">
        <f t="shared" si="68"/>
        <v>4071.4983402244161</v>
      </c>
      <c r="F100" s="35">
        <v>2311.7882178798213</v>
      </c>
      <c r="G100" s="35">
        <v>1759.710122344595</v>
      </c>
      <c r="H100" s="33">
        <v>1052.5843791441646</v>
      </c>
      <c r="I100" s="35">
        <v>107.94985413141616</v>
      </c>
      <c r="M100" s="25">
        <f>'[53]Свод АУП'!$C$15</f>
        <v>5232.0325435000004</v>
      </c>
      <c r="N100" s="76">
        <f t="shared" si="92"/>
        <v>3957.1029346454488</v>
      </c>
      <c r="O100" s="35">
        <f>$M$100*O92</f>
        <v>2318.1290139163712</v>
      </c>
      <c r="P100" s="35">
        <f>$M$100*P92</f>
        <v>1638.9739207290777</v>
      </c>
      <c r="Q100" s="35">
        <f t="shared" ref="Q100:R100" si="103">$M$100*Q92</f>
        <v>1255.2945285720068</v>
      </c>
      <c r="R100" s="35">
        <f t="shared" si="103"/>
        <v>19.635080282545001</v>
      </c>
      <c r="T100" s="15"/>
      <c r="U100" s="15"/>
      <c r="V100" s="15"/>
      <c r="W100" s="15"/>
      <c r="X100" s="15"/>
      <c r="AC100" s="15"/>
      <c r="AD100" s="15"/>
      <c r="AQ100" s="92" t="e">
        <f>#REF!</f>
        <v>#REF!</v>
      </c>
      <c r="AR100" s="92" t="e">
        <f>D100-AQ100</f>
        <v>#REF!</v>
      </c>
      <c r="AS100" s="97" t="e">
        <f>100%-(AQ100/D100)</f>
        <v>#REF!</v>
      </c>
      <c r="AU100" s="25" t="e">
        <f>SUM(AV100:BA100)</f>
        <v>#REF!</v>
      </c>
      <c r="AV100" s="25" t="e">
        <f>#REF!</f>
        <v>#REF!</v>
      </c>
      <c r="AW100" s="25" t="e">
        <f>#REF!</f>
        <v>#REF!</v>
      </c>
      <c r="AX100" s="25" t="e">
        <f>#REF!</f>
        <v>#REF!</v>
      </c>
      <c r="AY100" s="25" t="e">
        <f>#REF!</f>
        <v>#REF!</v>
      </c>
      <c r="AZ100" s="25" t="e">
        <f>#REF!</f>
        <v>#REF!</v>
      </c>
      <c r="BA100" s="25" t="e">
        <f>#REF!</f>
        <v>#REF!</v>
      </c>
    </row>
    <row r="101" spans="1:53" s="4" customFormat="1" ht="30.75" customHeight="1">
      <c r="A101" s="13" t="s">
        <v>54</v>
      </c>
      <c r="B101" s="12" t="s">
        <v>39</v>
      </c>
      <c r="C101" s="211" t="s">
        <v>9</v>
      </c>
      <c r="D101" s="25">
        <f>SUM(D103:D106)</f>
        <v>25588.812061714285</v>
      </c>
      <c r="E101" s="76">
        <f t="shared" si="68"/>
        <v>5705.0883340336259</v>
      </c>
      <c r="F101" s="25">
        <f t="shared" ref="F101:AQ101" si="104">SUM(F103:F106)</f>
        <v>2398.131760804275</v>
      </c>
      <c r="G101" s="25">
        <f t="shared" si="104"/>
        <v>3306.9565732293504</v>
      </c>
      <c r="H101" s="25">
        <f t="shared" si="104"/>
        <v>18178.104860278614</v>
      </c>
      <c r="I101" s="25">
        <f t="shared" si="104"/>
        <v>1705.618867402047</v>
      </c>
      <c r="M101" s="25">
        <f>SUM(M103:M106)</f>
        <v>25588.812061714285</v>
      </c>
      <c r="N101" s="76">
        <f t="shared" si="92"/>
        <v>4904.7344449172633</v>
      </c>
      <c r="O101" s="25">
        <f t="shared" ref="O101:R101" si="105">SUM(O103:O106)</f>
        <v>1869.4549726573016</v>
      </c>
      <c r="P101" s="25">
        <f t="shared" si="105"/>
        <v>3035.2794722599615</v>
      </c>
      <c r="Q101" s="25">
        <f t="shared" si="105"/>
        <v>19698.074559841945</v>
      </c>
      <c r="R101" s="25">
        <f t="shared" si="105"/>
        <v>986.0030569550795</v>
      </c>
      <c r="T101" s="15"/>
      <c r="X101" s="15"/>
      <c r="AC101" s="15"/>
      <c r="AD101" s="15"/>
      <c r="AQ101" s="101" t="e">
        <f t="shared" si="104"/>
        <v>#REF!</v>
      </c>
      <c r="AR101" s="92" t="e">
        <f>D101-AQ101</f>
        <v>#REF!</v>
      </c>
      <c r="AS101" s="97" t="e">
        <f>100%-(AQ101/D101)</f>
        <v>#REF!</v>
      </c>
      <c r="AU101" s="25" t="e">
        <f>SUM(AU103:AU106)</f>
        <v>#REF!</v>
      </c>
      <c r="AV101" s="25" t="e">
        <f t="shared" ref="AV101:BA101" si="106">SUM(AV103:AV106)</f>
        <v>#REF!</v>
      </c>
      <c r="AW101" s="25" t="e">
        <f t="shared" si="106"/>
        <v>#REF!</v>
      </c>
      <c r="AX101" s="25" t="e">
        <f t="shared" si="106"/>
        <v>#REF!</v>
      </c>
      <c r="AY101" s="25" t="e">
        <f t="shared" si="106"/>
        <v>#REF!</v>
      </c>
      <c r="AZ101" s="25" t="e">
        <f t="shared" si="106"/>
        <v>#REF!</v>
      </c>
      <c r="BA101" s="25" t="e">
        <f t="shared" si="106"/>
        <v>#REF!</v>
      </c>
    </row>
    <row r="102" spans="1:53" s="4" customFormat="1">
      <c r="A102" s="13"/>
      <c r="B102" s="12" t="s">
        <v>7</v>
      </c>
      <c r="C102" s="211"/>
      <c r="D102" s="25"/>
      <c r="E102" s="76">
        <f t="shared" si="68"/>
        <v>0</v>
      </c>
      <c r="F102" s="25"/>
      <c r="G102" s="25"/>
      <c r="H102" s="25"/>
      <c r="I102" s="33"/>
      <c r="M102" s="25"/>
      <c r="N102" s="76">
        <f t="shared" si="92"/>
        <v>0</v>
      </c>
      <c r="O102" s="25"/>
      <c r="P102" s="25"/>
      <c r="Q102" s="25"/>
      <c r="R102" s="33"/>
      <c r="T102" s="15"/>
      <c r="W102" s="15"/>
      <c r="X102" s="15"/>
      <c r="AC102" s="15"/>
      <c r="AD102" s="15"/>
      <c r="AQ102" s="92"/>
      <c r="AR102" s="92"/>
      <c r="AS102" s="97"/>
      <c r="AU102" s="25"/>
      <c r="AV102" s="25"/>
      <c r="AW102" s="25"/>
      <c r="AX102" s="25"/>
      <c r="AY102" s="32"/>
      <c r="AZ102" s="33"/>
      <c r="BA102" s="33"/>
    </row>
    <row r="103" spans="1:53" s="4" customFormat="1" ht="36" customHeight="1">
      <c r="A103" s="9"/>
      <c r="B103" s="18" t="s">
        <v>52</v>
      </c>
      <c r="C103" s="9" t="s">
        <v>9</v>
      </c>
      <c r="D103" s="28">
        <f t="shared" ref="D103:D113" si="107">SUM(F103:I103)</f>
        <v>18023.565714285716</v>
      </c>
      <c r="E103" s="74">
        <f t="shared" si="68"/>
        <v>4018.3981283018252</v>
      </c>
      <c r="F103" s="28">
        <v>1689.13215971605</v>
      </c>
      <c r="G103" s="28">
        <v>2329.2659685857752</v>
      </c>
      <c r="H103" s="29">
        <v>12803.809208502145</v>
      </c>
      <c r="I103" s="29">
        <v>1201.3583774817446</v>
      </c>
      <c r="J103" s="214"/>
      <c r="K103" s="214"/>
      <c r="L103" s="214"/>
      <c r="M103" s="28">
        <f>'[53]Свод АУП'!$C$18</f>
        <v>18023.565714285716</v>
      </c>
      <c r="N103" s="74">
        <f t="shared" si="92"/>
        <v>3454.6661785582191</v>
      </c>
      <c r="O103" s="28">
        <f>$M$103*O90</f>
        <v>1316.7568884528273</v>
      </c>
      <c r="P103" s="28">
        <f t="shared" ref="P103:R103" si="108">$M$103*P90</f>
        <v>2137.9092901053918</v>
      </c>
      <c r="Q103" s="28">
        <f t="shared" si="108"/>
        <v>13874.404971124175</v>
      </c>
      <c r="R103" s="28">
        <f t="shared" si="108"/>
        <v>694.49456460332112</v>
      </c>
      <c r="T103" s="15"/>
      <c r="U103" s="15"/>
      <c r="V103" s="15"/>
      <c r="W103" s="15"/>
      <c r="X103" s="15"/>
      <c r="AC103" s="15"/>
      <c r="AD103" s="15"/>
      <c r="AQ103" s="93" t="e">
        <f>#REF!</f>
        <v>#REF!</v>
      </c>
      <c r="AR103" s="93" t="e">
        <f t="shared" ref="AR103:AR140" si="109">D103-AQ103</f>
        <v>#REF!</v>
      </c>
      <c r="AS103" s="97" t="e">
        <f t="shared" ref="AS103:AS136" si="110">100%-(AQ103/D103)</f>
        <v>#REF!</v>
      </c>
      <c r="AU103" s="28" t="e">
        <f t="shared" ref="AU103:AU113" si="111">SUM(AV103:BA103)</f>
        <v>#REF!</v>
      </c>
      <c r="AV103" s="28" t="e">
        <f>#REF!</f>
        <v>#REF!</v>
      </c>
      <c r="AW103" s="28" t="e">
        <f>#REF!</f>
        <v>#REF!</v>
      </c>
      <c r="AX103" s="28" t="e">
        <f>#REF!</f>
        <v>#REF!</v>
      </c>
      <c r="AY103" s="28" t="e">
        <f>#REF!</f>
        <v>#REF!</v>
      </c>
      <c r="AZ103" s="28" t="e">
        <f>#REF!</f>
        <v>#REF!</v>
      </c>
      <c r="BA103" s="28" t="e">
        <f>#REF!</f>
        <v>#REF!</v>
      </c>
    </row>
    <row r="104" spans="1:53" s="4" customFormat="1" ht="20.25" customHeight="1">
      <c r="A104" s="9"/>
      <c r="B104" s="18" t="s">
        <v>53</v>
      </c>
      <c r="C104" s="9" t="s">
        <v>9</v>
      </c>
      <c r="D104" s="28">
        <f t="shared" si="107"/>
        <v>4719.9199999999992</v>
      </c>
      <c r="E104" s="74"/>
      <c r="F104" s="28">
        <v>442.34136516992385</v>
      </c>
      <c r="G104" s="28">
        <v>609.97636121100174</v>
      </c>
      <c r="H104" s="29">
        <v>3352.9966332629438</v>
      </c>
      <c r="I104" s="29">
        <v>314.6056403561293</v>
      </c>
      <c r="J104" s="214"/>
      <c r="K104" s="214"/>
      <c r="L104" s="214"/>
      <c r="M104" s="28">
        <f>'[53]Свод АУП'!$C$19</f>
        <v>4719.92</v>
      </c>
      <c r="N104" s="74"/>
      <c r="O104" s="28">
        <f>$M$104*O90</f>
        <v>344.82561727617463</v>
      </c>
      <c r="P104" s="28">
        <f t="shared" ref="P104:R104" si="112">$M$104*P90</f>
        <v>559.8648445327425</v>
      </c>
      <c r="Q104" s="28">
        <f t="shared" si="112"/>
        <v>3633.3588230770165</v>
      </c>
      <c r="R104" s="28">
        <f t="shared" si="112"/>
        <v>181.87071511406614</v>
      </c>
      <c r="T104" s="15"/>
      <c r="U104" s="15"/>
      <c r="V104" s="15"/>
      <c r="W104" s="15"/>
      <c r="X104" s="15"/>
      <c r="AC104" s="15"/>
      <c r="AD104" s="15"/>
      <c r="AQ104" s="93" t="e">
        <f>#REF!</f>
        <v>#REF!</v>
      </c>
      <c r="AR104" s="93" t="e">
        <f t="shared" si="109"/>
        <v>#REF!</v>
      </c>
      <c r="AS104" s="97" t="e">
        <f t="shared" si="110"/>
        <v>#REF!</v>
      </c>
      <c r="AU104" s="28" t="e">
        <f t="shared" si="111"/>
        <v>#REF!</v>
      </c>
      <c r="AV104" s="28" t="e">
        <f>#REF!</f>
        <v>#REF!</v>
      </c>
      <c r="AW104" s="28" t="e">
        <f>#REF!</f>
        <v>#REF!</v>
      </c>
      <c r="AX104" s="28" t="e">
        <f>#REF!</f>
        <v>#REF!</v>
      </c>
      <c r="AY104" s="28" t="e">
        <f>#REF!</f>
        <v>#REF!</v>
      </c>
      <c r="AZ104" s="28" t="e">
        <f>#REF!</f>
        <v>#REF!</v>
      </c>
      <c r="BA104" s="28" t="e">
        <f>#REF!</f>
        <v>#REF!</v>
      </c>
    </row>
    <row r="105" spans="1:53" s="4" customFormat="1" ht="20.25" hidden="1" customHeight="1">
      <c r="A105" s="9"/>
      <c r="B105" s="18" t="s">
        <v>42</v>
      </c>
      <c r="C105" s="9" t="s">
        <v>9</v>
      </c>
      <c r="D105" s="28">
        <f t="shared" si="107"/>
        <v>0</v>
      </c>
      <c r="E105" s="74">
        <f t="shared" si="68"/>
        <v>0</v>
      </c>
      <c r="F105" s="28">
        <v>0</v>
      </c>
      <c r="G105" s="28">
        <v>0</v>
      </c>
      <c r="H105" s="29">
        <v>0</v>
      </c>
      <c r="I105" s="29">
        <v>0</v>
      </c>
      <c r="J105" s="214"/>
      <c r="K105" s="214"/>
      <c r="L105" s="214"/>
      <c r="M105" s="28">
        <v>0</v>
      </c>
      <c r="N105" s="74">
        <f t="shared" si="92"/>
        <v>0</v>
      </c>
      <c r="O105" s="28"/>
      <c r="P105" s="28"/>
      <c r="Q105" s="28"/>
      <c r="R105" s="29"/>
      <c r="T105" s="15"/>
      <c r="U105" s="15"/>
      <c r="V105" s="15"/>
      <c r="W105" s="15"/>
      <c r="X105" s="15"/>
      <c r="AC105" s="15"/>
      <c r="AD105" s="15"/>
      <c r="AQ105" s="93" t="e">
        <f>#REF!</f>
        <v>#REF!</v>
      </c>
      <c r="AR105" s="93" t="e">
        <f t="shared" si="109"/>
        <v>#REF!</v>
      </c>
      <c r="AS105" s="97" t="e">
        <f t="shared" si="110"/>
        <v>#REF!</v>
      </c>
      <c r="AU105" s="28" t="e">
        <f t="shared" si="111"/>
        <v>#REF!</v>
      </c>
      <c r="AV105" s="28" t="e">
        <f>#REF!</f>
        <v>#REF!</v>
      </c>
      <c r="AW105" s="28" t="e">
        <f>#REF!</f>
        <v>#REF!</v>
      </c>
      <c r="AX105" s="28" t="e">
        <f>#REF!</f>
        <v>#REF!</v>
      </c>
      <c r="AY105" s="28" t="e">
        <f>#REF!</f>
        <v>#REF!</v>
      </c>
      <c r="AZ105" s="28" t="e">
        <f>#REF!</f>
        <v>#REF!</v>
      </c>
      <c r="BA105" s="28" t="e">
        <f>#REF!</f>
        <v>#REF!</v>
      </c>
    </row>
    <row r="106" spans="1:53" s="4" customFormat="1" ht="20.25" customHeight="1">
      <c r="A106" s="9"/>
      <c r="B106" s="18" t="s">
        <v>28</v>
      </c>
      <c r="C106" s="9" t="s">
        <v>9</v>
      </c>
      <c r="D106" s="28">
        <f t="shared" si="107"/>
        <v>2845.3263474285718</v>
      </c>
      <c r="E106" s="75">
        <f t="shared" si="68"/>
        <v>634.3724793508743</v>
      </c>
      <c r="F106" s="28">
        <v>266.65823591830105</v>
      </c>
      <c r="G106" s="28">
        <v>367.7142434325732</v>
      </c>
      <c r="H106" s="29">
        <v>2021.2990185135241</v>
      </c>
      <c r="I106" s="29">
        <v>189.65484956417319</v>
      </c>
      <c r="J106" s="214"/>
      <c r="K106" s="214"/>
      <c r="L106" s="214"/>
      <c r="M106" s="28">
        <f>'[53]Свод АУП'!$C$21</f>
        <v>2845.3263474285718</v>
      </c>
      <c r="N106" s="75">
        <f t="shared" si="92"/>
        <v>545.37780455012671</v>
      </c>
      <c r="O106" s="28">
        <f>$M$106*O90</f>
        <v>207.87246692829976</v>
      </c>
      <c r="P106" s="28">
        <f t="shared" ref="P106:R106" si="113">$M$106*P90</f>
        <v>337.50533762182692</v>
      </c>
      <c r="Q106" s="28">
        <f t="shared" si="113"/>
        <v>2190.3107656407528</v>
      </c>
      <c r="R106" s="28">
        <f t="shared" si="113"/>
        <v>109.63777723769221</v>
      </c>
      <c r="T106" s="15"/>
      <c r="U106" s="15"/>
      <c r="V106" s="15"/>
      <c r="W106" s="15"/>
      <c r="X106" s="15"/>
      <c r="AC106" s="15"/>
      <c r="AD106" s="15"/>
      <c r="AQ106" s="93" t="e">
        <f>#REF!</f>
        <v>#REF!</v>
      </c>
      <c r="AR106" s="93" t="e">
        <f t="shared" si="109"/>
        <v>#REF!</v>
      </c>
      <c r="AS106" s="97" t="e">
        <f t="shared" si="110"/>
        <v>#REF!</v>
      </c>
      <c r="AU106" s="28" t="e">
        <f t="shared" si="111"/>
        <v>#REF!</v>
      </c>
      <c r="AV106" s="28" t="e">
        <f>#REF!</f>
        <v>#REF!</v>
      </c>
      <c r="AW106" s="28" t="e">
        <f>#REF!</f>
        <v>#REF!</v>
      </c>
      <c r="AX106" s="28" t="e">
        <f>#REF!</f>
        <v>#REF!</v>
      </c>
      <c r="AY106" s="28" t="e">
        <f>#REF!</f>
        <v>#REF!</v>
      </c>
      <c r="AZ106" s="28" t="e">
        <f>#REF!</f>
        <v>#REF!</v>
      </c>
      <c r="BA106" s="28" t="e">
        <f>#REF!</f>
        <v>#REF!</v>
      </c>
    </row>
    <row r="107" spans="1:53" s="4" customFormat="1" ht="25.5" customHeight="1">
      <c r="A107" s="13" t="s">
        <v>55</v>
      </c>
      <c r="B107" s="12" t="s">
        <v>32</v>
      </c>
      <c r="C107" s="211" t="s">
        <v>9</v>
      </c>
      <c r="D107" s="25">
        <f t="shared" si="107"/>
        <v>22641.260000000002</v>
      </c>
      <c r="E107" s="75">
        <f t="shared" si="68"/>
        <v>5047.9243812605728</v>
      </c>
      <c r="F107" s="25">
        <v>2121.8931375038546</v>
      </c>
      <c r="G107" s="25">
        <v>2926.0312437567181</v>
      </c>
      <c r="H107" s="33">
        <v>16084.185442302198</v>
      </c>
      <c r="I107" s="33">
        <v>1509.1501764372315</v>
      </c>
      <c r="M107" s="25">
        <f>'[53]Свод АУП'!$C$22</f>
        <v>11410.545</v>
      </c>
      <c r="N107" s="75">
        <f t="shared" si="92"/>
        <v>2187.1157192370697</v>
      </c>
      <c r="O107" s="25">
        <f>$M$107*O90</f>
        <v>833.62604092496645</v>
      </c>
      <c r="P107" s="25">
        <f t="shared" ref="P107:R107" si="114">$M$107*P90</f>
        <v>1353.4896783121033</v>
      </c>
      <c r="Q107" s="25">
        <f t="shared" si="114"/>
        <v>8783.7514940650126</v>
      </c>
      <c r="R107" s="25">
        <f t="shared" si="114"/>
        <v>439.67778669791687</v>
      </c>
      <c r="T107" s="15"/>
      <c r="U107" s="15"/>
      <c r="V107" s="15"/>
      <c r="W107" s="15"/>
      <c r="X107" s="15"/>
      <c r="AC107" s="15"/>
      <c r="AD107" s="15"/>
      <c r="AQ107" s="92" t="e">
        <f>#REF!</f>
        <v>#REF!</v>
      </c>
      <c r="AR107" s="92" t="e">
        <f t="shared" si="109"/>
        <v>#REF!</v>
      </c>
      <c r="AS107" s="97" t="e">
        <f t="shared" si="110"/>
        <v>#REF!</v>
      </c>
      <c r="AU107" s="25" t="e">
        <f t="shared" si="111"/>
        <v>#REF!</v>
      </c>
      <c r="AV107" s="25" t="e">
        <f>#REF!</f>
        <v>#REF!</v>
      </c>
      <c r="AW107" s="25" t="e">
        <f>#REF!</f>
        <v>#REF!</v>
      </c>
      <c r="AX107" s="25" t="e">
        <f>#REF!</f>
        <v>#REF!</v>
      </c>
      <c r="AY107" s="25" t="e">
        <f>#REF!</f>
        <v>#REF!</v>
      </c>
      <c r="AZ107" s="25" t="e">
        <f>#REF!</f>
        <v>#REF!</v>
      </c>
      <c r="BA107" s="25" t="e">
        <f>#REF!</f>
        <v>#REF!</v>
      </c>
    </row>
    <row r="108" spans="1:53" s="4" customFormat="1" ht="25.5" hidden="1" customHeight="1">
      <c r="A108" s="13" t="s">
        <v>57</v>
      </c>
      <c r="B108" s="12" t="s">
        <v>56</v>
      </c>
      <c r="C108" s="211" t="s">
        <v>9</v>
      </c>
      <c r="D108" s="25">
        <f t="shared" si="107"/>
        <v>0</v>
      </c>
      <c r="E108" s="74">
        <f t="shared" si="68"/>
        <v>0</v>
      </c>
      <c r="F108" s="25">
        <v>0</v>
      </c>
      <c r="G108" s="25">
        <v>0</v>
      </c>
      <c r="H108" s="25">
        <v>0</v>
      </c>
      <c r="I108" s="33">
        <v>0</v>
      </c>
      <c r="M108" s="25">
        <f>'[53]Свод АУП'!$C$23</f>
        <v>0</v>
      </c>
      <c r="N108" s="74">
        <f t="shared" si="92"/>
        <v>0</v>
      </c>
      <c r="O108" s="25">
        <v>0</v>
      </c>
      <c r="P108" s="25">
        <v>0</v>
      </c>
      <c r="Q108" s="25">
        <v>0</v>
      </c>
      <c r="R108" s="33">
        <v>0</v>
      </c>
      <c r="T108" s="15"/>
      <c r="U108" s="15"/>
      <c r="V108" s="15"/>
      <c r="W108" s="15"/>
      <c r="X108" s="15"/>
      <c r="AC108" s="15"/>
      <c r="AD108" s="15"/>
      <c r="AQ108" s="92">
        <v>0</v>
      </c>
      <c r="AR108" s="92">
        <f t="shared" si="109"/>
        <v>0</v>
      </c>
      <c r="AS108" s="97" t="e">
        <f t="shared" si="110"/>
        <v>#DIV/0!</v>
      </c>
      <c r="AU108" s="25">
        <f t="shared" si="111"/>
        <v>0</v>
      </c>
      <c r="AV108" s="25">
        <v>0</v>
      </c>
      <c r="AW108" s="25">
        <v>0</v>
      </c>
      <c r="AX108" s="25">
        <v>0</v>
      </c>
      <c r="AY108" s="33">
        <v>0</v>
      </c>
      <c r="AZ108" s="33">
        <v>0</v>
      </c>
      <c r="BA108" s="33">
        <v>0</v>
      </c>
    </row>
    <row r="109" spans="1:53" s="4" customFormat="1" ht="25.5" customHeight="1">
      <c r="A109" s="13" t="s">
        <v>109</v>
      </c>
      <c r="B109" s="12" t="s">
        <v>34</v>
      </c>
      <c r="C109" s="211" t="s">
        <v>9</v>
      </c>
      <c r="D109" s="25">
        <f t="shared" si="107"/>
        <v>14.456618799999996</v>
      </c>
      <c r="E109" s="74">
        <f t="shared" si="68"/>
        <v>11.249948967745491</v>
      </c>
      <c r="F109" s="25">
        <f>SUM(F110:F111)</f>
        <v>6.3876974278588996</v>
      </c>
      <c r="G109" s="25">
        <f>SUM(G110:G111)</f>
        <v>4.8622515398865911</v>
      </c>
      <c r="H109" s="25">
        <f>SUM(H110:H111)</f>
        <v>2.9083938049610576</v>
      </c>
      <c r="I109" s="215">
        <f>SUM(I110:I111)</f>
        <v>0.29827602729344682</v>
      </c>
      <c r="M109" s="25">
        <f>SUM(O109:R109)</f>
        <v>14.456618799999999</v>
      </c>
      <c r="N109" s="74">
        <f t="shared" si="92"/>
        <v>10.933863312757996</v>
      </c>
      <c r="O109" s="25">
        <f>O110+O111</f>
        <v>6.405217705505823</v>
      </c>
      <c r="P109" s="25">
        <f t="shared" ref="P109:R109" si="115">P110+P111</f>
        <v>4.528645607252173</v>
      </c>
      <c r="Q109" s="25">
        <f t="shared" si="115"/>
        <v>3.4685018356463533</v>
      </c>
      <c r="R109" s="215">
        <f t="shared" si="115"/>
        <v>5.4253651595649585E-2</v>
      </c>
      <c r="T109" s="15"/>
      <c r="U109" s="15"/>
      <c r="V109" s="15"/>
      <c r="W109" s="15"/>
      <c r="X109" s="15"/>
      <c r="AC109" s="15"/>
      <c r="AD109" s="15"/>
      <c r="AQ109" s="101" t="e">
        <f>SUM(AQ110:AQ111)</f>
        <v>#REF!</v>
      </c>
      <c r="AR109" s="92" t="e">
        <f t="shared" si="109"/>
        <v>#REF!</v>
      </c>
      <c r="AS109" s="97" t="e">
        <f t="shared" si="110"/>
        <v>#REF!</v>
      </c>
      <c r="AU109" s="25" t="e">
        <f>SUM(AV109:BA109)</f>
        <v>#REF!</v>
      </c>
      <c r="AV109" s="25" t="e">
        <f t="shared" ref="AV109:BA109" si="116">SUM(AV110:AV111)</f>
        <v>#REF!</v>
      </c>
      <c r="AW109" s="25" t="e">
        <f t="shared" si="116"/>
        <v>#REF!</v>
      </c>
      <c r="AX109" s="25" t="e">
        <f t="shared" si="116"/>
        <v>#REF!</v>
      </c>
      <c r="AY109" s="25" t="e">
        <f t="shared" si="116"/>
        <v>#REF!</v>
      </c>
      <c r="AZ109" s="25" t="e">
        <f t="shared" si="116"/>
        <v>#REF!</v>
      </c>
      <c r="BA109" s="25" t="e">
        <f t="shared" si="116"/>
        <v>#REF!</v>
      </c>
    </row>
    <row r="110" spans="1:53" s="4" customFormat="1" ht="21" customHeight="1" outlineLevel="1">
      <c r="A110" s="13"/>
      <c r="B110" s="18" t="s">
        <v>112</v>
      </c>
      <c r="C110" s="343" t="s">
        <v>9</v>
      </c>
      <c r="D110" s="28">
        <f t="shared" si="107"/>
        <v>6.319618799999998</v>
      </c>
      <c r="E110" s="74">
        <f t="shared" si="68"/>
        <v>4.9178435136994132</v>
      </c>
      <c r="F110" s="44">
        <v>2.7923412322256671</v>
      </c>
      <c r="G110" s="44">
        <v>2.1255022814737456</v>
      </c>
      <c r="H110" s="29">
        <v>1.2713858213952098</v>
      </c>
      <c r="I110" s="45">
        <v>0.13038946490537465</v>
      </c>
      <c r="J110" s="214"/>
      <c r="K110" s="214"/>
      <c r="L110" s="214"/>
      <c r="M110" s="28">
        <f>'[53]Свод АУП'!$C$25</f>
        <v>6.3196187999999998</v>
      </c>
      <c r="N110" s="74">
        <f t="shared" si="92"/>
        <v>4.7796686835192554</v>
      </c>
      <c r="O110" s="44">
        <f>$M$110*O92</f>
        <v>2.800000109970906</v>
      </c>
      <c r="P110" s="44">
        <f t="shared" ref="P110:R110" si="117">$M$110*P92</f>
        <v>1.9796685735483495</v>
      </c>
      <c r="Q110" s="44">
        <f t="shared" si="117"/>
        <v>1.5162334783556171</v>
      </c>
      <c r="R110" s="44">
        <f t="shared" si="117"/>
        <v>2.371663812512765E-2</v>
      </c>
      <c r="T110" s="15"/>
      <c r="U110" s="15"/>
      <c r="V110" s="15"/>
      <c r="W110" s="15"/>
      <c r="X110" s="15"/>
      <c r="AC110" s="15"/>
      <c r="AD110" s="15"/>
      <c r="AQ110" s="93" t="e">
        <f>#REF!</f>
        <v>#REF!</v>
      </c>
      <c r="AR110" s="93" t="e">
        <f t="shared" si="109"/>
        <v>#REF!</v>
      </c>
      <c r="AS110" s="97" t="e">
        <f t="shared" si="110"/>
        <v>#REF!</v>
      </c>
      <c r="AU110" s="28" t="e">
        <f t="shared" si="111"/>
        <v>#REF!</v>
      </c>
      <c r="AV110" s="44" t="e">
        <f>#REF!</f>
        <v>#REF!</v>
      </c>
      <c r="AW110" s="44" t="e">
        <f>#REF!</f>
        <v>#REF!</v>
      </c>
      <c r="AX110" s="44" t="e">
        <f>#REF!</f>
        <v>#REF!</v>
      </c>
      <c r="AY110" s="44" t="e">
        <f>#REF!</f>
        <v>#REF!</v>
      </c>
      <c r="AZ110" s="44" t="e">
        <f>#REF!</f>
        <v>#REF!</v>
      </c>
      <c r="BA110" s="44" t="e">
        <f>#REF!</f>
        <v>#REF!</v>
      </c>
    </row>
    <row r="111" spans="1:53" s="4" customFormat="1" ht="21" customHeight="1" outlineLevel="1">
      <c r="A111" s="13"/>
      <c r="B111" s="18" t="s">
        <v>96</v>
      </c>
      <c r="C111" s="343" t="s">
        <v>9</v>
      </c>
      <c r="D111" s="28">
        <f t="shared" si="107"/>
        <v>8.1369999999999969</v>
      </c>
      <c r="E111" s="76">
        <f t="shared" si="68"/>
        <v>6.3321054540460775</v>
      </c>
      <c r="F111" s="44">
        <v>3.5953561956332325</v>
      </c>
      <c r="G111" s="44">
        <v>2.736749258412845</v>
      </c>
      <c r="H111" s="29">
        <v>1.6370079835658478</v>
      </c>
      <c r="I111" s="45">
        <v>0.16788656238807217</v>
      </c>
      <c r="J111" s="214"/>
      <c r="K111" s="214"/>
      <c r="L111" s="214"/>
      <c r="M111" s="28">
        <f>'[53]Свод АУП'!$C$26</f>
        <v>8.1369999999999987</v>
      </c>
      <c r="N111" s="76">
        <f t="shared" si="92"/>
        <v>6.1541946292387415</v>
      </c>
      <c r="O111" s="44">
        <f>$M$111*O92</f>
        <v>3.6052175955349175</v>
      </c>
      <c r="P111" s="44">
        <f t="shared" ref="P111:R111" si="118">$M$111*P92</f>
        <v>2.5489770337038236</v>
      </c>
      <c r="Q111" s="44">
        <f t="shared" si="118"/>
        <v>1.9522683572907362</v>
      </c>
      <c r="R111" s="44">
        <f t="shared" si="118"/>
        <v>3.0537013470521936E-2</v>
      </c>
      <c r="T111" s="15"/>
      <c r="U111" s="15"/>
      <c r="V111" s="15"/>
      <c r="W111" s="15"/>
      <c r="X111" s="15"/>
      <c r="AC111" s="15"/>
      <c r="AD111" s="15"/>
      <c r="AQ111" s="93" t="e">
        <f>#REF!</f>
        <v>#REF!</v>
      </c>
      <c r="AR111" s="93" t="e">
        <f t="shared" si="109"/>
        <v>#REF!</v>
      </c>
      <c r="AS111" s="97" t="e">
        <f t="shared" si="110"/>
        <v>#REF!</v>
      </c>
      <c r="AU111" s="28" t="e">
        <f t="shared" si="111"/>
        <v>#REF!</v>
      </c>
      <c r="AV111" s="44" t="e">
        <f>#REF!</f>
        <v>#REF!</v>
      </c>
      <c r="AW111" s="44" t="e">
        <f>#REF!</f>
        <v>#REF!</v>
      </c>
      <c r="AX111" s="44" t="e">
        <f>#REF!</f>
        <v>#REF!</v>
      </c>
      <c r="AY111" s="44" t="e">
        <f>#REF!</f>
        <v>#REF!</v>
      </c>
      <c r="AZ111" s="44" t="e">
        <f>#REF!</f>
        <v>#REF!</v>
      </c>
      <c r="BA111" s="44" t="e">
        <f>#REF!</f>
        <v>#REF!</v>
      </c>
    </row>
    <row r="112" spans="1:53" s="4" customFormat="1" ht="24.75" hidden="1" customHeight="1">
      <c r="A112" s="13" t="s">
        <v>58</v>
      </c>
      <c r="B112" s="12" t="s">
        <v>59</v>
      </c>
      <c r="C112" s="211" t="s">
        <v>9</v>
      </c>
      <c r="D112" s="25">
        <f t="shared" si="107"/>
        <v>0</v>
      </c>
      <c r="E112" s="76">
        <f t="shared" si="68"/>
        <v>0</v>
      </c>
      <c r="F112" s="25"/>
      <c r="G112" s="25"/>
      <c r="H112" s="25"/>
      <c r="I112" s="33"/>
      <c r="M112" s="25">
        <f>'[53]Свод АУП'!$C$27</f>
        <v>0</v>
      </c>
      <c r="N112" s="76">
        <f t="shared" si="92"/>
        <v>0</v>
      </c>
      <c r="O112" s="25"/>
      <c r="P112" s="25"/>
      <c r="Q112" s="25"/>
      <c r="R112" s="33"/>
      <c r="T112" s="15"/>
      <c r="U112" s="15"/>
      <c r="V112" s="15"/>
      <c r="W112" s="15"/>
      <c r="X112" s="15"/>
      <c r="AC112" s="15"/>
      <c r="AD112" s="15"/>
      <c r="AQ112" s="92"/>
      <c r="AR112" s="92">
        <f t="shared" si="109"/>
        <v>0</v>
      </c>
      <c r="AS112" s="97" t="e">
        <f t="shared" si="110"/>
        <v>#DIV/0!</v>
      </c>
      <c r="AU112" s="25">
        <f t="shared" si="111"/>
        <v>0</v>
      </c>
      <c r="AV112" s="25"/>
      <c r="AW112" s="25"/>
      <c r="AX112" s="25"/>
      <c r="AY112" s="33"/>
      <c r="AZ112" s="33"/>
      <c r="BA112" s="33"/>
    </row>
    <row r="113" spans="1:53" s="4" customFormat="1" ht="25.5" customHeight="1">
      <c r="A113" s="13" t="s">
        <v>60</v>
      </c>
      <c r="B113" s="12" t="s">
        <v>30</v>
      </c>
      <c r="C113" s="211" t="s">
        <v>9</v>
      </c>
      <c r="D113" s="25">
        <f t="shared" si="107"/>
        <v>1730.3571428571427</v>
      </c>
      <c r="E113" s="74">
        <f t="shared" si="68"/>
        <v>385.78736385329057</v>
      </c>
      <c r="F113" s="25">
        <v>162.16557501037255</v>
      </c>
      <c r="G113" s="25">
        <v>223.62178884291802</v>
      </c>
      <c r="H113" s="33">
        <v>1229.2330535988931</v>
      </c>
      <c r="I113" s="33">
        <v>115.33672540495894</v>
      </c>
      <c r="M113" s="25">
        <f>'[53]Свод АУП'!$C$28</f>
        <v>903.125</v>
      </c>
      <c r="N113" s="74">
        <f t="shared" si="92"/>
        <v>173.10644530440732</v>
      </c>
      <c r="O113" s="25">
        <f>$M$113*O90</f>
        <v>65.980066527090543</v>
      </c>
      <c r="P113" s="25">
        <f>$M$113*P90</f>
        <v>107.12637877731679</v>
      </c>
      <c r="Q113" s="25">
        <f>$M$113*Q90</f>
        <v>695.21881453317656</v>
      </c>
      <c r="R113" s="25">
        <f>$M$113*R90</f>
        <v>34.7997401624161</v>
      </c>
      <c r="T113" s="15"/>
      <c r="U113" s="15"/>
      <c r="V113" s="15"/>
      <c r="W113" s="15"/>
      <c r="X113" s="15"/>
      <c r="AC113" s="15"/>
      <c r="AD113" s="15"/>
      <c r="AQ113" s="92" t="e">
        <f>#REF!</f>
        <v>#REF!</v>
      </c>
      <c r="AR113" s="92" t="e">
        <f t="shared" si="109"/>
        <v>#REF!</v>
      </c>
      <c r="AS113" s="97" t="e">
        <f t="shared" si="110"/>
        <v>#REF!</v>
      </c>
      <c r="AU113" s="25" t="e">
        <f t="shared" si="111"/>
        <v>#REF!</v>
      </c>
      <c r="AV113" s="25" t="e">
        <f>#REF!</f>
        <v>#REF!</v>
      </c>
      <c r="AW113" s="25" t="e">
        <f>#REF!</f>
        <v>#REF!</v>
      </c>
      <c r="AX113" s="25" t="e">
        <f>#REF!</f>
        <v>#REF!</v>
      </c>
      <c r="AY113" s="25" t="e">
        <f>#REF!</f>
        <v>#REF!</v>
      </c>
      <c r="AZ113" s="25" t="e">
        <f>#REF!</f>
        <v>#REF!</v>
      </c>
      <c r="BA113" s="25" t="e">
        <f>#REF!</f>
        <v>#REF!</v>
      </c>
    </row>
    <row r="114" spans="1:53" s="4" customFormat="1" ht="26.25" customHeight="1">
      <c r="A114" s="13" t="s">
        <v>61</v>
      </c>
      <c r="B114" s="12" t="s">
        <v>62</v>
      </c>
      <c r="C114" s="211" t="s">
        <v>9</v>
      </c>
      <c r="D114" s="25">
        <f>SUM(D115:D116)</f>
        <v>296.57707597199999</v>
      </c>
      <c r="E114" s="76">
        <f t="shared" si="68"/>
        <v>66.122585612374394</v>
      </c>
      <c r="F114" s="25">
        <f>SUM(F115:F116)</f>
        <v>27.794604286419837</v>
      </c>
      <c r="G114" s="25">
        <f>SUM(G115:G116)</f>
        <v>38.327981325954553</v>
      </c>
      <c r="H114" s="25">
        <f>SUM(H115:H116)</f>
        <v>210.68618477370052</v>
      </c>
      <c r="I114" s="25">
        <f>SUM(I115:I116)</f>
        <v>19.768305585925077</v>
      </c>
      <c r="M114" s="25">
        <f>SUM(M115:M116)</f>
        <v>296.57707597200005</v>
      </c>
      <c r="N114" s="76">
        <f t="shared" si="92"/>
        <v>56.846398206547363</v>
      </c>
      <c r="O114" s="25">
        <f>SUM(O115:O116)</f>
        <v>21.66718361582566</v>
      </c>
      <c r="P114" s="25">
        <f>SUM(P115:P116)</f>
        <v>35.179214590721699</v>
      </c>
      <c r="Q114" s="25">
        <f>SUM(Q115:Q116)</f>
        <v>228.30279659512217</v>
      </c>
      <c r="R114" s="25">
        <f>SUM(R115:R116)</f>
        <v>11.427881170330508</v>
      </c>
      <c r="T114" s="15"/>
      <c r="U114" s="15"/>
      <c r="V114" s="15"/>
      <c r="W114" s="15"/>
      <c r="X114" s="15"/>
      <c r="AC114" s="15"/>
      <c r="AD114" s="15"/>
      <c r="AQ114" s="101" t="e">
        <f>SUM(AQ115:AQ116)</f>
        <v>#REF!</v>
      </c>
      <c r="AR114" s="92" t="e">
        <f t="shared" si="109"/>
        <v>#REF!</v>
      </c>
      <c r="AS114" s="97" t="e">
        <f t="shared" si="110"/>
        <v>#REF!</v>
      </c>
      <c r="AU114" s="25" t="e">
        <f t="shared" ref="AU114:BA114" si="119">SUM(AU115:AU116)</f>
        <v>#REF!</v>
      </c>
      <c r="AV114" s="25" t="e">
        <f t="shared" si="119"/>
        <v>#REF!</v>
      </c>
      <c r="AW114" s="25" t="e">
        <f t="shared" si="119"/>
        <v>#REF!</v>
      </c>
      <c r="AX114" s="25" t="e">
        <f t="shared" si="119"/>
        <v>#REF!</v>
      </c>
      <c r="AY114" s="25" t="e">
        <f t="shared" si="119"/>
        <v>#REF!</v>
      </c>
      <c r="AZ114" s="25" t="e">
        <f t="shared" si="119"/>
        <v>#REF!</v>
      </c>
      <c r="BA114" s="25" t="e">
        <f t="shared" si="119"/>
        <v>#REF!</v>
      </c>
    </row>
    <row r="115" spans="1:53" s="4" customFormat="1" ht="20.25" customHeight="1" outlineLevel="1">
      <c r="A115" s="13"/>
      <c r="B115" s="18" t="s">
        <v>63</v>
      </c>
      <c r="C115" s="343" t="s">
        <v>9</v>
      </c>
      <c r="D115" s="28">
        <f>SUM(F115:I115)</f>
        <v>29.084922371999994</v>
      </c>
      <c r="E115" s="76">
        <f t="shared" si="68"/>
        <v>6.4845546921279933</v>
      </c>
      <c r="F115" s="28">
        <v>2.7257801547254488</v>
      </c>
      <c r="G115" s="28">
        <v>3.7587745374025445</v>
      </c>
      <c r="H115" s="29">
        <v>20.661716044346107</v>
      </c>
      <c r="I115" s="29">
        <v>1.9386516355258927</v>
      </c>
      <c r="J115" s="214"/>
      <c r="K115" s="214"/>
      <c r="L115" s="214"/>
      <c r="M115" s="28">
        <f>'[53]Свод АУП'!$C$30</f>
        <v>29.084922371999994</v>
      </c>
      <c r="N115" s="76">
        <f t="shared" si="92"/>
        <v>5.5748512373941042</v>
      </c>
      <c r="O115" s="28">
        <f>$M$115*O90</f>
        <v>2.124872097483542</v>
      </c>
      <c r="P115" s="28">
        <f>$M$115*P90</f>
        <v>3.4499791399105622</v>
      </c>
      <c r="Q115" s="28">
        <f>$M$115*Q90</f>
        <v>22.389353912527394</v>
      </c>
      <c r="R115" s="28">
        <f>$M$115*R90</f>
        <v>1.1207172220784971</v>
      </c>
      <c r="T115" s="15"/>
      <c r="U115" s="15"/>
      <c r="V115" s="15"/>
      <c r="W115" s="15"/>
      <c r="X115" s="15"/>
      <c r="AC115" s="15"/>
      <c r="AD115" s="15"/>
      <c r="AQ115" s="93" t="e">
        <f>#REF!</f>
        <v>#REF!</v>
      </c>
      <c r="AR115" s="93" t="e">
        <f t="shared" si="109"/>
        <v>#REF!</v>
      </c>
      <c r="AS115" s="97" t="e">
        <f t="shared" si="110"/>
        <v>#REF!</v>
      </c>
      <c r="AU115" s="28" t="e">
        <f t="shared" ref="AU115:AU134" si="120">SUM(AV115:BA115)</f>
        <v>#REF!</v>
      </c>
      <c r="AV115" s="28" t="e">
        <f>#REF!</f>
        <v>#REF!</v>
      </c>
      <c r="AW115" s="28" t="e">
        <f>#REF!</f>
        <v>#REF!</v>
      </c>
      <c r="AX115" s="28" t="e">
        <f>#REF!</f>
        <v>#REF!</v>
      </c>
      <c r="AY115" s="28" t="e">
        <f>#REF!</f>
        <v>#REF!</v>
      </c>
      <c r="AZ115" s="28" t="e">
        <f>#REF!</f>
        <v>#REF!</v>
      </c>
      <c r="BA115" s="28" t="e">
        <f>#REF!</f>
        <v>#REF!</v>
      </c>
    </row>
    <row r="116" spans="1:53" s="4" customFormat="1" ht="20.25" customHeight="1" outlineLevel="1">
      <c r="A116" s="13"/>
      <c r="B116" s="18" t="s">
        <v>64</v>
      </c>
      <c r="C116" s="343" t="s">
        <v>9</v>
      </c>
      <c r="D116" s="28">
        <f>SUM(F116:I116)</f>
        <v>267.49215359999999</v>
      </c>
      <c r="E116" s="76">
        <f t="shared" si="68"/>
        <v>59.638030920246393</v>
      </c>
      <c r="F116" s="28">
        <v>25.068824131694388</v>
      </c>
      <c r="G116" s="28">
        <v>34.569206788552009</v>
      </c>
      <c r="H116" s="29">
        <v>190.0244687293544</v>
      </c>
      <c r="I116" s="29">
        <v>17.829653950399184</v>
      </c>
      <c r="J116" s="214"/>
      <c r="K116" s="214"/>
      <c r="L116" s="214"/>
      <c r="M116" s="28">
        <f>'[53]Свод АУП'!$C$31</f>
        <v>267.49215360000005</v>
      </c>
      <c r="N116" s="76">
        <f t="shared" si="92"/>
        <v>51.271546969153256</v>
      </c>
      <c r="O116" s="28">
        <f>$M$116*O90</f>
        <v>19.542311518342117</v>
      </c>
      <c r="P116" s="28">
        <f>$M$116*P90</f>
        <v>31.729235450811139</v>
      </c>
      <c r="Q116" s="28">
        <f>$M$116*Q90</f>
        <v>205.91344268259479</v>
      </c>
      <c r="R116" s="28">
        <f>$M$116*R90</f>
        <v>10.307163948252011</v>
      </c>
      <c r="T116" s="15"/>
      <c r="U116" s="15"/>
      <c r="V116" s="15"/>
      <c r="W116" s="15"/>
      <c r="X116" s="15"/>
      <c r="AC116" s="15"/>
      <c r="AD116" s="15"/>
      <c r="AQ116" s="93" t="e">
        <f>#REF!</f>
        <v>#REF!</v>
      </c>
      <c r="AR116" s="93" t="e">
        <f t="shared" si="109"/>
        <v>#REF!</v>
      </c>
      <c r="AS116" s="97" t="e">
        <f t="shared" si="110"/>
        <v>#REF!</v>
      </c>
      <c r="AU116" s="28" t="e">
        <f t="shared" si="120"/>
        <v>#REF!</v>
      </c>
      <c r="AV116" s="28" t="e">
        <f>#REF!</f>
        <v>#REF!</v>
      </c>
      <c r="AW116" s="28" t="e">
        <f>#REF!</f>
        <v>#REF!</v>
      </c>
      <c r="AX116" s="28" t="e">
        <f>#REF!</f>
        <v>#REF!</v>
      </c>
      <c r="AY116" s="28" t="e">
        <f>#REF!</f>
        <v>#REF!</v>
      </c>
      <c r="AZ116" s="28" t="e">
        <f>#REF!</f>
        <v>#REF!</v>
      </c>
      <c r="BA116" s="28" t="e">
        <f>#REF!</f>
        <v>#REF!</v>
      </c>
    </row>
    <row r="117" spans="1:53" s="4" customFormat="1" ht="27" customHeight="1">
      <c r="A117" s="13" t="s">
        <v>120</v>
      </c>
      <c r="B117" s="12" t="s">
        <v>65</v>
      </c>
      <c r="C117" s="343" t="s">
        <v>9</v>
      </c>
      <c r="D117" s="25">
        <f>SUM(D118:D134)</f>
        <v>17169.74545690868</v>
      </c>
      <c r="E117" s="76">
        <f t="shared" si="68"/>
        <v>4003.6030680953136</v>
      </c>
      <c r="F117" s="25">
        <f>SUM(F118:F134)</f>
        <v>1735.4820130193887</v>
      </c>
      <c r="G117" s="25">
        <f>SUM(G118:G134)</f>
        <v>2268.1210550759251</v>
      </c>
      <c r="H117" s="25">
        <f>SUM(H118:H134)</f>
        <v>12103.674563862352</v>
      </c>
      <c r="I117" s="25">
        <f>SUM(I118:I134)</f>
        <v>1062.4678249510157</v>
      </c>
      <c r="M117" s="25">
        <f>SUM(M118:M134)</f>
        <v>16767.959742622967</v>
      </c>
      <c r="N117" s="76">
        <f t="shared" si="92"/>
        <v>3371.9296866089676</v>
      </c>
      <c r="O117" s="25">
        <f>SUM(O118:O134)</f>
        <v>1358.9716196773682</v>
      </c>
      <c r="P117" s="25">
        <f>SUM(P118:P134)</f>
        <v>2012.9580669315994</v>
      </c>
      <c r="Q117" s="25">
        <f>SUM(Q118:Q134)</f>
        <v>12800.97104185008</v>
      </c>
      <c r="R117" s="25">
        <f>SUM(R118:R134)</f>
        <v>595.05901416391987</v>
      </c>
      <c r="T117" s="15"/>
      <c r="U117" s="15"/>
      <c r="V117" s="15"/>
      <c r="W117" s="15"/>
      <c r="X117" s="15"/>
      <c r="AC117" s="15"/>
      <c r="AD117" s="15"/>
      <c r="AQ117" s="101" t="e">
        <f>SUM(AQ118:AQ134)</f>
        <v>#REF!</v>
      </c>
      <c r="AR117" s="92" t="e">
        <f t="shared" si="109"/>
        <v>#REF!</v>
      </c>
      <c r="AS117" s="97" t="e">
        <f t="shared" si="110"/>
        <v>#REF!</v>
      </c>
      <c r="AU117" s="25" t="e">
        <f t="shared" ref="AU117:BA117" si="121">SUM(AU118:AU134)</f>
        <v>#REF!</v>
      </c>
      <c r="AV117" s="25" t="e">
        <f t="shared" si="121"/>
        <v>#REF!</v>
      </c>
      <c r="AW117" s="25" t="e">
        <f t="shared" si="121"/>
        <v>#REF!</v>
      </c>
      <c r="AX117" s="25" t="e">
        <f t="shared" si="121"/>
        <v>#REF!</v>
      </c>
      <c r="AY117" s="25" t="e">
        <f t="shared" si="121"/>
        <v>#REF!</v>
      </c>
      <c r="AZ117" s="25" t="e">
        <f t="shared" si="121"/>
        <v>#REF!</v>
      </c>
      <c r="BA117" s="25" t="e">
        <f t="shared" si="121"/>
        <v>#REF!</v>
      </c>
    </row>
    <row r="118" spans="1:53" s="4" customFormat="1" ht="19.5" customHeight="1" outlineLevel="1">
      <c r="A118" s="13"/>
      <c r="B118" s="18" t="s">
        <v>98</v>
      </c>
      <c r="C118" s="343" t="s">
        <v>9</v>
      </c>
      <c r="D118" s="28">
        <f t="shared" ref="D118:D135" si="122">SUM(F118:I118)</f>
        <v>1089.1199999999999</v>
      </c>
      <c r="E118" s="76">
        <f t="shared" si="68"/>
        <v>242.82197201562607</v>
      </c>
      <c r="F118" s="28">
        <v>102.07012568727171</v>
      </c>
      <c r="G118" s="28">
        <v>140.75184632835436</v>
      </c>
      <c r="H118" s="29">
        <v>773.70287912069227</v>
      </c>
      <c r="I118" s="29">
        <v>72.595148863681501</v>
      </c>
      <c r="J118" s="214"/>
      <c r="K118" s="214"/>
      <c r="L118" s="214"/>
      <c r="M118" s="28">
        <f>'[53]Свод АУП'!$C$34</f>
        <v>1089.1200000000001</v>
      </c>
      <c r="N118" s="76">
        <f t="shared" si="92"/>
        <v>208.75702888297425</v>
      </c>
      <c r="O118" s="28">
        <f>$M$118*O90</f>
        <v>79.568398677907112</v>
      </c>
      <c r="P118" s="28">
        <f>$M$118*P90</f>
        <v>129.18863020506714</v>
      </c>
      <c r="Q118" s="28">
        <f>$M$118*Q90</f>
        <v>838.3963629446348</v>
      </c>
      <c r="R118" s="28">
        <f>$M$118*R90</f>
        <v>41.966608172391005</v>
      </c>
      <c r="T118" s="15"/>
      <c r="U118" s="15"/>
      <c r="V118" s="15"/>
      <c r="W118" s="15"/>
      <c r="X118" s="15"/>
      <c r="AC118" s="15"/>
      <c r="AD118" s="15"/>
      <c r="AQ118" s="93" t="e">
        <f>#REF!</f>
        <v>#REF!</v>
      </c>
      <c r="AR118" s="93" t="e">
        <f t="shared" si="109"/>
        <v>#REF!</v>
      </c>
      <c r="AS118" s="97" t="e">
        <f t="shared" si="110"/>
        <v>#REF!</v>
      </c>
      <c r="AU118" s="28" t="e">
        <f t="shared" si="120"/>
        <v>#REF!</v>
      </c>
      <c r="AV118" s="28" t="e">
        <f>#REF!</f>
        <v>#REF!</v>
      </c>
      <c r="AW118" s="28" t="e">
        <f>#REF!</f>
        <v>#REF!</v>
      </c>
      <c r="AX118" s="28" t="e">
        <f>#REF!</f>
        <v>#REF!</v>
      </c>
      <c r="AY118" s="28" t="e">
        <f>#REF!</f>
        <v>#REF!</v>
      </c>
      <c r="AZ118" s="28" t="e">
        <f>#REF!</f>
        <v>#REF!</v>
      </c>
      <c r="BA118" s="28" t="e">
        <f>#REF!</f>
        <v>#REF!</v>
      </c>
    </row>
    <row r="119" spans="1:53" s="4" customFormat="1" ht="36.75" customHeight="1" outlineLevel="1">
      <c r="A119" s="13"/>
      <c r="B119" s="18" t="s">
        <v>99</v>
      </c>
      <c r="C119" s="343" t="s">
        <v>9</v>
      </c>
      <c r="D119" s="28">
        <f t="shared" si="122"/>
        <v>158.00000000000003</v>
      </c>
      <c r="E119" s="76">
        <f t="shared" si="68"/>
        <v>35.226487052362387</v>
      </c>
      <c r="F119" s="28">
        <v>14.807440739853213</v>
      </c>
      <c r="G119" s="28">
        <v>20.419046312509174</v>
      </c>
      <c r="H119" s="29">
        <v>112.24204394471629</v>
      </c>
      <c r="I119" s="29">
        <v>10.531469002921328</v>
      </c>
      <c r="J119" s="214"/>
      <c r="K119" s="214"/>
      <c r="L119" s="214"/>
      <c r="M119" s="28">
        <f>'[53]Свод АУП'!$C$35</f>
        <v>158</v>
      </c>
      <c r="N119" s="76">
        <f t="shared" si="92"/>
        <v>30.284643164674165</v>
      </c>
      <c r="O119" s="28">
        <f>$M$119*O90</f>
        <v>11.543087071313833</v>
      </c>
      <c r="P119" s="28">
        <f>$M$119*P90</f>
        <v>18.741556093360334</v>
      </c>
      <c r="Q119" s="28">
        <f>$M$119*Q90</f>
        <v>121.62720852179034</v>
      </c>
      <c r="R119" s="28">
        <f>$D$119*R90</f>
        <v>6.0881483135354957</v>
      </c>
      <c r="T119" s="15"/>
      <c r="U119" s="15"/>
      <c r="V119" s="15"/>
      <c r="W119" s="15"/>
      <c r="X119" s="15"/>
      <c r="AC119" s="15"/>
      <c r="AD119" s="15"/>
      <c r="AQ119" s="93" t="e">
        <f>#REF!</f>
        <v>#REF!</v>
      </c>
      <c r="AR119" s="93" t="e">
        <f t="shared" si="109"/>
        <v>#REF!</v>
      </c>
      <c r="AS119" s="97" t="e">
        <f t="shared" si="110"/>
        <v>#REF!</v>
      </c>
      <c r="AU119" s="28" t="e">
        <f t="shared" si="120"/>
        <v>#REF!</v>
      </c>
      <c r="AV119" s="28" t="e">
        <f>#REF!</f>
        <v>#REF!</v>
      </c>
      <c r="AW119" s="28" t="e">
        <f>#REF!</f>
        <v>#REF!</v>
      </c>
      <c r="AX119" s="28" t="e">
        <f>#REF!</f>
        <v>#REF!</v>
      </c>
      <c r="AY119" s="28" t="e">
        <f>#REF!</f>
        <v>#REF!</v>
      </c>
      <c r="AZ119" s="28" t="e">
        <f>#REF!</f>
        <v>#REF!</v>
      </c>
      <c r="BA119" s="28" t="e">
        <f>#REF!</f>
        <v>#REF!</v>
      </c>
    </row>
    <row r="120" spans="1:53" s="4" customFormat="1" ht="19.5" customHeight="1" outlineLevel="1">
      <c r="A120" s="13"/>
      <c r="B120" s="18" t="s">
        <v>162</v>
      </c>
      <c r="C120" s="343" t="s">
        <v>9</v>
      </c>
      <c r="D120" s="28">
        <f t="shared" si="122"/>
        <v>463.51600000000008</v>
      </c>
      <c r="E120" s="76">
        <f t="shared" si="68"/>
        <v>103.34202767444813</v>
      </c>
      <c r="F120" s="28">
        <v>43.439782923884827</v>
      </c>
      <c r="G120" s="28">
        <v>59.902244750563305</v>
      </c>
      <c r="H120" s="29">
        <v>329.27837494353872</v>
      </c>
      <c r="I120" s="29">
        <v>30.895597382013182</v>
      </c>
      <c r="J120" s="214"/>
      <c r="K120" s="214"/>
      <c r="L120" s="214"/>
      <c r="M120" s="28">
        <f>'[53]Свод АУП'!$C$36</f>
        <v>463.51599999999996</v>
      </c>
      <c r="N120" s="76">
        <f t="shared" si="92"/>
        <v>88.84440924757665</v>
      </c>
      <c r="O120" s="28">
        <f>$M$120*O90</f>
        <v>33.863326246500648</v>
      </c>
      <c r="P120" s="28">
        <f>$M$120*P90</f>
        <v>54.981083001076001</v>
      </c>
      <c r="Q120" s="28">
        <f>$M$120*Q90</f>
        <v>356.81112142522886</v>
      </c>
      <c r="R120" s="28">
        <f>$M$120*R90</f>
        <v>17.860469327194419</v>
      </c>
      <c r="T120" s="15"/>
      <c r="U120" s="15"/>
      <c r="V120" s="15"/>
      <c r="W120" s="15"/>
      <c r="X120" s="15"/>
      <c r="AC120" s="15"/>
      <c r="AD120" s="15"/>
      <c r="AQ120" s="93" t="e">
        <f>#REF!</f>
        <v>#REF!</v>
      </c>
      <c r="AR120" s="93" t="e">
        <f t="shared" si="109"/>
        <v>#REF!</v>
      </c>
      <c r="AS120" s="97" t="e">
        <f t="shared" si="110"/>
        <v>#REF!</v>
      </c>
      <c r="AU120" s="28" t="e">
        <f t="shared" si="120"/>
        <v>#REF!</v>
      </c>
      <c r="AV120" s="28" t="e">
        <f>#REF!</f>
        <v>#REF!</v>
      </c>
      <c r="AW120" s="28" t="e">
        <f>#REF!</f>
        <v>#REF!</v>
      </c>
      <c r="AX120" s="28" t="e">
        <f>#REF!</f>
        <v>#REF!</v>
      </c>
      <c r="AY120" s="28" t="e">
        <f>#REF!</f>
        <v>#REF!</v>
      </c>
      <c r="AZ120" s="28" t="e">
        <f>#REF!</f>
        <v>#REF!</v>
      </c>
      <c r="BA120" s="28" t="e">
        <f>#REF!</f>
        <v>#REF!</v>
      </c>
    </row>
    <row r="121" spans="1:53" s="4" customFormat="1" ht="36.75" customHeight="1" outlineLevel="1">
      <c r="A121" s="13"/>
      <c r="B121" s="18" t="s">
        <v>100</v>
      </c>
      <c r="C121" s="343" t="s">
        <v>9</v>
      </c>
      <c r="D121" s="28">
        <f t="shared" si="122"/>
        <v>2749.6089285714284</v>
      </c>
      <c r="E121" s="76">
        <f t="shared" si="68"/>
        <v>613.0320463378572</v>
      </c>
      <c r="F121" s="28">
        <v>257.68779283286528</v>
      </c>
      <c r="G121" s="28">
        <v>355.34425350499191</v>
      </c>
      <c r="H121" s="29">
        <v>1953.3020645031552</v>
      </c>
      <c r="I121" s="29">
        <v>183.27481773041598</v>
      </c>
      <c r="J121" s="214"/>
      <c r="K121" s="214"/>
      <c r="L121" s="214"/>
      <c r="M121" s="28">
        <f>'[53]Свод АУП'!$C$37</f>
        <v>2749.6089285714284</v>
      </c>
      <c r="N121" s="76">
        <f t="shared" si="92"/>
        <v>527.03117243156817</v>
      </c>
      <c r="O121" s="28">
        <f>$M$121*O90</f>
        <v>200.87959034532872</v>
      </c>
      <c r="P121" s="28">
        <f>$M$121*P90</f>
        <v>326.15158208623944</v>
      </c>
      <c r="Q121" s="28">
        <f>$M$121*Q90</f>
        <v>2116.6282184097063</v>
      </c>
      <c r="R121" s="28">
        <f>$M$121*R90</f>
        <v>105.94953773015366</v>
      </c>
      <c r="T121" s="15"/>
      <c r="U121" s="15"/>
      <c r="V121" s="15"/>
      <c r="W121" s="15"/>
      <c r="X121" s="15"/>
      <c r="AC121" s="15"/>
      <c r="AD121" s="15"/>
      <c r="AQ121" s="93" t="e">
        <f>#REF!</f>
        <v>#REF!</v>
      </c>
      <c r="AR121" s="93" t="e">
        <f t="shared" si="109"/>
        <v>#REF!</v>
      </c>
      <c r="AS121" s="97" t="e">
        <f t="shared" si="110"/>
        <v>#REF!</v>
      </c>
      <c r="AU121" s="28" t="e">
        <f t="shared" si="120"/>
        <v>#REF!</v>
      </c>
      <c r="AV121" s="28" t="e">
        <f>#REF!</f>
        <v>#REF!</v>
      </c>
      <c r="AW121" s="28" t="e">
        <f>#REF!</f>
        <v>#REF!</v>
      </c>
      <c r="AX121" s="28" t="e">
        <f>#REF!</f>
        <v>#REF!</v>
      </c>
      <c r="AY121" s="28" t="e">
        <f>#REF!</f>
        <v>#REF!</v>
      </c>
      <c r="AZ121" s="28" t="e">
        <f>#REF!</f>
        <v>#REF!</v>
      </c>
      <c r="BA121" s="28" t="e">
        <f>#REF!</f>
        <v>#REF!</v>
      </c>
    </row>
    <row r="122" spans="1:53" s="4" customFormat="1" ht="19.5" customHeight="1" outlineLevel="1">
      <c r="A122" s="13"/>
      <c r="B122" s="18" t="s">
        <v>95</v>
      </c>
      <c r="C122" s="343" t="s">
        <v>9</v>
      </c>
      <c r="D122" s="28">
        <f t="shared" si="122"/>
        <v>69.40000000000002</v>
      </c>
      <c r="E122" s="76">
        <f t="shared" si="68"/>
        <v>21.940131024190826</v>
      </c>
      <c r="F122" s="28">
        <v>11.158977475419155</v>
      </c>
      <c r="G122" s="28">
        <v>10.781153548771671</v>
      </c>
      <c r="H122" s="29">
        <v>45.853843616918184</v>
      </c>
      <c r="I122" s="29">
        <v>1.6060253588910109</v>
      </c>
      <c r="J122" s="214"/>
      <c r="K122" s="214"/>
      <c r="L122" s="214"/>
      <c r="M122" s="28">
        <f>'[53]Свод АУП'!$C$38</f>
        <v>69.399999999999977</v>
      </c>
      <c r="N122" s="76">
        <f t="shared" si="92"/>
        <v>19.119880220285751</v>
      </c>
      <c r="O122" s="28">
        <f>$M$122*O91</f>
        <v>10.004288125331355</v>
      </c>
      <c r="P122" s="28">
        <f>$M$122*P91</f>
        <v>9.115592094954394</v>
      </c>
      <c r="Q122" s="28">
        <f>$M$122*Q91</f>
        <v>49.486597523408378</v>
      </c>
      <c r="R122" s="28">
        <f>$M$122*R91</f>
        <v>0.79352225630585183</v>
      </c>
      <c r="T122" s="15"/>
      <c r="U122" s="15"/>
      <c r="V122" s="15"/>
      <c r="W122" s="15"/>
      <c r="X122" s="15"/>
      <c r="AC122" s="15"/>
      <c r="AD122" s="15"/>
      <c r="AQ122" s="93" t="e">
        <f>#REF!</f>
        <v>#REF!</v>
      </c>
      <c r="AR122" s="93" t="e">
        <f t="shared" si="109"/>
        <v>#REF!</v>
      </c>
      <c r="AS122" s="97" t="e">
        <f t="shared" si="110"/>
        <v>#REF!</v>
      </c>
      <c r="AU122" s="28" t="e">
        <f t="shared" si="120"/>
        <v>#REF!</v>
      </c>
      <c r="AV122" s="28" t="e">
        <f>#REF!</f>
        <v>#REF!</v>
      </c>
      <c r="AW122" s="28" t="e">
        <f>#REF!</f>
        <v>#REF!</v>
      </c>
      <c r="AX122" s="28" t="e">
        <f>#REF!</f>
        <v>#REF!</v>
      </c>
      <c r="AY122" s="28" t="e">
        <f>#REF!</f>
        <v>#REF!</v>
      </c>
      <c r="AZ122" s="28" t="e">
        <f>#REF!</f>
        <v>#REF!</v>
      </c>
      <c r="BA122" s="28" t="e">
        <f>#REF!</f>
        <v>#REF!</v>
      </c>
    </row>
    <row r="123" spans="1:53" s="4" customFormat="1" ht="19.5" customHeight="1" outlineLevel="1">
      <c r="A123" s="13"/>
      <c r="B123" s="18" t="s">
        <v>121</v>
      </c>
      <c r="C123" s="343" t="s">
        <v>9</v>
      </c>
      <c r="D123" s="28">
        <f t="shared" si="122"/>
        <v>1457.6375</v>
      </c>
      <c r="E123" s="76">
        <f t="shared" si="68"/>
        <v>324.98385139739162</v>
      </c>
      <c r="F123" s="28">
        <v>136.60684114834044</v>
      </c>
      <c r="G123" s="28">
        <v>188.37701024905121</v>
      </c>
      <c r="H123" s="29">
        <v>1035.4950147497873</v>
      </c>
      <c r="I123" s="29">
        <v>97.15863385282114</v>
      </c>
      <c r="J123" s="214"/>
      <c r="K123" s="214"/>
      <c r="L123" s="214"/>
      <c r="M123" s="28">
        <f>'[53]Свод АУП'!$C$39</f>
        <v>1457.6374999999998</v>
      </c>
      <c r="N123" s="76">
        <f t="shared" si="92"/>
        <v>279.39260475283379</v>
      </c>
      <c r="O123" s="28">
        <f>$M$123*O90</f>
        <v>106.49137076526719</v>
      </c>
      <c r="P123" s="28">
        <f>$M$123*P90</f>
        <v>172.9012339875666</v>
      </c>
      <c r="Q123" s="28">
        <f>$M$123*Q90</f>
        <v>1122.0783554536781</v>
      </c>
      <c r="R123" s="28">
        <f>$M$123*R90</f>
        <v>56.166539793487935</v>
      </c>
      <c r="T123" s="15"/>
      <c r="U123" s="15"/>
      <c r="V123" s="15"/>
      <c r="W123" s="15"/>
      <c r="X123" s="15"/>
      <c r="AC123" s="15"/>
      <c r="AD123" s="15"/>
      <c r="AQ123" s="93" t="e">
        <f>#REF!</f>
        <v>#REF!</v>
      </c>
      <c r="AR123" s="93" t="e">
        <f t="shared" si="109"/>
        <v>#REF!</v>
      </c>
      <c r="AS123" s="97" t="e">
        <f t="shared" si="110"/>
        <v>#REF!</v>
      </c>
      <c r="AU123" s="28" t="e">
        <f t="shared" si="120"/>
        <v>#REF!</v>
      </c>
      <c r="AV123" s="28" t="e">
        <f>#REF!</f>
        <v>#REF!</v>
      </c>
      <c r="AW123" s="28" t="e">
        <f>#REF!</f>
        <v>#REF!</v>
      </c>
      <c r="AX123" s="28" t="e">
        <f>#REF!</f>
        <v>#REF!</v>
      </c>
      <c r="AY123" s="28" t="e">
        <f>#REF!</f>
        <v>#REF!</v>
      </c>
      <c r="AZ123" s="28" t="e">
        <f>#REF!</f>
        <v>#REF!</v>
      </c>
      <c r="BA123" s="28" t="e">
        <f>#REF!</f>
        <v>#REF!</v>
      </c>
    </row>
    <row r="124" spans="1:53" s="4" customFormat="1" ht="19.5" customHeight="1" outlineLevel="1">
      <c r="A124" s="13"/>
      <c r="B124" s="18" t="s">
        <v>101</v>
      </c>
      <c r="C124" s="343" t="s">
        <v>9</v>
      </c>
      <c r="D124" s="28">
        <f t="shared" si="122"/>
        <v>438.87040000000002</v>
      </c>
      <c r="E124" s="76">
        <f t="shared" si="68"/>
        <v>97.847230780158867</v>
      </c>
      <c r="F124" s="28">
        <v>41.130047091618202</v>
      </c>
      <c r="G124" s="28">
        <v>56.717183688540672</v>
      </c>
      <c r="H124" s="29">
        <v>311.77032103060264</v>
      </c>
      <c r="I124" s="29">
        <v>29.252848189238513</v>
      </c>
      <c r="J124" s="214"/>
      <c r="K124" s="214"/>
      <c r="L124" s="214"/>
      <c r="M124" s="28">
        <f>'[53]Свод АУП'!$C$40</f>
        <v>438.8703999999999</v>
      </c>
      <c r="N124" s="76">
        <f t="shared" si="92"/>
        <v>84.120464933783637</v>
      </c>
      <c r="O124" s="28">
        <f>$M$124*O90</f>
        <v>32.062780001407148</v>
      </c>
      <c r="P124" s="28">
        <f>$M$124*P90</f>
        <v>52.057684932376496</v>
      </c>
      <c r="Q124" s="28">
        <f>$M$124*Q90</f>
        <v>337.83912439773115</v>
      </c>
      <c r="R124" s="28">
        <f>$M$124*R90</f>
        <v>16.910810668485109</v>
      </c>
      <c r="T124" s="15"/>
      <c r="U124" s="15"/>
      <c r="V124" s="15"/>
      <c r="W124" s="15"/>
      <c r="X124" s="15"/>
      <c r="AC124" s="15"/>
      <c r="AD124" s="15"/>
      <c r="AQ124" s="93" t="e">
        <f>#REF!</f>
        <v>#REF!</v>
      </c>
      <c r="AR124" s="93" t="e">
        <f t="shared" si="109"/>
        <v>#REF!</v>
      </c>
      <c r="AS124" s="97" t="e">
        <f t="shared" si="110"/>
        <v>#REF!</v>
      </c>
      <c r="AU124" s="28" t="e">
        <f t="shared" si="120"/>
        <v>#REF!</v>
      </c>
      <c r="AV124" s="28" t="e">
        <f>#REF!</f>
        <v>#REF!</v>
      </c>
      <c r="AW124" s="28" t="e">
        <f>#REF!</f>
        <v>#REF!</v>
      </c>
      <c r="AX124" s="28" t="e">
        <f>#REF!</f>
        <v>#REF!</v>
      </c>
      <c r="AY124" s="28" t="e">
        <f>#REF!</f>
        <v>#REF!</v>
      </c>
      <c r="AZ124" s="28" t="e">
        <f>#REF!</f>
        <v>#REF!</v>
      </c>
      <c r="BA124" s="28" t="e">
        <f>#REF!</f>
        <v>#REF!</v>
      </c>
    </row>
    <row r="125" spans="1:53" s="4" customFormat="1" ht="19.5" customHeight="1" outlineLevel="1">
      <c r="A125" s="13"/>
      <c r="B125" s="18" t="s">
        <v>102</v>
      </c>
      <c r="C125" s="343" t="s">
        <v>9</v>
      </c>
      <c r="D125" s="28">
        <f t="shared" si="122"/>
        <v>1899.8759999999995</v>
      </c>
      <c r="E125" s="76">
        <f t="shared" si="68"/>
        <v>423.58200832337997</v>
      </c>
      <c r="F125" s="28">
        <v>178.05253976626179</v>
      </c>
      <c r="G125" s="28">
        <v>245.52946855711818</v>
      </c>
      <c r="H125" s="29">
        <v>1349.6580093766565</v>
      </c>
      <c r="I125" s="29">
        <v>126.63598229996303</v>
      </c>
      <c r="J125" s="214"/>
      <c r="K125" s="214"/>
      <c r="L125" s="214"/>
      <c r="M125" s="28">
        <f>'[53]Свод АУП'!$C$41</f>
        <v>1899.876</v>
      </c>
      <c r="N125" s="76">
        <f t="shared" si="92"/>
        <v>364.15865010840821</v>
      </c>
      <c r="O125" s="28">
        <f>$M$125*O90</f>
        <v>138.80021577657874</v>
      </c>
      <c r="P125" s="28">
        <f>$M$125*P90</f>
        <v>225.3584343318295</v>
      </c>
      <c r="Q125" s="28">
        <f>$M$125*Q90</f>
        <v>1462.5102178325628</v>
      </c>
      <c r="R125" s="28">
        <f>$M$125*R90</f>
        <v>73.207132059028865</v>
      </c>
      <c r="T125" s="15"/>
      <c r="U125" s="15"/>
      <c r="V125" s="15"/>
      <c r="W125" s="15"/>
      <c r="X125" s="15"/>
      <c r="AC125" s="15"/>
      <c r="AD125" s="15"/>
      <c r="AQ125" s="93" t="e">
        <f>#REF!</f>
        <v>#REF!</v>
      </c>
      <c r="AR125" s="93" t="e">
        <f t="shared" si="109"/>
        <v>#REF!</v>
      </c>
      <c r="AS125" s="97" t="e">
        <f t="shared" si="110"/>
        <v>#REF!</v>
      </c>
      <c r="AU125" s="28" t="e">
        <f t="shared" si="120"/>
        <v>#REF!</v>
      </c>
      <c r="AV125" s="28" t="e">
        <f>#REF!</f>
        <v>#REF!</v>
      </c>
      <c r="AW125" s="28" t="e">
        <f>#REF!</f>
        <v>#REF!</v>
      </c>
      <c r="AX125" s="28" t="e">
        <f>#REF!</f>
        <v>#REF!</v>
      </c>
      <c r="AY125" s="28" t="e">
        <f>#REF!</f>
        <v>#REF!</v>
      </c>
      <c r="AZ125" s="28" t="e">
        <f>#REF!</f>
        <v>#REF!</v>
      </c>
      <c r="BA125" s="28" t="e">
        <f>#REF!</f>
        <v>#REF!</v>
      </c>
    </row>
    <row r="126" spans="1:53" s="4" customFormat="1" ht="19.5" customHeight="1" outlineLevel="1">
      <c r="A126" s="13"/>
      <c r="B126" s="18" t="s">
        <v>103</v>
      </c>
      <c r="C126" s="343" t="s">
        <v>9</v>
      </c>
      <c r="D126" s="28">
        <f t="shared" si="122"/>
        <v>6428.5714285714266</v>
      </c>
      <c r="E126" s="76">
        <f t="shared" si="68"/>
        <v>1433.2657480617604</v>
      </c>
      <c r="F126" s="28">
        <v>602.47272449673994</v>
      </c>
      <c r="G126" s="28">
        <v>830.79302356502035</v>
      </c>
      <c r="H126" s="29">
        <v>4566.8101062497572</v>
      </c>
      <c r="I126" s="29">
        <v>428.49557425990929</v>
      </c>
      <c r="J126" s="214"/>
      <c r="K126" s="214"/>
      <c r="L126" s="214"/>
      <c r="M126" s="28">
        <f>'[53]Свод АУП'!$C$42</f>
        <v>6026.7857142857138</v>
      </c>
      <c r="N126" s="76">
        <f t="shared" si="92"/>
        <v>1155.1838910575871</v>
      </c>
      <c r="O126" s="28">
        <f>$M$126*O90</f>
        <v>440.30197633006537</v>
      </c>
      <c r="P126" s="28">
        <f>$M$126*P90</f>
        <v>714.8819147275218</v>
      </c>
      <c r="Q126" s="28">
        <f>$M$126*Q90</f>
        <v>4639.3741948580737</v>
      </c>
      <c r="R126" s="28">
        <f>$M$126*R90</f>
        <v>232.22762837005303</v>
      </c>
      <c r="T126" s="15"/>
      <c r="U126" s="15"/>
      <c r="V126" s="15"/>
      <c r="W126" s="15"/>
      <c r="X126" s="15"/>
      <c r="AC126" s="15"/>
      <c r="AD126" s="15"/>
      <c r="AQ126" s="93" t="e">
        <f>#REF!</f>
        <v>#REF!</v>
      </c>
      <c r="AR126" s="93" t="e">
        <f t="shared" si="109"/>
        <v>#REF!</v>
      </c>
      <c r="AS126" s="97" t="e">
        <f t="shared" si="110"/>
        <v>#REF!</v>
      </c>
      <c r="AU126" s="28" t="e">
        <f t="shared" si="120"/>
        <v>#REF!</v>
      </c>
      <c r="AV126" s="28" t="e">
        <f>#REF!</f>
        <v>#REF!</v>
      </c>
      <c r="AW126" s="28" t="e">
        <f>#REF!</f>
        <v>#REF!</v>
      </c>
      <c r="AX126" s="28" t="e">
        <f>#REF!</f>
        <v>#REF!</v>
      </c>
      <c r="AY126" s="28" t="e">
        <f>#REF!</f>
        <v>#REF!</v>
      </c>
      <c r="AZ126" s="28" t="e">
        <f>#REF!</f>
        <v>#REF!</v>
      </c>
      <c r="BA126" s="28" t="e">
        <f>#REF!</f>
        <v>#REF!</v>
      </c>
    </row>
    <row r="127" spans="1:53" s="4" customFormat="1" ht="19.5" customHeight="1" outlineLevel="1">
      <c r="A127" s="13"/>
      <c r="B127" s="18" t="s">
        <v>106</v>
      </c>
      <c r="C127" s="343" t="s">
        <v>9</v>
      </c>
      <c r="D127" s="28">
        <f t="shared" si="122"/>
        <v>281.31712707182322</v>
      </c>
      <c r="E127" s="76">
        <f t="shared" si="68"/>
        <v>62.720342622806108</v>
      </c>
      <c r="F127" s="28">
        <v>26.364472710264423</v>
      </c>
      <c r="G127" s="28">
        <v>36.355869912541685</v>
      </c>
      <c r="H127" s="29">
        <v>199.84562872909441</v>
      </c>
      <c r="I127" s="29">
        <v>18.751155719922703</v>
      </c>
      <c r="J127" s="214"/>
      <c r="K127" s="214"/>
      <c r="L127" s="214"/>
      <c r="M127" s="28">
        <f>'[53]Свод АУП'!$C$43</f>
        <v>281.31712707182322</v>
      </c>
      <c r="N127" s="76">
        <f t="shared" si="92"/>
        <v>53.921448161275094</v>
      </c>
      <c r="O127" s="28">
        <f>$M$127*O90</f>
        <v>20.552329698999451</v>
      </c>
      <c r="P127" s="28">
        <f>$M$127*P90</f>
        <v>33.369118462275644</v>
      </c>
      <c r="Q127" s="28">
        <f>$M$127*Q90</f>
        <v>216.55580300706094</v>
      </c>
      <c r="R127" s="28">
        <f>$M$127*R90</f>
        <v>10.839875903487158</v>
      </c>
      <c r="T127" s="15"/>
      <c r="U127" s="15"/>
      <c r="V127" s="15"/>
      <c r="W127" s="15"/>
      <c r="X127" s="15"/>
      <c r="AC127" s="15"/>
      <c r="AD127" s="15"/>
      <c r="AQ127" s="93" t="e">
        <f>#REF!</f>
        <v>#REF!</v>
      </c>
      <c r="AR127" s="93" t="e">
        <f t="shared" si="109"/>
        <v>#REF!</v>
      </c>
      <c r="AS127" s="97" t="e">
        <f t="shared" si="110"/>
        <v>#REF!</v>
      </c>
      <c r="AU127" s="28" t="e">
        <f t="shared" si="120"/>
        <v>#REF!</v>
      </c>
      <c r="AV127" s="28" t="e">
        <f>#REF!</f>
        <v>#REF!</v>
      </c>
      <c r="AW127" s="28" t="e">
        <f>#REF!</f>
        <v>#REF!</v>
      </c>
      <c r="AX127" s="28" t="e">
        <f>#REF!</f>
        <v>#REF!</v>
      </c>
      <c r="AY127" s="28" t="e">
        <f>#REF!</f>
        <v>#REF!</v>
      </c>
      <c r="AZ127" s="28" t="e">
        <f>#REF!</f>
        <v>#REF!</v>
      </c>
      <c r="BA127" s="28" t="e">
        <f>#REF!</f>
        <v>#REF!</v>
      </c>
    </row>
    <row r="128" spans="1:53" s="4" customFormat="1" ht="19.5" customHeight="1">
      <c r="A128" s="13"/>
      <c r="B128" s="18" t="s">
        <v>163</v>
      </c>
      <c r="C128" s="343" t="s">
        <v>9</v>
      </c>
      <c r="D128" s="28">
        <f t="shared" si="122"/>
        <v>15.722651933701655</v>
      </c>
      <c r="E128" s="76">
        <f t="shared" si="68"/>
        <v>3.5054037643755813</v>
      </c>
      <c r="F128" s="28">
        <v>1.4734951695039609</v>
      </c>
      <c r="G128" s="28">
        <v>2.0319085948716205</v>
      </c>
      <c r="H128" s="29">
        <v>11.169256894114049</v>
      </c>
      <c r="I128" s="29">
        <v>1.047991275212026</v>
      </c>
      <c r="J128" s="214"/>
      <c r="K128" s="214"/>
      <c r="L128" s="214"/>
      <c r="M128" s="28">
        <f>'[53]Свод АУП'!$C$44</f>
        <v>15.722651933701659</v>
      </c>
      <c r="N128" s="76">
        <f t="shared" si="92"/>
        <v>3.0136386292058801</v>
      </c>
      <c r="O128" s="28">
        <f>$M$128*O90</f>
        <v>1.1486578497637916</v>
      </c>
      <c r="P128" s="28">
        <f>$M$128*P90</f>
        <v>1.8649807794420885</v>
      </c>
      <c r="Q128" s="28">
        <f>$M$128*Q90</f>
        <v>12.103178894024442</v>
      </c>
      <c r="R128" s="28">
        <f>$M$128*R90</f>
        <v>0.60583441047133757</v>
      </c>
      <c r="T128" s="15"/>
      <c r="U128" s="15"/>
      <c r="V128" s="15"/>
      <c r="W128" s="15"/>
      <c r="X128" s="15"/>
      <c r="AC128" s="15"/>
      <c r="AD128" s="15"/>
      <c r="AQ128" s="93" t="e">
        <f>#REF!</f>
        <v>#REF!</v>
      </c>
      <c r="AR128" s="93" t="e">
        <f t="shared" si="109"/>
        <v>#REF!</v>
      </c>
      <c r="AS128" s="97" t="e">
        <f t="shared" si="110"/>
        <v>#REF!</v>
      </c>
      <c r="AU128" s="28" t="e">
        <f t="shared" si="120"/>
        <v>#REF!</v>
      </c>
      <c r="AV128" s="28" t="e">
        <f>#REF!</f>
        <v>#REF!</v>
      </c>
      <c r="AW128" s="28" t="e">
        <f>#REF!</f>
        <v>#REF!</v>
      </c>
      <c r="AX128" s="28" t="e">
        <f>#REF!</f>
        <v>#REF!</v>
      </c>
      <c r="AY128" s="28" t="e">
        <f>#REF!</f>
        <v>#REF!</v>
      </c>
      <c r="AZ128" s="28" t="e">
        <f>#REF!</f>
        <v>#REF!</v>
      </c>
      <c r="BA128" s="28" t="e">
        <f>#REF!</f>
        <v>#REF!</v>
      </c>
    </row>
    <row r="129" spans="1:53" s="4" customFormat="1" ht="34.5" customHeight="1" outlineLevel="1">
      <c r="A129" s="13"/>
      <c r="B129" s="18" t="s">
        <v>110</v>
      </c>
      <c r="C129" s="343" t="s">
        <v>9</v>
      </c>
      <c r="D129" s="28">
        <f t="shared" si="122"/>
        <v>1606.6637374617146</v>
      </c>
      <c r="E129" s="76">
        <f t="shared" si="68"/>
        <v>507.93102178279742</v>
      </c>
      <c r="F129" s="28">
        <v>258.33896911971215</v>
      </c>
      <c r="G129" s="28">
        <v>249.59205266308524</v>
      </c>
      <c r="H129" s="29">
        <v>1061.551985051048</v>
      </c>
      <c r="I129" s="29">
        <v>37.180730627869195</v>
      </c>
      <c r="J129" s="214"/>
      <c r="K129" s="214"/>
      <c r="L129" s="214"/>
      <c r="M129" s="28">
        <f>'[53]Свод АУП'!$C$45</f>
        <v>1606.6637374617144</v>
      </c>
      <c r="N129" s="76">
        <f t="shared" si="92"/>
        <v>442.64003190986477</v>
      </c>
      <c r="O129" s="28">
        <f>$M$129*O91</f>
        <v>231.60701657188369</v>
      </c>
      <c r="P129" s="28">
        <f>$M$129*P91</f>
        <v>211.03301533798111</v>
      </c>
      <c r="Q129" s="28">
        <f>$M$129*Q91</f>
        <v>1145.653050882175</v>
      </c>
      <c r="R129" s="28">
        <f>$M$129*R91</f>
        <v>18.370654669674536</v>
      </c>
      <c r="T129" s="15"/>
      <c r="U129" s="15"/>
      <c r="V129" s="15"/>
      <c r="W129" s="15"/>
      <c r="X129" s="15"/>
      <c r="AC129" s="15"/>
      <c r="AD129" s="15"/>
      <c r="AQ129" s="93" t="e">
        <f>#REF!</f>
        <v>#REF!</v>
      </c>
      <c r="AR129" s="93" t="e">
        <f t="shared" si="109"/>
        <v>#REF!</v>
      </c>
      <c r="AS129" s="97" t="e">
        <f t="shared" si="110"/>
        <v>#REF!</v>
      </c>
      <c r="AU129" s="28" t="e">
        <f t="shared" si="120"/>
        <v>#REF!</v>
      </c>
      <c r="AV129" s="28" t="e">
        <f>#REF!</f>
        <v>#REF!</v>
      </c>
      <c r="AW129" s="28" t="e">
        <f>#REF!</f>
        <v>#REF!</v>
      </c>
      <c r="AX129" s="28" t="e">
        <f>#REF!</f>
        <v>#REF!</v>
      </c>
      <c r="AY129" s="28" t="e">
        <f>#REF!</f>
        <v>#REF!</v>
      </c>
      <c r="AZ129" s="28" t="e">
        <f>#REF!</f>
        <v>#REF!</v>
      </c>
      <c r="BA129" s="28" t="e">
        <f>#REF!</f>
        <v>#REF!</v>
      </c>
    </row>
    <row r="130" spans="1:53" s="4" customFormat="1" ht="24.75" customHeight="1" outlineLevel="1">
      <c r="A130" s="13"/>
      <c r="B130" s="18" t="s">
        <v>164</v>
      </c>
      <c r="C130" s="343" t="s">
        <v>9</v>
      </c>
      <c r="D130" s="28">
        <f t="shared" si="122"/>
        <v>210</v>
      </c>
      <c r="E130" s="76">
        <f t="shared" si="68"/>
        <v>46.82001443668419</v>
      </c>
      <c r="F130" s="28">
        <v>19.680775666893513</v>
      </c>
      <c r="G130" s="28">
        <v>27.139238769790673</v>
      </c>
      <c r="H130" s="29">
        <v>149.18246347082544</v>
      </c>
      <c r="I130" s="29">
        <v>13.997522092490374</v>
      </c>
      <c r="J130" s="214"/>
      <c r="K130" s="214"/>
      <c r="L130" s="214"/>
      <c r="M130" s="28">
        <f>'[53]Свод АУП'!$C$49</f>
        <v>210</v>
      </c>
      <c r="N130" s="76">
        <f t="shared" si="92"/>
        <v>40.251740915073263</v>
      </c>
      <c r="O130" s="28">
        <f>$M$130*O90</f>
        <v>15.342077753012058</v>
      </c>
      <c r="P130" s="28">
        <f>$M$130*P90</f>
        <v>24.909663162061204</v>
      </c>
      <c r="Q130" s="28">
        <f>$M$130*Q90</f>
        <v>161.65641638972133</v>
      </c>
      <c r="R130" s="28">
        <f>$M$130*R90</f>
        <v>8.0918426952054041</v>
      </c>
      <c r="T130" s="15"/>
      <c r="U130" s="15"/>
      <c r="V130" s="15"/>
      <c r="W130" s="15"/>
      <c r="X130" s="15"/>
      <c r="AC130" s="15"/>
      <c r="AD130" s="15"/>
      <c r="AQ130" s="93" t="e">
        <f>#REF!</f>
        <v>#REF!</v>
      </c>
      <c r="AR130" s="93" t="e">
        <f t="shared" si="109"/>
        <v>#REF!</v>
      </c>
      <c r="AS130" s="97" t="e">
        <f t="shared" si="110"/>
        <v>#REF!</v>
      </c>
      <c r="AU130" s="28" t="e">
        <f t="shared" si="120"/>
        <v>#REF!</v>
      </c>
      <c r="AV130" s="28" t="e">
        <f>#REF!</f>
        <v>#REF!</v>
      </c>
      <c r="AW130" s="28" t="e">
        <f>#REF!</f>
        <v>#REF!</v>
      </c>
      <c r="AX130" s="28" t="e">
        <f>#REF!</f>
        <v>#REF!</v>
      </c>
      <c r="AY130" s="28" t="e">
        <f>#REF!</f>
        <v>#REF!</v>
      </c>
      <c r="AZ130" s="28" t="e">
        <f>#REF!</f>
        <v>#REF!</v>
      </c>
      <c r="BA130" s="28" t="e">
        <f>#REF!</f>
        <v>#REF!</v>
      </c>
    </row>
    <row r="131" spans="1:53" s="4" customFormat="1" outlineLevel="1">
      <c r="A131" s="341"/>
      <c r="B131" s="56" t="s">
        <v>130</v>
      </c>
      <c r="C131" s="344"/>
      <c r="D131" s="28">
        <f t="shared" si="122"/>
        <v>93.499999999999986</v>
      </c>
      <c r="E131" s="74">
        <f t="shared" si="68"/>
        <v>20.846054046809385</v>
      </c>
      <c r="F131" s="57">
        <v>8.7626310707359192</v>
      </c>
      <c r="G131" s="57">
        <v>12.083422976073464</v>
      </c>
      <c r="H131" s="29">
        <v>66.421715878677034</v>
      </c>
      <c r="I131" s="58">
        <v>6.2322300745135699</v>
      </c>
      <c r="J131" s="214"/>
      <c r="K131" s="214"/>
      <c r="L131" s="214"/>
      <c r="M131" s="28">
        <f>'[53]Свод АУП'!$C$50</f>
        <v>93.500000000000014</v>
      </c>
      <c r="N131" s="74">
        <f t="shared" si="92"/>
        <v>17.921608455044527</v>
      </c>
      <c r="O131" s="57">
        <f>$M$131*O90</f>
        <v>6.8308774757458455</v>
      </c>
      <c r="P131" s="57">
        <f>$M$131*P90</f>
        <v>11.090730979298682</v>
      </c>
      <c r="Q131" s="57">
        <f>$M$131*Q90</f>
        <v>71.97559491637594</v>
      </c>
      <c r="R131" s="57">
        <f>$M$131*R90</f>
        <v>3.6027966285795494</v>
      </c>
      <c r="T131" s="15"/>
      <c r="U131" s="15"/>
      <c r="V131" s="15"/>
      <c r="W131" s="15"/>
      <c r="X131" s="15"/>
      <c r="AC131" s="15"/>
      <c r="AD131" s="15"/>
      <c r="AQ131" s="93" t="e">
        <f>#REF!</f>
        <v>#REF!</v>
      </c>
      <c r="AR131" s="93" t="e">
        <f t="shared" si="109"/>
        <v>#REF!</v>
      </c>
      <c r="AS131" s="97" t="e">
        <f t="shared" si="110"/>
        <v>#REF!</v>
      </c>
      <c r="AU131" s="28" t="e">
        <f t="shared" si="120"/>
        <v>#REF!</v>
      </c>
      <c r="AV131" s="28" t="e">
        <f>#REF!</f>
        <v>#REF!</v>
      </c>
      <c r="AW131" s="28" t="e">
        <f>#REF!</f>
        <v>#REF!</v>
      </c>
      <c r="AX131" s="28" t="e">
        <f>#REF!</f>
        <v>#REF!</v>
      </c>
      <c r="AY131" s="28" t="e">
        <f>#REF!</f>
        <v>#REF!</v>
      </c>
      <c r="AZ131" s="28" t="e">
        <f>#REF!</f>
        <v>#REF!</v>
      </c>
      <c r="BA131" s="28" t="e">
        <f>#REF!</f>
        <v>#REF!</v>
      </c>
    </row>
    <row r="132" spans="1:53" s="4" customFormat="1" ht="20.25" customHeight="1" outlineLevel="1">
      <c r="A132" s="341"/>
      <c r="B132" s="56" t="s">
        <v>94</v>
      </c>
      <c r="C132" s="344"/>
      <c r="D132" s="28">
        <f t="shared" si="122"/>
        <v>207.94168329858704</v>
      </c>
      <c r="E132" s="70">
        <f t="shared" si="68"/>
        <v>65.738728774665589</v>
      </c>
      <c r="F132" s="57">
        <v>33.435397120024142</v>
      </c>
      <c r="G132" s="57">
        <v>32.30333165464144</v>
      </c>
      <c r="H132" s="29">
        <v>137.3908563027685</v>
      </c>
      <c r="I132" s="58">
        <v>4.8120982211529402</v>
      </c>
      <c r="J132" s="214"/>
      <c r="K132" s="214"/>
      <c r="L132" s="214"/>
      <c r="M132" s="28">
        <f>'[53]Свод АУП'!$C$51</f>
        <v>207.94168329858695</v>
      </c>
      <c r="N132" s="70">
        <f t="shared" si="92"/>
        <v>57.288473738812357</v>
      </c>
      <c r="O132" s="57">
        <f>$M$132*O91</f>
        <v>29.975626988263219</v>
      </c>
      <c r="P132" s="57">
        <f>$M$132*P91</f>
        <v>27.312846750549134</v>
      </c>
      <c r="Q132" s="57">
        <f>$M$132*Q91</f>
        <v>148.27559639390816</v>
      </c>
      <c r="R132" s="57">
        <f>$M$132*R91</f>
        <v>2.3776131658664501</v>
      </c>
      <c r="T132" s="15"/>
      <c r="U132" s="15"/>
      <c r="V132" s="15"/>
      <c r="W132" s="15"/>
      <c r="X132" s="15"/>
      <c r="AC132" s="15"/>
      <c r="AD132" s="15"/>
      <c r="AQ132" s="93" t="e">
        <f>#REF!</f>
        <v>#REF!</v>
      </c>
      <c r="AR132" s="93" t="e">
        <f t="shared" si="109"/>
        <v>#REF!</v>
      </c>
      <c r="AS132" s="97" t="e">
        <f t="shared" si="110"/>
        <v>#REF!</v>
      </c>
      <c r="AU132" s="28" t="e">
        <f t="shared" si="120"/>
        <v>#REF!</v>
      </c>
      <c r="AV132" s="28" t="e">
        <f>#REF!</f>
        <v>#REF!</v>
      </c>
      <c r="AW132" s="28" t="e">
        <f>#REF!</f>
        <v>#REF!</v>
      </c>
      <c r="AX132" s="28" t="e">
        <f>#REF!</f>
        <v>#REF!</v>
      </c>
      <c r="AY132" s="28" t="e">
        <f>#REF!</f>
        <v>#REF!</v>
      </c>
      <c r="AZ132" s="28" t="e">
        <f>#REF!</f>
        <v>#REF!</v>
      </c>
      <c r="BA132" s="28" t="e">
        <f>#REF!</f>
        <v>#REF!</v>
      </c>
    </row>
    <row r="133" spans="1:53" s="4" customFormat="1" hidden="1" outlineLevel="1">
      <c r="A133" s="341"/>
      <c r="B133" s="56" t="s">
        <v>165</v>
      </c>
      <c r="C133" s="344"/>
      <c r="D133" s="28">
        <f t="shared" si="122"/>
        <v>0</v>
      </c>
      <c r="E133" s="70">
        <f t="shared" si="68"/>
        <v>0</v>
      </c>
      <c r="F133" s="57">
        <v>0</v>
      </c>
      <c r="G133" s="57">
        <v>0</v>
      </c>
      <c r="H133" s="57">
        <v>0</v>
      </c>
      <c r="I133" s="58">
        <v>0</v>
      </c>
      <c r="M133" s="28">
        <v>0</v>
      </c>
      <c r="N133" s="70">
        <f t="shared" si="92"/>
        <v>0</v>
      </c>
      <c r="O133" s="57">
        <v>0</v>
      </c>
      <c r="P133" s="57">
        <v>0</v>
      </c>
      <c r="Q133" s="57">
        <v>0</v>
      </c>
      <c r="R133" s="58">
        <v>0</v>
      </c>
      <c r="T133" s="15"/>
      <c r="U133" s="15"/>
      <c r="V133" s="15"/>
      <c r="W133" s="15"/>
      <c r="X133" s="15"/>
      <c r="AC133" s="15"/>
      <c r="AD133" s="15"/>
      <c r="AQ133" s="93" t="e">
        <f>#REF!</f>
        <v>#REF!</v>
      </c>
      <c r="AR133" s="93" t="e">
        <f t="shared" si="109"/>
        <v>#REF!</v>
      </c>
      <c r="AS133" s="97" t="e">
        <f t="shared" si="110"/>
        <v>#REF!</v>
      </c>
      <c r="AU133" s="28">
        <f t="shared" si="120"/>
        <v>0</v>
      </c>
      <c r="AV133" s="57">
        <v>0</v>
      </c>
      <c r="AW133" s="57">
        <v>0</v>
      </c>
      <c r="AX133" s="57">
        <v>0</v>
      </c>
      <c r="AY133" s="58">
        <v>0</v>
      </c>
      <c r="AZ133" s="58">
        <v>0</v>
      </c>
      <c r="BA133" s="58">
        <v>0</v>
      </c>
    </row>
    <row r="134" spans="1:53" s="4" customFormat="1" hidden="1" outlineLevel="1">
      <c r="A134" s="341"/>
      <c r="B134" s="56" t="s">
        <v>114</v>
      </c>
      <c r="C134" s="344"/>
      <c r="D134" s="28">
        <f t="shared" si="122"/>
        <v>0</v>
      </c>
      <c r="E134" s="74">
        <f t="shared" si="68"/>
        <v>0</v>
      </c>
      <c r="F134" s="57">
        <v>0</v>
      </c>
      <c r="G134" s="57">
        <v>0</v>
      </c>
      <c r="H134" s="57">
        <v>0</v>
      </c>
      <c r="I134" s="58">
        <v>0</v>
      </c>
      <c r="M134" s="28">
        <v>0</v>
      </c>
      <c r="N134" s="74">
        <f t="shared" si="92"/>
        <v>0</v>
      </c>
      <c r="O134" s="57">
        <v>0</v>
      </c>
      <c r="P134" s="57">
        <v>0</v>
      </c>
      <c r="Q134" s="57">
        <v>0</v>
      </c>
      <c r="R134" s="58">
        <v>0</v>
      </c>
      <c r="T134" s="15"/>
      <c r="U134" s="15"/>
      <c r="V134" s="15"/>
      <c r="W134" s="15"/>
      <c r="X134" s="15"/>
      <c r="AC134" s="15"/>
      <c r="AD134" s="15"/>
      <c r="AQ134" s="93" t="e">
        <f>#REF!</f>
        <v>#REF!</v>
      </c>
      <c r="AR134" s="93" t="e">
        <f t="shared" si="109"/>
        <v>#REF!</v>
      </c>
      <c r="AS134" s="97" t="e">
        <f t="shared" si="110"/>
        <v>#REF!</v>
      </c>
      <c r="AU134" s="28">
        <f t="shared" si="120"/>
        <v>0</v>
      </c>
      <c r="AV134" s="57">
        <v>0</v>
      </c>
      <c r="AW134" s="57">
        <v>0</v>
      </c>
      <c r="AX134" s="57">
        <v>0</v>
      </c>
      <c r="AY134" s="58">
        <v>0</v>
      </c>
      <c r="AZ134" s="58">
        <v>0</v>
      </c>
      <c r="BA134" s="58">
        <v>0</v>
      </c>
    </row>
    <row r="135" spans="1:53" s="4" customFormat="1" ht="32.25" customHeight="1" collapsed="1">
      <c r="A135" s="13">
        <v>7</v>
      </c>
      <c r="B135" s="12" t="s">
        <v>66</v>
      </c>
      <c r="C135" s="343" t="s">
        <v>9</v>
      </c>
      <c r="D135" s="25">
        <f t="shared" si="122"/>
        <v>3060199.0170137505</v>
      </c>
      <c r="E135" s="74">
        <f t="shared" si="68"/>
        <v>2381406.2782474156</v>
      </c>
      <c r="F135" s="35">
        <v>1352157.4899460636</v>
      </c>
      <c r="G135" s="35">
        <v>1029248.7883013519</v>
      </c>
      <c r="H135" s="33">
        <v>615653.21643749182</v>
      </c>
      <c r="I135" s="35">
        <v>63139.522328843101</v>
      </c>
      <c r="M135" s="175">
        <f>'[53]Свод АУП'!$C$54</f>
        <v>3060384.8732380006</v>
      </c>
      <c r="N135" s="74">
        <f t="shared" si="92"/>
        <v>2314637.354096693</v>
      </c>
      <c r="O135" s="35">
        <f>$M$135*O92</f>
        <v>1355948.5552545828</v>
      </c>
      <c r="P135" s="35">
        <f>$M$135*P92</f>
        <v>958688.79884211032</v>
      </c>
      <c r="Q135" s="35">
        <f>$M$135*Q92</f>
        <v>734262.32630622713</v>
      </c>
      <c r="R135" s="35">
        <f>$M$135*R92</f>
        <v>11485.192835080547</v>
      </c>
      <c r="T135" s="48"/>
      <c r="U135" s="48"/>
      <c r="V135" s="48"/>
      <c r="W135" s="15"/>
      <c r="X135" s="15"/>
      <c r="AC135" s="15"/>
      <c r="AD135" s="15"/>
      <c r="AQ135" s="92" t="e">
        <f>#REF!</f>
        <v>#REF!</v>
      </c>
      <c r="AR135" s="92" t="e">
        <f t="shared" si="109"/>
        <v>#REF!</v>
      </c>
      <c r="AS135" s="97" t="e">
        <f t="shared" si="110"/>
        <v>#REF!</v>
      </c>
      <c r="AU135" s="25" t="e">
        <f>SUM(AV135:BA135)</f>
        <v>#REF!</v>
      </c>
      <c r="AV135" s="35" t="e">
        <f>#REF!</f>
        <v>#REF!</v>
      </c>
      <c r="AW135" s="35" t="e">
        <f>#REF!</f>
        <v>#REF!</v>
      </c>
      <c r="AX135" s="35" t="e">
        <f>#REF!</f>
        <v>#REF!</v>
      </c>
      <c r="AY135" s="35" t="e">
        <f>#REF!</f>
        <v>#REF!</v>
      </c>
      <c r="AZ135" s="35" t="e">
        <f>#REF!</f>
        <v>#REF!</v>
      </c>
      <c r="BA135" s="35" t="e">
        <f>#REF!</f>
        <v>#REF!</v>
      </c>
    </row>
    <row r="136" spans="1:53" s="6" customFormat="1" ht="27.75" customHeight="1">
      <c r="A136" s="19" t="s">
        <v>67</v>
      </c>
      <c r="B136" s="17" t="s">
        <v>68</v>
      </c>
      <c r="C136" s="343" t="s">
        <v>9</v>
      </c>
      <c r="D136" s="27">
        <f>D6+D94</f>
        <v>8437981.3526431881</v>
      </c>
      <c r="E136" s="70">
        <v>5100124.0679911599</v>
      </c>
      <c r="F136" s="27">
        <f>F6+F94</f>
        <v>2822085.1497539203</v>
      </c>
      <c r="G136" s="27">
        <f>G6+G94</f>
        <v>2278038.9182372401</v>
      </c>
      <c r="H136" s="27">
        <f>H6+H94</f>
        <v>3095071.4001153111</v>
      </c>
      <c r="I136" s="27">
        <f>I6+I94</f>
        <v>242785.88453671784</v>
      </c>
      <c r="M136" s="27">
        <f>M6+M94</f>
        <v>7983608.5303591499</v>
      </c>
      <c r="N136" s="346">
        <f>O136+P136</f>
        <v>4572989.1817161031</v>
      </c>
      <c r="O136" s="27">
        <f>O6+O94</f>
        <v>2547767.0218068087</v>
      </c>
      <c r="P136" s="27">
        <f>P6+P94</f>
        <v>2025222.1599092945</v>
      </c>
      <c r="Q136" s="27">
        <f>Q6+Q94</f>
        <v>3294362.7730457988</v>
      </c>
      <c r="R136" s="27">
        <f>R6+R94</f>
        <v>116256.57559724881</v>
      </c>
      <c r="T136" s="340"/>
      <c r="U136" s="316"/>
      <c r="V136" s="253"/>
      <c r="W136" s="253"/>
      <c r="X136" s="253"/>
      <c r="Y136" s="253"/>
      <c r="Z136" s="253"/>
      <c r="AA136" s="253"/>
      <c r="AC136" s="203"/>
      <c r="AD136" s="203"/>
      <c r="AQ136" s="99" t="e">
        <f>AQ6+AQ94</f>
        <v>#REF!</v>
      </c>
      <c r="AR136" s="91" t="e">
        <f t="shared" si="109"/>
        <v>#REF!</v>
      </c>
      <c r="AS136" s="98" t="e">
        <f t="shared" si="110"/>
        <v>#REF!</v>
      </c>
      <c r="AU136" s="27" t="e">
        <f t="shared" ref="AU136:BA136" si="123">AU6+AU94</f>
        <v>#REF!</v>
      </c>
      <c r="AV136" s="27" t="e">
        <f t="shared" si="123"/>
        <v>#REF!</v>
      </c>
      <c r="AW136" s="27" t="e">
        <f t="shared" si="123"/>
        <v>#REF!</v>
      </c>
      <c r="AX136" s="27" t="e">
        <f t="shared" si="123"/>
        <v>#REF!</v>
      </c>
      <c r="AY136" s="27" t="e">
        <f t="shared" si="123"/>
        <v>#REF!</v>
      </c>
      <c r="AZ136" s="27" t="e">
        <f t="shared" si="123"/>
        <v>#REF!</v>
      </c>
      <c r="BA136" s="27" t="e">
        <f t="shared" si="123"/>
        <v>#REF!</v>
      </c>
    </row>
    <row r="137" spans="1:53" s="4" customFormat="1" ht="29.25" customHeight="1">
      <c r="A137" s="19" t="s">
        <v>69</v>
      </c>
      <c r="B137" s="17" t="s">
        <v>70</v>
      </c>
      <c r="C137" s="343" t="s">
        <v>9</v>
      </c>
      <c r="D137" s="27">
        <f>SUM(F137:I137)</f>
        <v>5005696.2419580091</v>
      </c>
      <c r="E137" s="346">
        <v>3928212.4869124419</v>
      </c>
      <c r="F137" s="27">
        <v>2230430.8109019222</v>
      </c>
      <c r="G137" s="27">
        <v>1697781.6760105197</v>
      </c>
      <c r="H137" s="27">
        <v>999110.76775652147</v>
      </c>
      <c r="I137" s="27">
        <v>78372.987289045748</v>
      </c>
      <c r="J137" s="6"/>
      <c r="K137" s="6"/>
      <c r="L137" s="6"/>
      <c r="M137" s="27">
        <f>SUM(O137:R137)</f>
        <v>4443628.3403951842</v>
      </c>
      <c r="N137" s="346">
        <f>O137+P137</f>
        <v>2738748.9474356356</v>
      </c>
      <c r="O137" s="27">
        <f>$D$150/1000*O92</f>
        <v>1604399.355219783</v>
      </c>
      <c r="P137" s="27">
        <f>$D$150/1000*P92</f>
        <v>1134349.5922158526</v>
      </c>
      <c r="Q137" s="27">
        <f t="shared" ref="Q137:R137" si="124">Q139-Q138</f>
        <v>1667350.9545211389</v>
      </c>
      <c r="R137" s="27">
        <f t="shared" si="124"/>
        <v>37528.438438410136</v>
      </c>
      <c r="T137" s="15"/>
      <c r="U137" s="316"/>
      <c r="V137" s="253"/>
      <c r="W137" s="253"/>
      <c r="X137" s="253"/>
      <c r="Y137" s="253"/>
      <c r="Z137" s="253"/>
      <c r="AA137" s="253"/>
      <c r="AQ137" s="99" t="e">
        <f>#REF!</f>
        <v>#REF!</v>
      </c>
      <c r="AR137" s="91" t="e">
        <f t="shared" si="109"/>
        <v>#REF!</v>
      </c>
      <c r="AS137" s="95"/>
      <c r="AU137" s="27" t="e">
        <f>SUM(AV137:BA137)</f>
        <v>#REF!</v>
      </c>
      <c r="AV137" s="27" t="e">
        <f>#REF!</f>
        <v>#REF!</v>
      </c>
      <c r="AW137" s="27" t="e">
        <f>#REF!</f>
        <v>#REF!</v>
      </c>
      <c r="AX137" s="27" t="e">
        <f>#REF!</f>
        <v>#REF!</v>
      </c>
      <c r="AY137" s="27" t="e">
        <f>#REF!</f>
        <v>#REF!</v>
      </c>
      <c r="AZ137" s="27" t="e">
        <f>#REF!</f>
        <v>#REF!</v>
      </c>
      <c r="BA137" s="27" t="e">
        <f>#REF!</f>
        <v>#REF!</v>
      </c>
    </row>
    <row r="138" spans="1:53" s="4" customFormat="1" ht="26.25" customHeight="1">
      <c r="A138" s="13"/>
      <c r="B138" s="12" t="s">
        <v>71</v>
      </c>
      <c r="C138" s="343" t="s">
        <v>9</v>
      </c>
      <c r="D138" s="35">
        <f>D139-D137</f>
        <v>1251424.0604895018</v>
      </c>
      <c r="E138" s="347">
        <v>982053.12172811013</v>
      </c>
      <c r="F138" s="35">
        <f>F139-F137</f>
        <v>557607.70272548031</v>
      </c>
      <c r="G138" s="35">
        <f>G139-G137</f>
        <v>424445.41900262982</v>
      </c>
      <c r="H138" s="35">
        <f t="shared" ref="H138:I138" si="125">H139-H137</f>
        <v>249777.69193913043</v>
      </c>
      <c r="I138" s="35">
        <f t="shared" si="125"/>
        <v>19593.246822261441</v>
      </c>
      <c r="M138" s="35">
        <f>M139-M137</f>
        <v>1110907.0850987956</v>
      </c>
      <c r="N138" s="347">
        <f>O138+P138</f>
        <v>684687.23685890902</v>
      </c>
      <c r="O138" s="35">
        <f>O139-O137</f>
        <v>401099.83880494582</v>
      </c>
      <c r="P138" s="35">
        <f>P139-P137</f>
        <v>283587.3980539632</v>
      </c>
      <c r="Q138" s="35">
        <f t="shared" ref="Q138:R138" si="126">Q139*0.2</f>
        <v>416837.73863028479</v>
      </c>
      <c r="R138" s="35">
        <f t="shared" si="126"/>
        <v>9382.109609602534</v>
      </c>
      <c r="U138" s="316"/>
      <c r="V138" s="253"/>
      <c r="W138" s="253"/>
      <c r="X138" s="253"/>
      <c r="Y138" s="253"/>
      <c r="Z138" s="253"/>
      <c r="AA138" s="253"/>
      <c r="AQ138" s="102" t="e">
        <f>AQ139-AQ137</f>
        <v>#REF!</v>
      </c>
      <c r="AR138" s="92" t="e">
        <f t="shared" si="109"/>
        <v>#REF!</v>
      </c>
      <c r="AS138" s="95"/>
      <c r="AU138" s="35" t="e">
        <f>AU139-AU137</f>
        <v>#REF!</v>
      </c>
      <c r="AV138" s="35" t="e">
        <f>AV139-AV137</f>
        <v>#REF!</v>
      </c>
      <c r="AW138" s="35" t="e">
        <f>AW139-AW137</f>
        <v>#REF!</v>
      </c>
      <c r="AX138" s="35" t="e">
        <f t="shared" ref="AX138:BA138" si="127">AX139-AX137</f>
        <v>#REF!</v>
      </c>
      <c r="AY138" s="35" t="e">
        <f t="shared" si="127"/>
        <v>#REF!</v>
      </c>
      <c r="AZ138" s="35" t="e">
        <f>AZ139-AZ137</f>
        <v>#REF!</v>
      </c>
      <c r="BA138" s="35" t="e">
        <f t="shared" si="127"/>
        <v>#REF!</v>
      </c>
    </row>
    <row r="139" spans="1:53" s="4" customFormat="1" ht="26.25" customHeight="1">
      <c r="A139" s="13"/>
      <c r="B139" s="12" t="s">
        <v>72</v>
      </c>
      <c r="C139" s="343" t="s">
        <v>9</v>
      </c>
      <c r="D139" s="54">
        <f>D137/8*10</f>
        <v>6257120.3024475109</v>
      </c>
      <c r="E139" s="348">
        <v>4910265.6086405516</v>
      </c>
      <c r="F139" s="54">
        <f t="shared" ref="F139:I139" si="128">F137/8*10</f>
        <v>2788038.5136274025</v>
      </c>
      <c r="G139" s="54">
        <f t="shared" si="128"/>
        <v>2122227.0950131495</v>
      </c>
      <c r="H139" s="54">
        <f t="shared" si="128"/>
        <v>1248888.4596956519</v>
      </c>
      <c r="I139" s="54">
        <f t="shared" si="128"/>
        <v>97966.234111307189</v>
      </c>
      <c r="M139" s="54">
        <f>M137/8*10</f>
        <v>5554535.4254939798</v>
      </c>
      <c r="N139" s="347">
        <f>O139+P139</f>
        <v>3423436.1842945446</v>
      </c>
      <c r="O139" s="54">
        <f t="shared" ref="O139:P139" si="129">O137/8*10</f>
        <v>2005499.1940247288</v>
      </c>
      <c r="P139" s="54">
        <f t="shared" si="129"/>
        <v>1417936.9902698158</v>
      </c>
      <c r="Q139" s="238">
        <f t="shared" ref="Q139:R139" si="130">Q140-Q136</f>
        <v>2084188.6931514237</v>
      </c>
      <c r="R139" s="238">
        <f t="shared" si="130"/>
        <v>46910.548048012672</v>
      </c>
      <c r="U139" s="316"/>
      <c r="V139" s="253"/>
      <c r="W139" s="253"/>
      <c r="X139" s="253"/>
      <c r="Y139" s="253"/>
      <c r="Z139" s="253"/>
      <c r="AA139" s="253"/>
      <c r="AQ139" s="103" t="e">
        <f>AQ137/8*10</f>
        <v>#REF!</v>
      </c>
      <c r="AR139" s="92" t="e">
        <f t="shared" si="109"/>
        <v>#REF!</v>
      </c>
      <c r="AS139" s="95"/>
      <c r="AU139" s="54" t="e">
        <f>AU137/8*10</f>
        <v>#REF!</v>
      </c>
      <c r="AV139" s="54" t="e">
        <f t="shared" ref="AV139:BA139" si="131">AV137/8*10</f>
        <v>#REF!</v>
      </c>
      <c r="AW139" s="54" t="e">
        <f t="shared" si="131"/>
        <v>#REF!</v>
      </c>
      <c r="AX139" s="54" t="e">
        <f t="shared" si="131"/>
        <v>#REF!</v>
      </c>
      <c r="AY139" s="54" t="e">
        <f t="shared" si="131"/>
        <v>#REF!</v>
      </c>
      <c r="AZ139" s="54" t="e">
        <f>AZ137/8*10</f>
        <v>#REF!</v>
      </c>
      <c r="BA139" s="54" t="e">
        <f t="shared" si="131"/>
        <v>#REF!</v>
      </c>
    </row>
    <row r="140" spans="1:53" s="4" customFormat="1" ht="34.5" customHeight="1">
      <c r="A140" s="19" t="s">
        <v>73</v>
      </c>
      <c r="B140" s="17" t="s">
        <v>74</v>
      </c>
      <c r="C140" s="343" t="s">
        <v>9</v>
      </c>
      <c r="D140" s="31">
        <f>D136+D139</f>
        <v>14695101.655090699</v>
      </c>
      <c r="E140" s="114">
        <v>10010389.676631713</v>
      </c>
      <c r="F140" s="31">
        <f>F136+F139</f>
        <v>5610123.6633813232</v>
      </c>
      <c r="G140" s="31">
        <f t="shared" ref="G140:I140" si="132">G136+G139</f>
        <v>4400266.0132503901</v>
      </c>
      <c r="H140" s="31">
        <f t="shared" si="132"/>
        <v>4343959.8598109633</v>
      </c>
      <c r="I140" s="31">
        <f t="shared" si="132"/>
        <v>340752.11864802503</v>
      </c>
      <c r="M140" s="31">
        <f>M136+M139</f>
        <v>13538143.955853131</v>
      </c>
      <c r="N140" s="346">
        <f>O140+P140</f>
        <v>7996425.3660106482</v>
      </c>
      <c r="O140" s="31">
        <f>O136+O139</f>
        <v>4553266.2158315377</v>
      </c>
      <c r="P140" s="31">
        <f t="shared" ref="P140" si="133">P136+P139</f>
        <v>3443159.1501791105</v>
      </c>
      <c r="Q140" s="31">
        <f>Q136*0.8/(0.8-31%)</f>
        <v>5378551.4661972225</v>
      </c>
      <c r="R140" s="31">
        <f>R136*0.8/(0.8-23%)</f>
        <v>163167.12364526148</v>
      </c>
      <c r="U140" s="316"/>
      <c r="V140" s="253"/>
      <c r="W140" s="253"/>
      <c r="X140" s="253"/>
      <c r="Y140" s="253"/>
      <c r="Z140" s="253"/>
      <c r="AA140" s="253"/>
      <c r="AQ140" s="104" t="e">
        <f>AQ136+AQ139</f>
        <v>#REF!</v>
      </c>
      <c r="AR140" s="91" t="e">
        <f t="shared" si="109"/>
        <v>#REF!</v>
      </c>
      <c r="AS140" s="95"/>
      <c r="AU140" s="31" t="e">
        <f>AU136+AU139</f>
        <v>#REF!</v>
      </c>
      <c r="AV140" s="31" t="e">
        <f>AV136+AV139</f>
        <v>#REF!</v>
      </c>
      <c r="AW140" s="31" t="e">
        <f t="shared" ref="AW140:BA140" si="134">AW136+AW139</f>
        <v>#REF!</v>
      </c>
      <c r="AX140" s="31" t="e">
        <f t="shared" si="134"/>
        <v>#REF!</v>
      </c>
      <c r="AY140" s="31" t="e">
        <f t="shared" si="134"/>
        <v>#REF!</v>
      </c>
      <c r="AZ140" s="31" t="e">
        <f t="shared" si="134"/>
        <v>#REF!</v>
      </c>
      <c r="BA140" s="31" t="e">
        <f t="shared" si="134"/>
        <v>#REF!</v>
      </c>
    </row>
    <row r="141" spans="1:53" s="4" customFormat="1" ht="27.75" customHeight="1">
      <c r="A141" s="820" t="s">
        <v>75</v>
      </c>
      <c r="B141" s="799" t="s">
        <v>76</v>
      </c>
      <c r="C141" s="14" t="s">
        <v>77</v>
      </c>
      <c r="D141" s="25" t="s">
        <v>133</v>
      </c>
      <c r="E141" s="112"/>
      <c r="F141" s="25">
        <v>1559287</v>
      </c>
      <c r="G141" s="25"/>
      <c r="I141" s="25"/>
      <c r="M141" s="25" t="s">
        <v>133</v>
      </c>
      <c r="N141" s="112"/>
      <c r="O141" s="25">
        <v>1598380.6459999995</v>
      </c>
      <c r="P141" s="25"/>
      <c r="Q141" s="336"/>
      <c r="R141" s="321"/>
      <c r="U141" s="245"/>
      <c r="V141" s="245"/>
      <c r="W141" s="245"/>
      <c r="X141" s="245"/>
      <c r="Y141" s="245"/>
      <c r="Z141" s="245"/>
      <c r="AA141" s="245"/>
      <c r="AQ141" s="92" t="e">
        <f>#REF!</f>
        <v>#REF!</v>
      </c>
      <c r="AR141" s="92"/>
      <c r="AS141" s="95"/>
      <c r="AU141" s="147" t="s">
        <v>133</v>
      </c>
      <c r="AV141" s="25" t="e">
        <f>#REF!</f>
        <v>#REF!</v>
      </c>
      <c r="AW141" s="25"/>
      <c r="AX141" s="25"/>
      <c r="AY141" s="25"/>
      <c r="AZ141" s="25"/>
      <c r="BA141" s="25"/>
    </row>
    <row r="142" spans="1:53" s="4" customFormat="1" ht="27.75" customHeight="1">
      <c r="A142" s="821"/>
      <c r="B142" s="800"/>
      <c r="C142" s="14" t="s">
        <v>131</v>
      </c>
      <c r="D142" s="25" t="s">
        <v>134</v>
      </c>
      <c r="E142" s="112"/>
      <c r="F142" s="25"/>
      <c r="G142" s="25">
        <v>687793</v>
      </c>
      <c r="H142" s="25"/>
      <c r="I142" s="25"/>
      <c r="M142" s="25" t="s">
        <v>134</v>
      </c>
      <c r="N142" s="112"/>
      <c r="O142" s="25"/>
      <c r="P142" s="25">
        <v>715907.70000000007</v>
      </c>
      <c r="Q142" s="321"/>
      <c r="R142" s="321"/>
      <c r="U142" s="245"/>
      <c r="V142" s="245"/>
      <c r="W142" s="245"/>
      <c r="X142" s="245"/>
      <c r="Y142" s="245"/>
      <c r="Z142" s="245"/>
      <c r="AA142" s="245"/>
      <c r="AQ142" s="92" t="e">
        <f>#REF!</f>
        <v>#REF!</v>
      </c>
      <c r="AR142" s="92"/>
      <c r="AS142" s="95"/>
      <c r="AU142" s="147" t="s">
        <v>134</v>
      </c>
      <c r="AV142" s="25"/>
      <c r="AW142" s="25" t="e">
        <f>#REF!</f>
        <v>#REF!</v>
      </c>
      <c r="AX142" s="25"/>
      <c r="AY142" s="25"/>
      <c r="AZ142" s="25"/>
      <c r="BA142" s="25"/>
    </row>
    <row r="143" spans="1:53" s="4" customFormat="1" ht="27.75" hidden="1" customHeight="1">
      <c r="A143" s="821"/>
      <c r="B143" s="800"/>
      <c r="C143" s="111"/>
      <c r="D143" s="25" t="s">
        <v>133</v>
      </c>
      <c r="E143" s="112"/>
      <c r="F143" s="112"/>
      <c r="G143" s="112"/>
      <c r="H143" s="25">
        <f>1676445+484720</f>
        <v>2161165</v>
      </c>
      <c r="I143" s="112"/>
      <c r="M143" s="25" t="s">
        <v>133</v>
      </c>
      <c r="N143" s="112"/>
      <c r="O143" s="25"/>
      <c r="P143" s="25"/>
      <c r="Q143" s="321">
        <v>2351928.0980000002</v>
      </c>
      <c r="R143" s="321"/>
      <c r="U143" s="245"/>
      <c r="V143" s="245"/>
      <c r="W143" s="245"/>
      <c r="X143" s="245"/>
      <c r="Y143" s="245"/>
      <c r="Z143" s="245"/>
      <c r="AA143" s="245"/>
      <c r="AQ143" s="92" t="e">
        <f>#REF!</f>
        <v>#REF!</v>
      </c>
      <c r="AR143" s="92"/>
      <c r="AS143" s="95"/>
      <c r="AU143" s="147" t="s">
        <v>133</v>
      </c>
      <c r="AV143" s="25"/>
      <c r="AW143" s="25"/>
      <c r="AX143" s="25" t="e">
        <f>#REF!</f>
        <v>#REF!</v>
      </c>
      <c r="AY143" s="25"/>
      <c r="AZ143" s="25"/>
      <c r="BA143" s="25"/>
    </row>
    <row r="144" spans="1:53" s="4" customFormat="1" ht="27.75" hidden="1" customHeight="1">
      <c r="A144" s="822"/>
      <c r="B144" s="801"/>
      <c r="C144" s="14"/>
      <c r="D144" s="25" t="s">
        <v>137</v>
      </c>
      <c r="E144" s="112"/>
      <c r="F144" s="25"/>
      <c r="G144" s="25"/>
      <c r="H144" s="25"/>
      <c r="I144" s="25">
        <v>2190</v>
      </c>
      <c r="M144" s="25" t="s">
        <v>137</v>
      </c>
      <c r="N144" s="112"/>
      <c r="O144" s="25"/>
      <c r="P144" s="25"/>
      <c r="Q144" s="321"/>
      <c r="R144" s="321">
        <v>2190</v>
      </c>
      <c r="U144" s="245"/>
      <c r="V144" s="245"/>
      <c r="W144" s="245"/>
      <c r="X144" s="245"/>
      <c r="Y144" s="245"/>
      <c r="Z144" s="245"/>
      <c r="AA144" s="245"/>
      <c r="AQ144" s="92" t="e">
        <f>#REF!</f>
        <v>#REF!</v>
      </c>
      <c r="AR144" s="92"/>
      <c r="AS144" s="95"/>
      <c r="AU144" s="147" t="s">
        <v>169</v>
      </c>
      <c r="AV144" s="25"/>
      <c r="AW144" s="25"/>
      <c r="AX144" s="25"/>
      <c r="AY144" s="25"/>
      <c r="AZ144" s="25"/>
      <c r="BA144" s="25" t="e">
        <f>#REF!</f>
        <v>#REF!</v>
      </c>
    </row>
    <row r="145" spans="1:53" s="5" customFormat="1" ht="27.75" customHeight="1">
      <c r="A145" s="820" t="s">
        <v>78</v>
      </c>
      <c r="B145" s="799" t="s">
        <v>79</v>
      </c>
      <c r="C145" s="14" t="s">
        <v>80</v>
      </c>
      <c r="D145" s="25" t="s">
        <v>169</v>
      </c>
      <c r="E145" s="112"/>
      <c r="F145" s="31">
        <f>(F140*1000)/F141</f>
        <v>3597.8775320908358</v>
      </c>
      <c r="G145" s="31"/>
      <c r="I145" s="31"/>
      <c r="M145" s="25" t="s">
        <v>169</v>
      </c>
      <c r="N145" s="112"/>
      <c r="O145" s="31">
        <f>(O140*1000)/O141</f>
        <v>2848.6745176915383</v>
      </c>
      <c r="P145" s="31"/>
      <c r="Q145" s="337"/>
      <c r="R145" s="322"/>
      <c r="U145" s="254"/>
      <c r="V145" s="254"/>
      <c r="W145" s="254"/>
      <c r="X145" s="254"/>
      <c r="Y145" s="254"/>
      <c r="Z145" s="254"/>
      <c r="AA145" s="254"/>
      <c r="AQ145" s="91" t="e">
        <f>#REF!</f>
        <v>#REF!</v>
      </c>
      <c r="AR145" s="91" t="e">
        <f>F145-AQ145</f>
        <v>#REF!</v>
      </c>
      <c r="AS145" s="95"/>
      <c r="AU145" s="147" t="s">
        <v>170</v>
      </c>
      <c r="AV145" s="31" t="e">
        <f>(AV140*1000)/AV141</f>
        <v>#REF!</v>
      </c>
      <c r="AW145" s="31"/>
      <c r="AY145" s="68"/>
      <c r="AZ145" s="31"/>
      <c r="BA145" s="31"/>
    </row>
    <row r="146" spans="1:53" s="4" customFormat="1" ht="27.75" customHeight="1">
      <c r="A146" s="821"/>
      <c r="B146" s="800"/>
      <c r="C146" s="14" t="s">
        <v>89</v>
      </c>
      <c r="D146" s="25" t="s">
        <v>170</v>
      </c>
      <c r="E146" s="112"/>
      <c r="F146" s="46"/>
      <c r="G146" s="31">
        <f>(G140*1000)/G142</f>
        <v>6397.6603618390855</v>
      </c>
      <c r="H146" s="46"/>
      <c r="I146" s="46"/>
      <c r="M146" s="25" t="s">
        <v>170</v>
      </c>
      <c r="N146" s="112"/>
      <c r="O146" s="46"/>
      <c r="P146" s="31">
        <f>(P140*1000)/P142</f>
        <v>4809.5014904562559</v>
      </c>
      <c r="Q146" s="338"/>
      <c r="R146" s="338"/>
      <c r="U146" s="245"/>
      <c r="V146" s="245"/>
      <c r="W146" s="245"/>
      <c r="X146" s="245"/>
      <c r="Y146" s="245"/>
      <c r="Z146" s="245"/>
      <c r="AA146" s="245"/>
      <c r="AQ146" s="91" t="e">
        <f>#REF!</f>
        <v>#REF!</v>
      </c>
      <c r="AR146" s="91" t="e">
        <f>G146-AQ146</f>
        <v>#REF!</v>
      </c>
      <c r="AS146" s="95"/>
      <c r="AU146" s="147" t="s">
        <v>171</v>
      </c>
      <c r="AV146" s="46"/>
      <c r="AW146" s="31" t="e">
        <f>(AW140*1000)/AW142</f>
        <v>#REF!</v>
      </c>
      <c r="AX146" s="46"/>
      <c r="AY146" s="36"/>
      <c r="AZ146" s="46"/>
      <c r="BA146" s="46"/>
    </row>
    <row r="147" spans="1:53" s="4" customFormat="1" ht="27.75" hidden="1" customHeight="1">
      <c r="A147" s="821"/>
      <c r="B147" s="800"/>
      <c r="C147" s="111"/>
      <c r="D147" s="25" t="s">
        <v>169</v>
      </c>
      <c r="E147" s="112"/>
      <c r="F147" s="113"/>
      <c r="G147" s="114"/>
      <c r="H147" s="31">
        <f>(H140*1000)/H143</f>
        <v>2010.0084259235014</v>
      </c>
      <c r="I147" s="113"/>
      <c r="M147" s="25" t="s">
        <v>169</v>
      </c>
      <c r="N147" s="112"/>
      <c r="O147" s="338"/>
      <c r="P147" s="322"/>
      <c r="Q147" s="322">
        <f>(Q140*1000)/Q143</f>
        <v>2286.8690036787093</v>
      </c>
      <c r="R147" s="338"/>
      <c r="U147" s="245"/>
      <c r="V147" s="245"/>
      <c r="W147" s="245"/>
      <c r="X147" s="245"/>
      <c r="Y147" s="245"/>
      <c r="Z147" s="245"/>
      <c r="AA147" s="245"/>
      <c r="AQ147" s="91" t="e">
        <f>#REF!</f>
        <v>#REF!</v>
      </c>
      <c r="AR147" s="91" t="e">
        <f>#REF!-AQ147</f>
        <v>#REF!</v>
      </c>
      <c r="AS147" s="95"/>
      <c r="AU147" s="147" t="s">
        <v>170</v>
      </c>
      <c r="AV147" s="46"/>
      <c r="AW147" s="31"/>
      <c r="AX147" s="31" t="e">
        <f>(AX140*1000)/AX143</f>
        <v>#REF!</v>
      </c>
      <c r="AY147" s="148"/>
      <c r="AZ147" s="148"/>
      <c r="BA147" s="148"/>
    </row>
    <row r="148" spans="1:53" s="4" customFormat="1" ht="27.75" hidden="1" customHeight="1">
      <c r="A148" s="822"/>
      <c r="B148" s="801"/>
      <c r="C148" s="14"/>
      <c r="D148" s="25" t="s">
        <v>172</v>
      </c>
      <c r="E148" s="112"/>
      <c r="F148" s="33"/>
      <c r="G148" s="25"/>
      <c r="H148" s="33"/>
      <c r="I148" s="46">
        <f>(I140*1000)/I144</f>
        <v>155594.5747251256</v>
      </c>
      <c r="M148" s="25" t="s">
        <v>172</v>
      </c>
      <c r="N148" s="112"/>
      <c r="O148" s="339"/>
      <c r="P148" s="321"/>
      <c r="Q148" s="339"/>
      <c r="R148" s="338">
        <f>(R140*1000)/R144</f>
        <v>74505.535911078303</v>
      </c>
      <c r="U148" s="245"/>
      <c r="V148" s="245"/>
      <c r="W148" s="245"/>
      <c r="X148" s="245"/>
      <c r="Y148" s="245"/>
      <c r="Z148" s="245"/>
      <c r="AA148" s="245"/>
      <c r="AQ148" s="91" t="e">
        <f>#REF!</f>
        <v>#REF!</v>
      </c>
      <c r="AR148" s="91" t="e">
        <f>I148-AQ148</f>
        <v>#REF!</v>
      </c>
      <c r="AS148" s="95"/>
      <c r="AU148" s="82"/>
      <c r="AV148" s="149"/>
      <c r="AW148" s="149"/>
      <c r="AX148" s="149"/>
      <c r="AY148" s="32"/>
      <c r="AZ148" s="33"/>
      <c r="BA148" s="46" t="e">
        <f>(BA140*1000)/BA144</f>
        <v>#REF!</v>
      </c>
    </row>
    <row r="149" spans="1:53" ht="15.75" customHeight="1">
      <c r="A149" s="352"/>
      <c r="B149" s="195"/>
      <c r="D149" s="86"/>
      <c r="E149" s="86"/>
      <c r="M149" s="86"/>
      <c r="N149" s="86"/>
      <c r="U149" s="255"/>
      <c r="V149" s="255"/>
      <c r="W149" s="255"/>
      <c r="X149" s="255"/>
      <c r="Y149" s="255"/>
      <c r="Z149" s="255"/>
      <c r="AA149" s="255"/>
      <c r="AU149" s="85"/>
      <c r="AV149" s="40"/>
      <c r="AW149" s="40"/>
      <c r="AX149" s="40"/>
      <c r="AY149" s="38"/>
      <c r="AZ149" s="39"/>
    </row>
    <row r="150" spans="1:53" ht="22.5" customHeight="1">
      <c r="B150" s="237" t="s">
        <v>276</v>
      </c>
      <c r="C150" s="3"/>
      <c r="D150" s="31">
        <f>[53]ДУП!$F$5</f>
        <v>3621139974.9052768</v>
      </c>
      <c r="E150" s="349"/>
      <c r="F150" s="40"/>
      <c r="G150" s="40"/>
      <c r="H150" s="40"/>
      <c r="M150" s="82"/>
      <c r="N150" s="82"/>
      <c r="O150" s="40"/>
      <c r="P150" s="40"/>
      <c r="Q150" s="40"/>
      <c r="U150" s="255"/>
      <c r="V150" s="255"/>
      <c r="W150" s="255"/>
      <c r="X150" s="255"/>
      <c r="Y150" s="255"/>
      <c r="Z150" s="255"/>
      <c r="AA150" s="255"/>
      <c r="AU150" s="40"/>
      <c r="AV150" s="40"/>
      <c r="AW150" s="40"/>
      <c r="AX150" s="40"/>
      <c r="AY150" s="38"/>
      <c r="AZ150" s="39"/>
    </row>
    <row r="151" spans="1:53" ht="18" customHeight="1">
      <c r="B151" s="11"/>
      <c r="C151" s="84"/>
      <c r="D151" s="85"/>
      <c r="E151" s="85"/>
      <c r="F151" s="40"/>
      <c r="G151" s="40"/>
      <c r="H151" s="40"/>
      <c r="M151" s="85"/>
      <c r="N151" s="85"/>
      <c r="O151" s="40"/>
      <c r="P151" s="40"/>
      <c r="Q151" s="40"/>
      <c r="U151" s="255"/>
      <c r="V151" s="255"/>
      <c r="W151" s="255"/>
      <c r="X151" s="255"/>
      <c r="Y151" s="255"/>
      <c r="Z151" s="255"/>
      <c r="AA151" s="255"/>
      <c r="AU151" s="106"/>
      <c r="AV151" s="106"/>
      <c r="AW151" s="106"/>
      <c r="AX151" s="106"/>
      <c r="AY151" s="38"/>
      <c r="AZ151" s="39"/>
    </row>
    <row r="152" spans="1:53" ht="25.5" customHeight="1">
      <c r="B152" s="218" t="s">
        <v>199</v>
      </c>
      <c r="C152" s="106"/>
      <c r="D152" s="216">
        <f>71*3*365*58</f>
        <v>4509210</v>
      </c>
      <c r="E152" s="216"/>
      <c r="F152" s="106"/>
      <c r="G152" s="106"/>
      <c r="H152" s="106"/>
      <c r="M152" s="216">
        <f>71*3*365*58</f>
        <v>4509210</v>
      </c>
      <c r="N152" s="216"/>
      <c r="O152" s="106"/>
      <c r="P152" s="106"/>
      <c r="Q152" s="106"/>
      <c r="U152" s="255"/>
      <c r="V152" s="255"/>
      <c r="W152" s="255"/>
      <c r="X152" s="255"/>
      <c r="Y152" s="255"/>
      <c r="Z152" s="255"/>
      <c r="AA152" s="255"/>
      <c r="AW152" s="82"/>
    </row>
    <row r="153" spans="1:53">
      <c r="B153" s="219" t="s">
        <v>200</v>
      </c>
      <c r="D153" s="217">
        <f>D140*1000/D152</f>
        <v>3258.9082466974701</v>
      </c>
      <c r="E153" s="217"/>
      <c r="M153" s="217">
        <f>M140*1000/M152</f>
        <v>3002.3316624981162</v>
      </c>
      <c r="N153" s="217"/>
      <c r="AY153" s="37"/>
      <c r="BA153" s="37"/>
    </row>
    <row r="154" spans="1:53">
      <c r="D154" s="82"/>
      <c r="E154" s="82"/>
      <c r="M154" s="201"/>
      <c r="N154" s="201"/>
      <c r="O154" s="201"/>
      <c r="P154" s="201"/>
      <c r="Q154" s="201"/>
      <c r="R154" s="11"/>
      <c r="S154" s="11"/>
      <c r="AU154" s="1"/>
      <c r="AY154" s="37"/>
      <c r="AZ154" s="41"/>
      <c r="BA154" s="37"/>
    </row>
    <row r="155" spans="1:53">
      <c r="I155" s="37"/>
      <c r="M155" s="227">
        <f>(O155+P155+Q155)/58</f>
        <v>2996.0580656717548</v>
      </c>
      <c r="N155" s="227"/>
      <c r="O155" s="227">
        <f>O145*(8.61+2.371)*2</f>
        <v>62562.589757541566</v>
      </c>
      <c r="P155" s="227">
        <f>P146*9.46</f>
        <v>45497.884099716182</v>
      </c>
      <c r="Q155" s="227">
        <f>Q147*(22.232+6.502)</f>
        <v>65710.893951704027</v>
      </c>
      <c r="R155" s="227"/>
      <c r="U155" s="256"/>
      <c r="V155" s="256"/>
      <c r="W155" s="256"/>
      <c r="X155" s="256"/>
      <c r="Y155" s="256"/>
      <c r="Z155" s="256"/>
      <c r="AA155" s="256"/>
    </row>
    <row r="156" spans="1:53">
      <c r="D156" s="1"/>
      <c r="E156" s="1"/>
      <c r="I156" s="37"/>
      <c r="M156" s="228"/>
      <c r="N156" s="228"/>
      <c r="O156" s="227"/>
      <c r="P156" s="227"/>
      <c r="Q156" s="227"/>
      <c r="R156" s="227"/>
      <c r="S156" s="202"/>
      <c r="U156" s="256"/>
      <c r="V156" s="256"/>
      <c r="W156" s="256"/>
      <c r="X156" s="256"/>
      <c r="Y156" s="256"/>
      <c r="Z156" s="256"/>
      <c r="AA156" s="256"/>
    </row>
    <row r="157" spans="1:53">
      <c r="U157" s="256"/>
      <c r="V157" s="256"/>
      <c r="W157" s="256"/>
      <c r="X157" s="256"/>
      <c r="Y157" s="256"/>
      <c r="Z157" s="256"/>
      <c r="AA157" s="256"/>
    </row>
    <row r="158" spans="1:53">
      <c r="M158" s="221"/>
      <c r="N158" s="221"/>
      <c r="O158" s="221"/>
      <c r="P158" s="221"/>
      <c r="Q158" s="221"/>
      <c r="R158" s="222"/>
      <c r="S158" s="222"/>
      <c r="T158" s="222"/>
      <c r="U158" s="256"/>
      <c r="V158" s="256"/>
      <c r="W158" s="256"/>
      <c r="X158" s="256"/>
      <c r="Y158" s="256"/>
      <c r="Z158" s="256"/>
      <c r="AA158" s="256"/>
    </row>
    <row r="159" spans="1:53">
      <c r="B159" s="3" t="s">
        <v>180</v>
      </c>
      <c r="U159" s="256"/>
      <c r="V159" s="256"/>
      <c r="W159" s="256"/>
      <c r="X159" s="256"/>
      <c r="Y159" s="256"/>
      <c r="Z159" s="256"/>
      <c r="AA159" s="256"/>
      <c r="AX159" s="82"/>
    </row>
    <row r="160" spans="1:53">
      <c r="B160" s="3"/>
      <c r="G160" s="82"/>
      <c r="P160" s="82"/>
    </row>
    <row r="161" spans="2:50">
      <c r="B161" s="3"/>
      <c r="H161" s="82"/>
      <c r="Q161" s="82"/>
      <c r="AX161" s="83"/>
    </row>
    <row r="162" spans="2:50">
      <c r="B162" s="3" t="s">
        <v>181</v>
      </c>
    </row>
    <row r="169" spans="2:50">
      <c r="D169" s="82"/>
      <c r="E169" s="82"/>
      <c r="F169" s="82"/>
      <c r="G169" s="82"/>
      <c r="H169" s="82"/>
      <c r="I169" s="229"/>
      <c r="M169" s="82"/>
      <c r="N169" s="82"/>
    </row>
  </sheetData>
  <mergeCells count="14">
    <mergeCell ref="AU2:BA2"/>
    <mergeCell ref="A3:A4"/>
    <mergeCell ref="B3:B4"/>
    <mergeCell ref="C3:C4"/>
    <mergeCell ref="D3:I3"/>
    <mergeCell ref="M3:R3"/>
    <mergeCell ref="AQ3:AS3"/>
    <mergeCell ref="AU3:BA3"/>
    <mergeCell ref="A141:A144"/>
    <mergeCell ref="B141:B144"/>
    <mergeCell ref="A145:A148"/>
    <mergeCell ref="B145:B148"/>
    <mergeCell ref="A1:I1"/>
    <mergeCell ref="B2:C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K173"/>
  <sheetViews>
    <sheetView zoomScale="60" zoomScaleNormal="60" workbookViewId="0">
      <pane xSplit="3" ySplit="5" topLeftCell="D76" activePane="bottomRight" state="frozen"/>
      <selection pane="topRight" activeCell="D1" sqref="D1"/>
      <selection pane="bottomLeft" activeCell="A6" sqref="A6"/>
      <selection pane="bottomRight" activeCell="AI97" sqref="AI97"/>
    </sheetView>
  </sheetViews>
  <sheetFormatPr defaultColWidth="9.140625" defaultRowHeight="20.25" outlineLevelRow="1"/>
  <cols>
    <col min="1" max="1" width="8.28515625" style="601" customWidth="1"/>
    <col min="2" max="2" width="60.42578125" style="541" customWidth="1"/>
    <col min="3" max="3" width="0.42578125" style="541" customWidth="1"/>
    <col min="4" max="4" width="16.28515625" style="600" customWidth="1"/>
    <col min="5" max="5" width="16.28515625" style="600" hidden="1" customWidth="1"/>
    <col min="6" max="6" width="14.42578125" style="600" customWidth="1"/>
    <col min="7" max="7" width="15.140625" style="600" customWidth="1"/>
    <col min="8" max="8" width="15.42578125" style="600" customWidth="1"/>
    <col min="9" max="9" width="13.28515625" style="541" customWidth="1"/>
    <col min="10" max="10" width="3.5703125" style="541" customWidth="1"/>
    <col min="11" max="11" width="3.7109375" style="541" customWidth="1"/>
    <col min="12" max="12" width="17.140625" style="541" hidden="1" customWidth="1"/>
    <col min="13" max="13" width="19.5703125" style="541" hidden="1" customWidth="1"/>
    <col min="14" max="14" width="16.85546875" style="541" hidden="1" customWidth="1"/>
    <col min="15" max="15" width="16.42578125" style="541" hidden="1" customWidth="1"/>
    <col min="16" max="16" width="15.28515625" style="541" hidden="1" customWidth="1"/>
    <col min="17" max="17" width="12" style="541" hidden="1" customWidth="1"/>
    <col min="18" max="18" width="2.5703125" style="541" hidden="1" customWidth="1"/>
    <col min="19" max="19" width="4" style="541" hidden="1" customWidth="1"/>
    <col min="20" max="20" width="17.140625" style="600" customWidth="1"/>
    <col min="21" max="21" width="19.85546875" style="600" hidden="1" customWidth="1"/>
    <col min="22" max="22" width="15.140625" style="600" customWidth="1"/>
    <col min="23" max="23" width="15.5703125" style="600" customWidth="1"/>
    <col min="24" max="24" width="15" style="600" customWidth="1"/>
    <col min="25" max="25" width="12.42578125" style="541" customWidth="1"/>
    <col min="26" max="26" width="2" style="541" customWidth="1"/>
    <col min="27" max="27" width="15.85546875" style="541" customWidth="1"/>
    <col min="28" max="28" width="13" style="541" customWidth="1"/>
    <col min="29" max="29" width="11.5703125" style="541" customWidth="1"/>
    <col min="30" max="30" width="9.140625" style="541"/>
    <col min="31" max="31" width="13.140625" style="541" customWidth="1"/>
    <col min="32" max="32" width="10.28515625" style="541" customWidth="1"/>
    <col min="33" max="16384" width="9.140625" style="541"/>
  </cols>
  <sheetData>
    <row r="1" spans="1:27" s="534" customFormat="1" ht="24.75" customHeight="1">
      <c r="A1" s="824" t="s">
        <v>111</v>
      </c>
      <c r="B1" s="824"/>
      <c r="C1" s="824"/>
      <c r="D1" s="824"/>
      <c r="E1" s="824"/>
      <c r="F1" s="824"/>
      <c r="G1" s="824"/>
      <c r="H1" s="824"/>
      <c r="I1" s="824"/>
      <c r="T1" s="535"/>
      <c r="U1" s="535"/>
      <c r="V1" s="200"/>
      <c r="W1" s="200"/>
      <c r="X1" s="200"/>
      <c r="Y1" s="535"/>
    </row>
    <row r="2" spans="1:27" s="534" customFormat="1" ht="12" customHeight="1">
      <c r="A2" s="536"/>
      <c r="B2" s="825"/>
      <c r="C2" s="825"/>
      <c r="D2" s="213"/>
      <c r="E2" s="213"/>
      <c r="F2" s="213"/>
      <c r="G2" s="213"/>
      <c r="H2" s="213"/>
      <c r="I2" s="213"/>
      <c r="J2" s="220"/>
      <c r="T2" s="170"/>
      <c r="U2" s="170"/>
      <c r="V2" s="198"/>
      <c r="W2" s="198"/>
      <c r="X2" s="198"/>
      <c r="Y2" s="198"/>
      <c r="Z2" s="206"/>
    </row>
    <row r="3" spans="1:27" s="534" customFormat="1" ht="42.75" customHeight="1">
      <c r="A3" s="826" t="s">
        <v>0</v>
      </c>
      <c r="B3" s="827" t="s">
        <v>1</v>
      </c>
      <c r="C3" s="827" t="s">
        <v>2</v>
      </c>
      <c r="D3" s="828" t="s">
        <v>393</v>
      </c>
      <c r="E3" s="829"/>
      <c r="F3" s="829"/>
      <c r="G3" s="829"/>
      <c r="H3" s="829"/>
      <c r="I3" s="830"/>
      <c r="J3" s="537"/>
      <c r="K3" s="538"/>
      <c r="L3" s="831" t="s">
        <v>191</v>
      </c>
      <c r="M3" s="831"/>
      <c r="N3" s="831"/>
      <c r="O3" s="831"/>
      <c r="P3" s="831"/>
      <c r="Q3" s="831"/>
      <c r="R3" s="537"/>
      <c r="S3" s="538"/>
      <c r="T3" s="831" t="s">
        <v>394</v>
      </c>
      <c r="U3" s="831"/>
      <c r="V3" s="831"/>
      <c r="W3" s="831"/>
      <c r="X3" s="831"/>
      <c r="Y3" s="831"/>
      <c r="Z3" s="367"/>
    </row>
    <row r="4" spans="1:27" ht="84.75" customHeight="1">
      <c r="A4" s="826"/>
      <c r="B4" s="827"/>
      <c r="C4" s="827"/>
      <c r="D4" s="539" t="s">
        <v>3</v>
      </c>
      <c r="E4" s="540" t="s">
        <v>395</v>
      </c>
      <c r="F4" s="55" t="s">
        <v>173</v>
      </c>
      <c r="G4" s="55" t="s">
        <v>174</v>
      </c>
      <c r="H4" s="55" t="s">
        <v>197</v>
      </c>
      <c r="I4" s="55" t="s">
        <v>198</v>
      </c>
      <c r="L4" s="539" t="s">
        <v>3</v>
      </c>
      <c r="M4" s="540" t="s">
        <v>395</v>
      </c>
      <c r="N4" s="55" t="s">
        <v>173</v>
      </c>
      <c r="O4" s="55" t="s">
        <v>174</v>
      </c>
      <c r="P4" s="55" t="s">
        <v>197</v>
      </c>
      <c r="Q4" s="55" t="s">
        <v>198</v>
      </c>
      <c r="T4" s="539" t="s">
        <v>3</v>
      </c>
      <c r="U4" s="540" t="s">
        <v>395</v>
      </c>
      <c r="V4" s="55" t="s">
        <v>173</v>
      </c>
      <c r="W4" s="55" t="s">
        <v>174</v>
      </c>
      <c r="X4" s="55" t="s">
        <v>197</v>
      </c>
      <c r="Y4" s="55" t="s">
        <v>198</v>
      </c>
    </row>
    <row r="5" spans="1:27" s="546" customFormat="1" ht="12" customHeight="1">
      <c r="A5" s="542">
        <v>1</v>
      </c>
      <c r="B5" s="543">
        <v>2</v>
      </c>
      <c r="C5" s="543">
        <v>3</v>
      </c>
      <c r="D5" s="544">
        <v>4</v>
      </c>
      <c r="E5" s="544"/>
      <c r="F5" s="545">
        <v>5</v>
      </c>
      <c r="G5" s="545">
        <v>6</v>
      </c>
      <c r="H5" s="545">
        <v>7</v>
      </c>
      <c r="I5" s="545">
        <v>8</v>
      </c>
      <c r="L5" s="544">
        <v>4</v>
      </c>
      <c r="M5" s="544"/>
      <c r="N5" s="545">
        <v>5</v>
      </c>
      <c r="O5" s="545">
        <v>6</v>
      </c>
      <c r="P5" s="545">
        <v>7</v>
      </c>
      <c r="Q5" s="545">
        <v>8</v>
      </c>
      <c r="T5" s="544">
        <v>4</v>
      </c>
      <c r="U5" s="544"/>
      <c r="V5" s="545">
        <v>5</v>
      </c>
      <c r="W5" s="545">
        <v>6</v>
      </c>
      <c r="X5" s="545">
        <v>7</v>
      </c>
      <c r="Y5" s="545">
        <v>8</v>
      </c>
    </row>
    <row r="6" spans="1:27" s="551" customFormat="1" ht="45.75" customHeight="1">
      <c r="A6" s="547" t="s">
        <v>4</v>
      </c>
      <c r="B6" s="548" t="s">
        <v>5</v>
      </c>
      <c r="C6" s="549" t="s">
        <v>6</v>
      </c>
      <c r="D6" s="550">
        <f>D8+D26+D32+D33+D34</f>
        <v>5159291.7473876858</v>
      </c>
      <c r="E6" s="550">
        <f>F6+G6</f>
        <v>2666916.1809299504</v>
      </c>
      <c r="F6" s="550">
        <f>F8+F26+F32+F33+F34</f>
        <v>1447498.3096553106</v>
      </c>
      <c r="G6" s="550">
        <f>G8+G26+G32+G33+G34</f>
        <v>1219417.8712746401</v>
      </c>
      <c r="H6" s="550">
        <f>H8+H26+H32+H33+H34</f>
        <v>2326969.2301867921</v>
      </c>
      <c r="I6" s="550">
        <f t="shared" ref="I6" si="0">I8+I26+I32+I33+I34</f>
        <v>165406.3362709441</v>
      </c>
      <c r="L6" s="550">
        <f>L8+L26+L32+L33+L34</f>
        <v>4760881.1499521928</v>
      </c>
      <c r="M6" s="550">
        <f>N6+O6</f>
        <v>2258919.4199806978</v>
      </c>
      <c r="N6" s="550">
        <f>N8+N26+N32+N33+N34</f>
        <v>1195194.1014716348</v>
      </c>
      <c r="O6" s="550">
        <f>O8+O26+O32+O33+O34</f>
        <v>1063725.318509063</v>
      </c>
      <c r="P6" s="550">
        <f>P8+P26+P32+P33+P34</f>
        <v>2404871.4378100419</v>
      </c>
      <c r="Q6" s="550">
        <f t="shared" ref="Q6" si="1">Q8+Q26+Q32+Q33+Q34</f>
        <v>97090.292161453661</v>
      </c>
      <c r="T6" s="550">
        <f>T8+T26+T32+T33+T34</f>
        <v>4760881.1499521928</v>
      </c>
      <c r="U6" s="550">
        <f>V6+W6</f>
        <v>2109471.4149244768</v>
      </c>
      <c r="V6" s="550">
        <f>V8+V26+V32+V33+V34</f>
        <v>1114587.5185424217</v>
      </c>
      <c r="W6" s="550">
        <f>W8+W26+W32+W33+W34</f>
        <v>994883.89638205501</v>
      </c>
      <c r="X6" s="550">
        <f>X8+X26+X32+X33+X34</f>
        <v>2554319.4428662541</v>
      </c>
      <c r="Y6" s="550">
        <f t="shared" ref="Y6" si="2">Y8+Y26+Y32+Y33+Y34</f>
        <v>97090.292161462014</v>
      </c>
      <c r="AA6" s="552"/>
    </row>
    <row r="7" spans="1:27" s="551" customFormat="1">
      <c r="A7" s="553"/>
      <c r="B7" s="554" t="s">
        <v>7</v>
      </c>
      <c r="C7" s="539"/>
      <c r="D7" s="555"/>
      <c r="E7" s="555"/>
      <c r="F7" s="555"/>
      <c r="G7" s="555"/>
      <c r="H7" s="555"/>
      <c r="I7" s="555"/>
      <c r="L7" s="555"/>
      <c r="M7" s="555"/>
      <c r="N7" s="555"/>
      <c r="O7" s="555"/>
      <c r="P7" s="555"/>
      <c r="Q7" s="555"/>
      <c r="T7" s="555"/>
      <c r="U7" s="555"/>
      <c r="V7" s="555"/>
      <c r="W7" s="555"/>
      <c r="X7" s="555"/>
      <c r="Y7" s="555"/>
    </row>
    <row r="8" spans="1:27" s="556" customFormat="1" ht="29.25" customHeight="1">
      <c r="A8" s="547" t="s">
        <v>8</v>
      </c>
      <c r="B8" s="548" t="s">
        <v>272</v>
      </c>
      <c r="C8" s="549" t="s">
        <v>9</v>
      </c>
      <c r="D8" s="550">
        <f>D10+D22+D25</f>
        <v>548661.31319345045</v>
      </c>
      <c r="E8" s="550">
        <f>F8+G8</f>
        <v>94048.850721479364</v>
      </c>
      <c r="F8" s="550">
        <f t="shared" ref="F8:I8" si="3">F10+F22+F25</f>
        <v>36298.008209999367</v>
      </c>
      <c r="G8" s="550">
        <f t="shared" si="3"/>
        <v>57750.842511479997</v>
      </c>
      <c r="H8" s="550">
        <f t="shared" si="3"/>
        <v>448926.33135050663</v>
      </c>
      <c r="I8" s="550">
        <f t="shared" si="3"/>
        <v>5686.1311214643792</v>
      </c>
      <c r="L8" s="550">
        <f>L10+L22+L25</f>
        <v>484789.71351999661</v>
      </c>
      <c r="M8" s="550">
        <f>N8+O8</f>
        <v>69396.950643270451</v>
      </c>
      <c r="N8" s="550">
        <f t="shared" ref="N8:Q8" si="4">N10+N22+N25</f>
        <v>28969.482017815768</v>
      </c>
      <c r="O8" s="550">
        <f t="shared" si="4"/>
        <v>40427.468625454683</v>
      </c>
      <c r="P8" s="550">
        <f t="shared" si="4"/>
        <v>413209.14728455362</v>
      </c>
      <c r="Q8" s="550">
        <f t="shared" si="4"/>
        <v>2183.615592172529</v>
      </c>
      <c r="T8" s="550">
        <f>T10+T22+T25</f>
        <v>484789.71351999656</v>
      </c>
      <c r="U8" s="550">
        <f>V8+W8</f>
        <v>69792.534438744129</v>
      </c>
      <c r="V8" s="550">
        <f t="shared" ref="V8:Y8" si="5">V10+V22+V25</f>
        <v>29230.400227509796</v>
      </c>
      <c r="W8" s="550">
        <f t="shared" si="5"/>
        <v>40562.134211234326</v>
      </c>
      <c r="X8" s="550">
        <f t="shared" si="5"/>
        <v>412813.56348907988</v>
      </c>
      <c r="Y8" s="550">
        <f t="shared" si="5"/>
        <v>2183.615592172529</v>
      </c>
    </row>
    <row r="9" spans="1:27" s="551" customFormat="1">
      <c r="A9" s="553"/>
      <c r="B9" s="554" t="s">
        <v>7</v>
      </c>
      <c r="C9" s="539"/>
      <c r="D9" s="555"/>
      <c r="E9" s="555"/>
      <c r="F9" s="555"/>
      <c r="G9" s="555"/>
      <c r="H9" s="555"/>
      <c r="I9" s="555"/>
      <c r="L9" s="555"/>
      <c r="M9" s="555"/>
      <c r="N9" s="555"/>
      <c r="O9" s="555"/>
      <c r="P9" s="555"/>
      <c r="Q9" s="555"/>
      <c r="T9" s="555"/>
      <c r="U9" s="555"/>
      <c r="V9" s="555"/>
      <c r="W9" s="555"/>
      <c r="X9" s="555"/>
      <c r="Y9" s="555"/>
    </row>
    <row r="10" spans="1:27" s="551" customFormat="1" ht="30" customHeight="1">
      <c r="A10" s="553" t="s">
        <v>10</v>
      </c>
      <c r="B10" s="554" t="s">
        <v>11</v>
      </c>
      <c r="C10" s="539" t="s">
        <v>9</v>
      </c>
      <c r="D10" s="555">
        <f>SUM(D11:D21)</f>
        <v>161398.1160753826</v>
      </c>
      <c r="E10" s="557">
        <f t="shared" ref="E10:E26" si="6">F10+G10</f>
        <v>67445.305853055106</v>
      </c>
      <c r="F10" s="555">
        <f t="shared" ref="F10:I10" si="7">SUM(F11:F21)</f>
        <v>25702.125475761815</v>
      </c>
      <c r="G10" s="555">
        <f t="shared" si="7"/>
        <v>41743.180377293291</v>
      </c>
      <c r="H10" s="555">
        <f t="shared" si="7"/>
        <v>88977.296961526939</v>
      </c>
      <c r="I10" s="555">
        <f t="shared" si="7"/>
        <v>4975.5132608005451</v>
      </c>
      <c r="L10" s="555">
        <f>SUM(L11:L21)</f>
        <v>111957.85165392877</v>
      </c>
      <c r="M10" s="557">
        <f t="shared" ref="M10:M26" si="8">N10+O10</f>
        <v>43794.900456065894</v>
      </c>
      <c r="N10" s="555">
        <f t="shared" ref="N10:Q10" si="9">SUM(N11:N21)</f>
        <v>18829.091618240342</v>
      </c>
      <c r="O10" s="555">
        <f t="shared" si="9"/>
        <v>24965.808837825552</v>
      </c>
      <c r="P10" s="555">
        <f t="shared" si="9"/>
        <v>66446.423639007233</v>
      </c>
      <c r="Q10" s="555">
        <f t="shared" si="9"/>
        <v>1716.5275588556301</v>
      </c>
      <c r="T10" s="555">
        <f>SUM(T11:T21)</f>
        <v>111957.85165392877</v>
      </c>
      <c r="U10" s="557">
        <f t="shared" ref="U10:U26" si="10">V10+W10</f>
        <v>43970.900456065894</v>
      </c>
      <c r="V10" s="555">
        <f>SUM(V11:V21)</f>
        <v>18945.091618240342</v>
      </c>
      <c r="W10" s="555">
        <f>SUM(W11:W21)</f>
        <v>25025.808837825552</v>
      </c>
      <c r="X10" s="555">
        <f t="shared" ref="X10:X26" si="11">T10-V10-W10-Y10</f>
        <v>66270.423639007247</v>
      </c>
      <c r="Y10" s="555">
        <f t="shared" ref="Y10" si="12">SUM(Y11:Y21)</f>
        <v>1716.5275588556301</v>
      </c>
    </row>
    <row r="11" spans="1:27" s="551" customFormat="1" ht="20.25" customHeight="1">
      <c r="A11" s="553"/>
      <c r="B11" s="558" t="s">
        <v>81</v>
      </c>
      <c r="C11" s="549" t="s">
        <v>9</v>
      </c>
      <c r="D11" s="559">
        <f t="shared" ref="D11:D25" si="13">SUM(F11:I11)</f>
        <v>1366.7430000000002</v>
      </c>
      <c r="E11" s="560">
        <f t="shared" si="6"/>
        <v>304.71869995827171</v>
      </c>
      <c r="F11" s="559">
        <v>128.08839227284304</v>
      </c>
      <c r="G11" s="559">
        <v>176.63030768542865</v>
      </c>
      <c r="H11" s="559">
        <v>970.92422700717316</v>
      </c>
      <c r="I11" s="561">
        <v>91.100073034555095</v>
      </c>
      <c r="J11" s="562"/>
      <c r="K11" s="562"/>
      <c r="L11" s="559">
        <f>[54]СводПЗ!$C$11</f>
        <v>806.75099999999998</v>
      </c>
      <c r="M11" s="560">
        <f t="shared" si="8"/>
        <v>154.63396302369651</v>
      </c>
      <c r="N11" s="559">
        <f>$L$11*N90</f>
        <v>58.939221758667763</v>
      </c>
      <c r="O11" s="559">
        <f>$L$11*O90</f>
        <v>95.694741265028753</v>
      </c>
      <c r="P11" s="559">
        <f>$L$11*P90</f>
        <v>621.03083608963846</v>
      </c>
      <c r="Q11" s="559">
        <f>$L$11*Q90</f>
        <v>31.086200886665022</v>
      </c>
      <c r="R11" s="562"/>
      <c r="S11" s="562"/>
      <c r="T11" s="559">
        <v>806.75099999999998</v>
      </c>
      <c r="U11" s="560">
        <f t="shared" si="10"/>
        <v>154.63396302369651</v>
      </c>
      <c r="V11" s="559">
        <v>58.939221758667763</v>
      </c>
      <c r="W11" s="559">
        <v>95.694741265028753</v>
      </c>
      <c r="X11" s="559">
        <f t="shared" si="11"/>
        <v>621.03083608963857</v>
      </c>
      <c r="Y11" s="559">
        <v>31.086200886665022</v>
      </c>
    </row>
    <row r="12" spans="1:27" s="551" customFormat="1" ht="20.25" customHeight="1" outlineLevel="1">
      <c r="A12" s="553"/>
      <c r="B12" s="558" t="s">
        <v>177</v>
      </c>
      <c r="C12" s="549" t="s">
        <v>9</v>
      </c>
      <c r="D12" s="559">
        <f t="shared" si="13"/>
        <v>17499.689889948448</v>
      </c>
      <c r="E12" s="560">
        <f t="shared" si="6"/>
        <v>12100.353661465566</v>
      </c>
      <c r="F12" s="559">
        <v>226.86691023553198</v>
      </c>
      <c r="G12" s="559">
        <v>11873.486751230033</v>
      </c>
      <c r="H12" s="559">
        <v>5399.3362284828809</v>
      </c>
      <c r="I12" s="561"/>
      <c r="J12" s="562"/>
      <c r="K12" s="562"/>
      <c r="L12" s="559">
        <f t="shared" ref="L12:L25" si="14">SUM(N12:Q12)</f>
        <v>5337.4310388234471</v>
      </c>
      <c r="M12" s="560">
        <f t="shared" si="8"/>
        <v>4349.6166731240464</v>
      </c>
      <c r="N12" s="559">
        <f>[54]СводПЗ!$E$12</f>
        <v>112.51202384171123</v>
      </c>
      <c r="O12" s="559">
        <f>[54]СводПЗ!$F$12</f>
        <v>4237.1046492823352</v>
      </c>
      <c r="P12" s="559">
        <f>[54]СводПЗ!$L$12</f>
        <v>987.81436569940035</v>
      </c>
      <c r="Q12" s="561"/>
      <c r="R12" s="562"/>
      <c r="S12" s="562"/>
      <c r="T12" s="559">
        <v>5337.4310388234471</v>
      </c>
      <c r="U12" s="560">
        <f t="shared" si="10"/>
        <v>4349.6166731240464</v>
      </c>
      <c r="V12" s="559">
        <v>112.512023841711</v>
      </c>
      <c r="W12" s="559">
        <v>4237.1046492823352</v>
      </c>
      <c r="X12" s="559">
        <f t="shared" si="11"/>
        <v>987.8143656994007</v>
      </c>
      <c r="Y12" s="561"/>
    </row>
    <row r="13" spans="1:27" s="551" customFormat="1" ht="25.5" customHeight="1" outlineLevel="1">
      <c r="A13" s="553"/>
      <c r="B13" s="558" t="s">
        <v>396</v>
      </c>
      <c r="C13" s="549" t="s">
        <v>9</v>
      </c>
      <c r="D13" s="559">
        <f t="shared" si="13"/>
        <v>35143.661362267871</v>
      </c>
      <c r="E13" s="560">
        <f t="shared" si="6"/>
        <v>31744.674613713934</v>
      </c>
      <c r="F13" s="563">
        <v>12599.674621934211</v>
      </c>
      <c r="G13" s="563">
        <v>19144.999991779725</v>
      </c>
      <c r="H13" s="559">
        <v>3398.9867485539357</v>
      </c>
      <c r="I13" s="564"/>
      <c r="J13" s="562"/>
      <c r="K13" s="562"/>
      <c r="L13" s="559">
        <f>[54]СводПЗ!$C$13</f>
        <v>29338.055386615877</v>
      </c>
      <c r="M13" s="560">
        <f t="shared" si="8"/>
        <v>26500.568977345123</v>
      </c>
      <c r="N13" s="563">
        <f>$L$13*N93</f>
        <v>10518.253863796914</v>
      </c>
      <c r="O13" s="563">
        <f>$L$13*O93</f>
        <v>15982.315113548211</v>
      </c>
      <c r="P13" s="563">
        <f>$L$13*P93</f>
        <v>2837.4864092707535</v>
      </c>
      <c r="Q13" s="563">
        <f>$L$13*Q93</f>
        <v>0</v>
      </c>
      <c r="R13" s="562"/>
      <c r="S13" s="562"/>
      <c r="T13" s="559">
        <v>29338.055386615877</v>
      </c>
      <c r="U13" s="560">
        <f t="shared" si="10"/>
        <v>26500.568977345123</v>
      </c>
      <c r="V13" s="563">
        <v>10518.253863796914</v>
      </c>
      <c r="W13" s="563">
        <v>15982.315113548211</v>
      </c>
      <c r="X13" s="559">
        <f t="shared" si="11"/>
        <v>2837.4864092707503</v>
      </c>
      <c r="Y13" s="563">
        <v>0</v>
      </c>
    </row>
    <row r="14" spans="1:27" s="551" customFormat="1" ht="20.25" customHeight="1" outlineLevel="1">
      <c r="A14" s="553"/>
      <c r="B14" s="558" t="s">
        <v>132</v>
      </c>
      <c r="C14" s="549" t="s">
        <v>9</v>
      </c>
      <c r="D14" s="559">
        <f t="shared" si="13"/>
        <v>3332.3595</v>
      </c>
      <c r="E14" s="560">
        <f t="shared" si="6"/>
        <v>0</v>
      </c>
      <c r="F14" s="559"/>
      <c r="G14" s="559"/>
      <c r="H14" s="559">
        <v>2997.8150000000001</v>
      </c>
      <c r="I14" s="561">
        <v>334.54450000000003</v>
      </c>
      <c r="J14" s="562"/>
      <c r="K14" s="562"/>
      <c r="L14" s="559">
        <f t="shared" si="14"/>
        <v>3332.3595</v>
      </c>
      <c r="M14" s="560">
        <f t="shared" si="8"/>
        <v>0</v>
      </c>
      <c r="N14" s="559"/>
      <c r="O14" s="559"/>
      <c r="P14" s="559">
        <f>[54]СводПЗ!$G$14</f>
        <v>2997.8150000000001</v>
      </c>
      <c r="Q14" s="561">
        <f>[54]СводПЗ!$J$14</f>
        <v>334.54450000000003</v>
      </c>
      <c r="R14" s="562"/>
      <c r="S14" s="562"/>
      <c r="T14" s="559">
        <v>3332.3595</v>
      </c>
      <c r="U14" s="560">
        <f t="shared" si="10"/>
        <v>0</v>
      </c>
      <c r="V14" s="559"/>
      <c r="W14" s="559"/>
      <c r="X14" s="559">
        <f t="shared" si="11"/>
        <v>2997.8150000000001</v>
      </c>
      <c r="Y14" s="561">
        <v>334.54450000000003</v>
      </c>
    </row>
    <row r="15" spans="1:27" s="551" customFormat="1" ht="20.25" customHeight="1" outlineLevel="1">
      <c r="A15" s="553"/>
      <c r="B15" s="558" t="s">
        <v>82</v>
      </c>
      <c r="C15" s="549" t="s">
        <v>9</v>
      </c>
      <c r="D15" s="559">
        <f t="shared" si="13"/>
        <v>30488.188357142855</v>
      </c>
      <c r="E15" s="560">
        <f t="shared" si="6"/>
        <v>0</v>
      </c>
      <c r="F15" s="559"/>
      <c r="G15" s="559"/>
      <c r="H15" s="559">
        <v>30488.188357142855</v>
      </c>
      <c r="I15" s="561"/>
      <c r="J15" s="562"/>
      <c r="K15" s="562"/>
      <c r="L15" s="559">
        <f t="shared" si="14"/>
        <v>30488.188357142855</v>
      </c>
      <c r="M15" s="560">
        <f t="shared" si="8"/>
        <v>0</v>
      </c>
      <c r="N15" s="559"/>
      <c r="O15" s="559"/>
      <c r="P15" s="559">
        <f>[54]СводПЗ!$L$15</f>
        <v>30488.188357142855</v>
      </c>
      <c r="Q15" s="561"/>
      <c r="R15" s="562"/>
      <c r="S15" s="562"/>
      <c r="T15" s="559">
        <v>30488.188357142855</v>
      </c>
      <c r="U15" s="560">
        <f t="shared" si="10"/>
        <v>0</v>
      </c>
      <c r="V15" s="559"/>
      <c r="W15" s="559"/>
      <c r="X15" s="559">
        <f t="shared" si="11"/>
        <v>30488.188357142855</v>
      </c>
      <c r="Y15" s="561"/>
    </row>
    <row r="16" spans="1:27" s="551" customFormat="1" ht="20.25" customHeight="1" outlineLevel="1">
      <c r="A16" s="553"/>
      <c r="B16" s="558" t="s">
        <v>122</v>
      </c>
      <c r="C16" s="549" t="s">
        <v>9</v>
      </c>
      <c r="D16" s="559">
        <f t="shared" si="13"/>
        <v>9919.672340000001</v>
      </c>
      <c r="E16" s="560">
        <f t="shared" si="6"/>
        <v>2211.6152484094137</v>
      </c>
      <c r="F16" s="559">
        <v>929.65164767918395</v>
      </c>
      <c r="G16" s="559">
        <v>1281.9636007302297</v>
      </c>
      <c r="H16" s="559">
        <v>7046.8626500219407</v>
      </c>
      <c r="I16" s="561">
        <v>661.1944415686462</v>
      </c>
      <c r="J16" s="562"/>
      <c r="K16" s="562"/>
      <c r="L16" s="559">
        <f>[54]СводПЗ!$C$16</f>
        <v>1681.6496399999999</v>
      </c>
      <c r="M16" s="560">
        <f t="shared" si="8"/>
        <v>322.3301219962201</v>
      </c>
      <c r="N16" s="559">
        <f>$L$16*N90</f>
        <v>122.85714062002253</v>
      </c>
      <c r="O16" s="559">
        <f>$L$16*O90</f>
        <v>199.47298137619754</v>
      </c>
      <c r="P16" s="559">
        <f>$L$16*P90</f>
        <v>1294.5212115498332</v>
      </c>
      <c r="Q16" s="559">
        <f>$L$16*Q90</f>
        <v>64.798306453946651</v>
      </c>
      <c r="R16" s="562"/>
      <c r="S16" s="562"/>
      <c r="T16" s="559">
        <v>1681.6496399999999</v>
      </c>
      <c r="U16" s="560">
        <f t="shared" si="10"/>
        <v>498.33012199622101</v>
      </c>
      <c r="V16" s="559">
        <f>122.857140620023+116</f>
        <v>238.85714062002302</v>
      </c>
      <c r="W16" s="559">
        <f>199.472981376198+60</f>
        <v>259.47298137619799</v>
      </c>
      <c r="X16" s="559">
        <f t="shared" si="11"/>
        <v>1118.5212115498321</v>
      </c>
      <c r="Y16" s="559">
        <v>64.798306453946651</v>
      </c>
    </row>
    <row r="17" spans="1:27" s="551" customFormat="1" ht="20.25" customHeight="1" outlineLevel="1">
      <c r="A17" s="553"/>
      <c r="B17" s="558" t="s">
        <v>136</v>
      </c>
      <c r="C17" s="549"/>
      <c r="D17" s="559">
        <f t="shared" si="13"/>
        <v>8962.011229285712</v>
      </c>
      <c r="E17" s="560">
        <f t="shared" si="6"/>
        <v>4934.3537825729009</v>
      </c>
      <c r="F17" s="563">
        <v>1981.0299127778831</v>
      </c>
      <c r="G17" s="563">
        <v>2953.3238697950178</v>
      </c>
      <c r="H17" s="559">
        <v>3490.5042770004429</v>
      </c>
      <c r="I17" s="564">
        <v>537.15316971236825</v>
      </c>
      <c r="J17" s="562"/>
      <c r="K17" s="562"/>
      <c r="L17" s="559">
        <f t="shared" si="14"/>
        <v>5262.5255149999975</v>
      </c>
      <c r="M17" s="560">
        <f t="shared" si="8"/>
        <v>1482.9999965171132</v>
      </c>
      <c r="N17" s="563">
        <f>[54]СводПЗ!$E$17</f>
        <v>575.18565974657213</v>
      </c>
      <c r="O17" s="563">
        <f>[54]СводПЗ!$F$17</f>
        <v>907.81433677054122</v>
      </c>
      <c r="P17" s="559">
        <f>[54]СводПЗ!$L$17</f>
        <v>3740.0940042314164</v>
      </c>
      <c r="Q17" s="564">
        <f>[54]СводПЗ!$J$17</f>
        <v>39.431514251467881</v>
      </c>
      <c r="R17" s="562"/>
      <c r="S17" s="562"/>
      <c r="T17" s="559">
        <v>5262.5255149999975</v>
      </c>
      <c r="U17" s="560">
        <f t="shared" si="10"/>
        <v>1482.9999965171132</v>
      </c>
      <c r="V17" s="563">
        <v>575.18565974657213</v>
      </c>
      <c r="W17" s="563">
        <v>907.81433677054122</v>
      </c>
      <c r="X17" s="559">
        <f t="shared" si="11"/>
        <v>3740.0940042314164</v>
      </c>
      <c r="Y17" s="564">
        <v>39.431514251467881</v>
      </c>
    </row>
    <row r="18" spans="1:27" s="551" customFormat="1" ht="20.25" customHeight="1" outlineLevel="1">
      <c r="A18" s="553"/>
      <c r="B18" s="558" t="s">
        <v>142</v>
      </c>
      <c r="C18" s="549" t="s">
        <v>9</v>
      </c>
      <c r="D18" s="559">
        <f t="shared" si="13"/>
        <v>5709.0828729281766</v>
      </c>
      <c r="E18" s="560">
        <f t="shared" si="6"/>
        <v>1272.854012051065</v>
      </c>
      <c r="F18" s="563">
        <v>535.04371088477785</v>
      </c>
      <c r="G18" s="563">
        <v>737.8103011662871</v>
      </c>
      <c r="H18" s="559">
        <v>4055.6907006786805</v>
      </c>
      <c r="I18" s="564">
        <v>380.53816019843129</v>
      </c>
      <c r="J18" s="562"/>
      <c r="K18" s="562"/>
      <c r="L18" s="559">
        <f>[54]СводПЗ!$C$18</f>
        <v>2818.8024861878453</v>
      </c>
      <c r="M18" s="560">
        <f t="shared" si="8"/>
        <v>540.29384459427399</v>
      </c>
      <c r="N18" s="563">
        <f>$L$18*N90</f>
        <v>205.93469958798866</v>
      </c>
      <c r="O18" s="563">
        <f>$L$18*O90</f>
        <v>334.3591450062853</v>
      </c>
      <c r="P18" s="563">
        <f>$L$18*P90</f>
        <v>2169.8928972741141</v>
      </c>
      <c r="Q18" s="563">
        <f>$L$18*Q90</f>
        <v>108.61574431945689</v>
      </c>
      <c r="R18" s="562"/>
      <c r="S18" s="562"/>
      <c r="T18" s="559">
        <v>2818.8024861878453</v>
      </c>
      <c r="U18" s="560">
        <f t="shared" si="10"/>
        <v>540.29384459427399</v>
      </c>
      <c r="V18" s="563">
        <v>205.93469958798866</v>
      </c>
      <c r="W18" s="563">
        <v>334.3591450062853</v>
      </c>
      <c r="X18" s="559">
        <f t="shared" si="11"/>
        <v>2169.8928972741141</v>
      </c>
      <c r="Y18" s="563">
        <v>108.61574431945689</v>
      </c>
    </row>
    <row r="19" spans="1:27" s="551" customFormat="1" ht="22.5" customHeight="1" outlineLevel="1">
      <c r="A19" s="553"/>
      <c r="B19" s="558" t="s">
        <v>397</v>
      </c>
      <c r="C19" s="549" t="s">
        <v>9</v>
      </c>
      <c r="D19" s="559">
        <f t="shared" si="13"/>
        <v>37722.178952380957</v>
      </c>
      <c r="E19" s="560">
        <f t="shared" si="6"/>
        <v>8410.252205398383</v>
      </c>
      <c r="F19" s="563">
        <v>3535.246388705817</v>
      </c>
      <c r="G19" s="563">
        <v>4875.0058166925664</v>
      </c>
      <c r="H19" s="559">
        <v>26797.559921921486</v>
      </c>
      <c r="I19" s="564">
        <v>2514.3668250610849</v>
      </c>
      <c r="J19" s="562"/>
      <c r="K19" s="562"/>
      <c r="L19" s="559">
        <f>[54]СводПЗ!$C$19</f>
        <v>21637.560158730161</v>
      </c>
      <c r="M19" s="560">
        <f t="shared" si="8"/>
        <v>4147.3784073500847</v>
      </c>
      <c r="N19" s="563">
        <f>$L$19*N90</f>
        <v>1580.7863349557811</v>
      </c>
      <c r="O19" s="563">
        <f>$L$19*O90</f>
        <v>2566.5920723943041</v>
      </c>
      <c r="P19" s="563">
        <f>$L$19*P90</f>
        <v>16656.430641320607</v>
      </c>
      <c r="Q19" s="563">
        <f>$L$19*Q90</f>
        <v>833.75111005946735</v>
      </c>
      <c r="R19" s="562"/>
      <c r="S19" s="562"/>
      <c r="T19" s="559">
        <v>21637.560158730161</v>
      </c>
      <c r="U19" s="560">
        <f t="shared" si="10"/>
        <v>4147.3784073500847</v>
      </c>
      <c r="V19" s="563">
        <v>1580.7863349557811</v>
      </c>
      <c r="W19" s="563">
        <v>2566.5920723943041</v>
      </c>
      <c r="X19" s="559">
        <f t="shared" si="11"/>
        <v>16656.430641320607</v>
      </c>
      <c r="Y19" s="563">
        <v>833.75111005946735</v>
      </c>
    </row>
    <row r="20" spans="1:27" s="551" customFormat="1" ht="20.25" customHeight="1" outlineLevel="1">
      <c r="A20" s="553"/>
      <c r="B20" s="558" t="s">
        <v>113</v>
      </c>
      <c r="C20" s="549"/>
      <c r="D20" s="559">
        <f t="shared" si="13"/>
        <v>5258.9285714285706</v>
      </c>
      <c r="E20" s="560">
        <f t="shared" si="6"/>
        <v>5258.9285714285706</v>
      </c>
      <c r="F20" s="563">
        <v>5258.9285714285706</v>
      </c>
      <c r="G20" s="563"/>
      <c r="H20" s="559"/>
      <c r="I20" s="564"/>
      <c r="J20" s="562"/>
      <c r="K20" s="562"/>
      <c r="L20" s="559">
        <f t="shared" si="14"/>
        <v>5258.9285714285706</v>
      </c>
      <c r="M20" s="560">
        <f t="shared" si="8"/>
        <v>5258.9285714285706</v>
      </c>
      <c r="N20" s="563">
        <f>[54]СводПЗ!$E$20</f>
        <v>5258.9285714285706</v>
      </c>
      <c r="O20" s="563"/>
      <c r="P20" s="559"/>
      <c r="Q20" s="564"/>
      <c r="R20" s="562"/>
      <c r="S20" s="562"/>
      <c r="T20" s="559">
        <v>5258.9285714285706</v>
      </c>
      <c r="U20" s="560">
        <f t="shared" si="10"/>
        <v>5258.9285714285706</v>
      </c>
      <c r="V20" s="563">
        <v>5258.9285714285706</v>
      </c>
      <c r="W20" s="563"/>
      <c r="X20" s="559">
        <f t="shared" si="11"/>
        <v>0</v>
      </c>
      <c r="Y20" s="564"/>
    </row>
    <row r="21" spans="1:27" s="551" customFormat="1" ht="20.25" customHeight="1" outlineLevel="1">
      <c r="A21" s="553"/>
      <c r="B21" s="558" t="s">
        <v>143</v>
      </c>
      <c r="C21" s="549"/>
      <c r="D21" s="559">
        <f t="shared" si="13"/>
        <v>5995.5999999999995</v>
      </c>
      <c r="E21" s="560">
        <f t="shared" si="6"/>
        <v>1207.5550580569945</v>
      </c>
      <c r="F21" s="563">
        <v>507.59531984299343</v>
      </c>
      <c r="G21" s="563">
        <v>699.95973821400116</v>
      </c>
      <c r="H21" s="559">
        <v>4331.4288507175461</v>
      </c>
      <c r="I21" s="564">
        <v>456.61609122545889</v>
      </c>
      <c r="J21" s="562"/>
      <c r="K21" s="562"/>
      <c r="L21" s="559">
        <f t="shared" si="14"/>
        <v>5995.6</v>
      </c>
      <c r="M21" s="560">
        <f t="shared" si="8"/>
        <v>1038.1499006867609</v>
      </c>
      <c r="N21" s="563">
        <f>[54]СводПЗ!$E$21</f>
        <v>395.6941025041138</v>
      </c>
      <c r="O21" s="563">
        <f>[54]СводПЗ!$F$21</f>
        <v>642.45579818264707</v>
      </c>
      <c r="P21" s="559">
        <f>[54]СводПЗ!$L$21</f>
        <v>4653.1499164286133</v>
      </c>
      <c r="Q21" s="564">
        <f>[54]СводПЗ!$J$21</f>
        <v>304.30018288462634</v>
      </c>
      <c r="R21" s="562"/>
      <c r="S21" s="562"/>
      <c r="T21" s="559">
        <v>5995.6</v>
      </c>
      <c r="U21" s="560">
        <f t="shared" si="10"/>
        <v>1038.1499006867609</v>
      </c>
      <c r="V21" s="563">
        <v>395.6941025041138</v>
      </c>
      <c r="W21" s="563">
        <v>642.45579818264707</v>
      </c>
      <c r="X21" s="559">
        <f t="shared" si="11"/>
        <v>4653.1499164286124</v>
      </c>
      <c r="Y21" s="564">
        <v>304.30018288462634</v>
      </c>
    </row>
    <row r="22" spans="1:27" s="551" customFormat="1" ht="26.25" customHeight="1">
      <c r="A22" s="553" t="s">
        <v>12</v>
      </c>
      <c r="B22" s="554" t="s">
        <v>13</v>
      </c>
      <c r="C22" s="539" t="s">
        <v>9</v>
      </c>
      <c r="D22" s="555">
        <f t="shared" si="13"/>
        <v>310983.29278606782</v>
      </c>
      <c r="E22" s="557">
        <f t="shared" si="6"/>
        <v>22472.589467165744</v>
      </c>
      <c r="F22" s="555">
        <f>F23+F24</f>
        <v>8956.2787828052278</v>
      </c>
      <c r="G22" s="555">
        <f t="shared" ref="G22:I22" si="15">G23+G24</f>
        <v>13516.310684360516</v>
      </c>
      <c r="H22" s="555">
        <f t="shared" si="15"/>
        <v>288041.94750963821</v>
      </c>
      <c r="I22" s="555">
        <f t="shared" si="15"/>
        <v>468.75580926383361</v>
      </c>
      <c r="L22" s="555">
        <f t="shared" si="14"/>
        <v>310983.29078606784</v>
      </c>
      <c r="M22" s="557">
        <f t="shared" si="8"/>
        <v>22252.626888886844</v>
      </c>
      <c r="N22" s="555">
        <f>N23+N24</f>
        <v>8810.981790305972</v>
      </c>
      <c r="O22" s="555">
        <f t="shared" ref="O22:Q22" si="16">O23+O24</f>
        <v>13441.645098580871</v>
      </c>
      <c r="P22" s="555">
        <f t="shared" si="16"/>
        <v>288459.68022986408</v>
      </c>
      <c r="Q22" s="555">
        <f t="shared" si="16"/>
        <v>270.98366731689896</v>
      </c>
      <c r="T22" s="555">
        <f>T23+T24</f>
        <v>310983.29078606778</v>
      </c>
      <c r="U22" s="557">
        <f t="shared" si="10"/>
        <v>22472.210684360514</v>
      </c>
      <c r="V22" s="555">
        <f>V23+V24</f>
        <v>8955.9</v>
      </c>
      <c r="W22" s="555">
        <f>W23+W24</f>
        <v>13516.310684360516</v>
      </c>
      <c r="X22" s="555">
        <f t="shared" si="11"/>
        <v>288240.09643439035</v>
      </c>
      <c r="Y22" s="555">
        <f t="shared" ref="Y22" si="17">Y23+Y24</f>
        <v>270.98366731689896</v>
      </c>
    </row>
    <row r="23" spans="1:27" s="551" customFormat="1" outlineLevel="1">
      <c r="A23" s="553"/>
      <c r="B23" s="558" t="s">
        <v>175</v>
      </c>
      <c r="C23" s="565"/>
      <c r="D23" s="559">
        <f t="shared" si="13"/>
        <v>288011.72281999997</v>
      </c>
      <c r="E23" s="560">
        <f t="shared" si="6"/>
        <v>12127.01269516211</v>
      </c>
      <c r="F23" s="563">
        <v>4836.5382165168403</v>
      </c>
      <c r="G23" s="563">
        <v>7290.4744786452684</v>
      </c>
      <c r="H23" s="559">
        <v>275588.26658931054</v>
      </c>
      <c r="I23" s="563">
        <v>296.44353552733543</v>
      </c>
      <c r="J23" s="562"/>
      <c r="K23" s="562"/>
      <c r="L23" s="559">
        <f t="shared" si="14"/>
        <v>288011.72081999999</v>
      </c>
      <c r="M23" s="560">
        <f t="shared" si="8"/>
        <v>11987.90686692465</v>
      </c>
      <c r="N23" s="563">
        <f>[54]СводПЗ!$E$23</f>
        <v>4744.6514560327087</v>
      </c>
      <c r="O23" s="563">
        <f>[54]СводПЗ!$F$23</f>
        <v>7243.2554108919412</v>
      </c>
      <c r="P23" s="559">
        <f>[54]СводПЗ!$L$23</f>
        <v>275852.44247456698</v>
      </c>
      <c r="Q23" s="563">
        <f>[54]СводПЗ!$J$23</f>
        <v>171.37147850835498</v>
      </c>
      <c r="R23" s="562"/>
      <c r="S23" s="562"/>
      <c r="T23" s="559">
        <v>288011.72081999999</v>
      </c>
      <c r="U23" s="560">
        <f t="shared" si="10"/>
        <v>12126.874478645268</v>
      </c>
      <c r="V23" s="563">
        <v>4836.3999999999996</v>
      </c>
      <c r="W23" s="563">
        <v>7290.4744786452684</v>
      </c>
      <c r="X23" s="559">
        <f t="shared" si="11"/>
        <v>275713.47486284637</v>
      </c>
      <c r="Y23" s="563">
        <v>171.37147850835498</v>
      </c>
    </row>
    <row r="24" spans="1:27" s="551" customFormat="1" outlineLevel="1">
      <c r="A24" s="553"/>
      <c r="B24" s="558" t="s">
        <v>14</v>
      </c>
      <c r="C24" s="565"/>
      <c r="D24" s="559">
        <f t="shared" si="13"/>
        <v>22971.569966067822</v>
      </c>
      <c r="E24" s="560">
        <f t="shared" si="6"/>
        <v>10345.576772003635</v>
      </c>
      <c r="F24" s="563">
        <v>4119.7405662883866</v>
      </c>
      <c r="G24" s="563">
        <v>6225.8362057152472</v>
      </c>
      <c r="H24" s="559">
        <v>12453.68092032769</v>
      </c>
      <c r="I24" s="563">
        <v>172.31227373649816</v>
      </c>
      <c r="J24" s="562"/>
      <c r="K24" s="562"/>
      <c r="L24" s="559">
        <f t="shared" si="14"/>
        <v>22971.569966067818</v>
      </c>
      <c r="M24" s="560">
        <f t="shared" si="8"/>
        <v>10264.720021962194</v>
      </c>
      <c r="N24" s="563">
        <f>[54]СводПЗ!$E$24</f>
        <v>4066.3303342732629</v>
      </c>
      <c r="O24" s="563">
        <f>[54]СводПЗ!$F$24</f>
        <v>6198.3896876889303</v>
      </c>
      <c r="P24" s="559">
        <f>[54]СводПЗ!$L$24</f>
        <v>12607.237755297083</v>
      </c>
      <c r="Q24" s="563">
        <f>[54]СводПЗ!$J$24</f>
        <v>99.612188808543962</v>
      </c>
      <c r="R24" s="562"/>
      <c r="S24" s="562"/>
      <c r="T24" s="559">
        <v>22971.569966067818</v>
      </c>
      <c r="U24" s="560">
        <f t="shared" si="10"/>
        <v>10345.336205715248</v>
      </c>
      <c r="V24" s="563">
        <v>4119.5</v>
      </c>
      <c r="W24" s="563">
        <v>6225.8362057152472</v>
      </c>
      <c r="X24" s="559">
        <f t="shared" si="11"/>
        <v>12526.621571544027</v>
      </c>
      <c r="Y24" s="563">
        <v>99.612188808543962</v>
      </c>
    </row>
    <row r="25" spans="1:27" s="551" customFormat="1" ht="27.75" customHeight="1">
      <c r="A25" s="553" t="s">
        <v>15</v>
      </c>
      <c r="B25" s="554" t="s">
        <v>179</v>
      </c>
      <c r="C25" s="539" t="s">
        <v>9</v>
      </c>
      <c r="D25" s="555">
        <f t="shared" si="13"/>
        <v>76279.90433200002</v>
      </c>
      <c r="E25" s="557">
        <f t="shared" si="6"/>
        <v>4130.955401258514</v>
      </c>
      <c r="F25" s="566">
        <v>1639.6039514323304</v>
      </c>
      <c r="G25" s="566">
        <v>2491.3514498261839</v>
      </c>
      <c r="H25" s="555">
        <v>71907.086879341499</v>
      </c>
      <c r="I25" s="566">
        <v>241.86205139999996</v>
      </c>
      <c r="L25" s="555">
        <f t="shared" si="14"/>
        <v>61848.571080000009</v>
      </c>
      <c r="M25" s="557">
        <f t="shared" si="8"/>
        <v>3349.4232983177139</v>
      </c>
      <c r="N25" s="566">
        <f>[54]СводПЗ!$E$25</f>
        <v>1329.408609269457</v>
      </c>
      <c r="O25" s="566">
        <f>[54]СводПЗ!$F$25</f>
        <v>2020.014689048257</v>
      </c>
      <c r="P25" s="567">
        <f>[54]СводПЗ!$L$25</f>
        <v>58303.043415682296</v>
      </c>
      <c r="Q25" s="566">
        <f>[54]СводПЗ!$J$25</f>
        <v>196.10436599999997</v>
      </c>
      <c r="T25" s="555">
        <v>61848.571080000009</v>
      </c>
      <c r="U25" s="557">
        <f t="shared" si="10"/>
        <v>3349.4232983177139</v>
      </c>
      <c r="V25" s="566">
        <v>1329.408609269457</v>
      </c>
      <c r="W25" s="566">
        <v>2020.014689048257</v>
      </c>
      <c r="X25" s="555">
        <f t="shared" si="11"/>
        <v>58303.043415682296</v>
      </c>
      <c r="Y25" s="566">
        <v>196.10436599999997</v>
      </c>
    </row>
    <row r="26" spans="1:27" s="556" customFormat="1" ht="33" customHeight="1">
      <c r="A26" s="547" t="s">
        <v>16</v>
      </c>
      <c r="B26" s="548" t="s">
        <v>273</v>
      </c>
      <c r="C26" s="549" t="s">
        <v>9</v>
      </c>
      <c r="D26" s="550">
        <f>SUM(D28:D31)</f>
        <v>1206129.5796632001</v>
      </c>
      <c r="E26" s="550">
        <f t="shared" si="6"/>
        <v>267057.79093023599</v>
      </c>
      <c r="F26" s="550">
        <f t="shared" ref="F26:I26" si="18">SUM(F28:F31)</f>
        <v>112257.6431603157</v>
      </c>
      <c r="G26" s="550">
        <f t="shared" si="18"/>
        <v>154800.14776992027</v>
      </c>
      <c r="H26" s="550">
        <f t="shared" si="18"/>
        <v>858902.35124417162</v>
      </c>
      <c r="I26" s="550">
        <f t="shared" si="18"/>
        <v>80169.437488792464</v>
      </c>
      <c r="L26" s="550">
        <f>SUM(L28:L31)</f>
        <v>1196407.4733271997</v>
      </c>
      <c r="M26" s="550">
        <f t="shared" si="8"/>
        <v>256722.74888155027</v>
      </c>
      <c r="N26" s="550">
        <f t="shared" ref="N26:Q26" si="19">SUM(N28:N31)</f>
        <v>105958.85517350391</v>
      </c>
      <c r="O26" s="550">
        <f t="shared" si="19"/>
        <v>150763.89370804635</v>
      </c>
      <c r="P26" s="550">
        <f t="shared" si="19"/>
        <v>867350.10817682138</v>
      </c>
      <c r="Q26" s="550">
        <f t="shared" si="19"/>
        <v>72334.61626882838</v>
      </c>
      <c r="T26" s="550">
        <f>SUM(T28:T31)</f>
        <v>1196407.4733271997</v>
      </c>
      <c r="U26" s="550">
        <f t="shared" si="10"/>
        <v>62083.399999999994</v>
      </c>
      <c r="V26" s="550">
        <f t="shared" ref="V26:W26" si="20">SUM(V28:V31)</f>
        <v>24795</v>
      </c>
      <c r="W26" s="550">
        <f t="shared" si="20"/>
        <v>37288.399999999994</v>
      </c>
      <c r="X26" s="568">
        <f t="shared" si="11"/>
        <v>1061989.4570583715</v>
      </c>
      <c r="Y26" s="550">
        <f t="shared" ref="Y26" si="21">SUM(Y28:Y31)</f>
        <v>72334.61626882838</v>
      </c>
      <c r="AA26" s="569"/>
    </row>
    <row r="27" spans="1:27" s="551" customFormat="1">
      <c r="A27" s="553"/>
      <c r="B27" s="554" t="s">
        <v>7</v>
      </c>
      <c r="C27" s="539"/>
      <c r="D27" s="555"/>
      <c r="E27" s="555"/>
      <c r="F27" s="555"/>
      <c r="G27" s="555"/>
      <c r="H27" s="555"/>
      <c r="I27" s="570"/>
      <c r="L27" s="555"/>
      <c r="M27" s="555"/>
      <c r="N27" s="555"/>
      <c r="O27" s="555"/>
      <c r="P27" s="555"/>
      <c r="Q27" s="570"/>
      <c r="T27" s="555"/>
      <c r="U27" s="555"/>
      <c r="V27" s="555"/>
      <c r="W27" s="555"/>
      <c r="X27" s="555"/>
      <c r="Y27" s="570"/>
    </row>
    <row r="28" spans="1:27" s="551" customFormat="1" ht="27" customHeight="1">
      <c r="A28" s="553" t="s">
        <v>17</v>
      </c>
      <c r="B28" s="554" t="s">
        <v>18</v>
      </c>
      <c r="C28" s="539" t="s">
        <v>9</v>
      </c>
      <c r="D28" s="555">
        <f>SUM(F28:I28)</f>
        <v>1075601.3768</v>
      </c>
      <c r="E28" s="557">
        <f t="shared" ref="E28:E34" si="22">F28+G28</f>
        <v>239807.96185663517</v>
      </c>
      <c r="F28" s="555">
        <v>100803.18763715524</v>
      </c>
      <c r="G28" s="555">
        <v>139004.77421947994</v>
      </c>
      <c r="H28" s="555">
        <v>764099.34811255021</v>
      </c>
      <c r="I28" s="570">
        <v>71694.066830814583</v>
      </c>
      <c r="L28" s="555">
        <f>SUM(N28:Q28)</f>
        <v>1073915.2327999999</v>
      </c>
      <c r="M28" s="557">
        <f t="shared" ref="M28:M34" si="23">N28+O28</f>
        <v>232224.25124175879</v>
      </c>
      <c r="N28" s="555">
        <f>[54]СводПЗ!$E$28</f>
        <v>95890.776263006876</v>
      </c>
      <c r="O28" s="555">
        <f>[54]СводПЗ!$F$28</f>
        <v>136333.47497875191</v>
      </c>
      <c r="P28" s="555">
        <f>[54]СводПЗ!$L$28</f>
        <v>776447.3392924784</v>
      </c>
      <c r="Q28" s="570">
        <f>[54]СводПЗ!$J$28</f>
        <v>65243.642265762763</v>
      </c>
      <c r="T28" s="555">
        <v>1073915.2327999999</v>
      </c>
      <c r="U28" s="557">
        <f t="shared" ref="U28:U34" si="24">V28+W28</f>
        <v>55117.2</v>
      </c>
      <c r="V28" s="555">
        <v>22038</v>
      </c>
      <c r="W28" s="555">
        <v>33079.199999999997</v>
      </c>
      <c r="X28" s="555">
        <f>T28-V28-W28-Y28</f>
        <v>953554.39053423714</v>
      </c>
      <c r="Y28" s="570">
        <v>65243.642265762763</v>
      </c>
    </row>
    <row r="29" spans="1:27" s="551" customFormat="1" ht="29.25" customHeight="1">
      <c r="A29" s="553" t="s">
        <v>19</v>
      </c>
      <c r="B29" s="554" t="s">
        <v>20</v>
      </c>
      <c r="C29" s="539" t="s">
        <v>9</v>
      </c>
      <c r="D29" s="555">
        <f>SUM(F29:I29)</f>
        <v>106484.53630320002</v>
      </c>
      <c r="E29" s="557">
        <f t="shared" si="22"/>
        <v>23740.988223806882</v>
      </c>
      <c r="F29" s="555">
        <v>9979.5155760783673</v>
      </c>
      <c r="G29" s="555">
        <v>13761.472647728513</v>
      </c>
      <c r="H29" s="555">
        <v>75645.835463142488</v>
      </c>
      <c r="I29" s="570">
        <v>7097.7126162506447</v>
      </c>
      <c r="L29" s="555">
        <f>SUM(N29:Q29)</f>
        <v>106317.60804719999</v>
      </c>
      <c r="M29" s="557">
        <f t="shared" si="23"/>
        <v>22990.200872934121</v>
      </c>
      <c r="N29" s="555">
        <f>[54]СводПЗ!$E$29</f>
        <v>9493.1868500376822</v>
      </c>
      <c r="O29" s="555">
        <f>[54]СводПЗ!$F$29</f>
        <v>13497.014022896439</v>
      </c>
      <c r="P29" s="555">
        <f>[54]СводПЗ!$L$29</f>
        <v>76868.286589955358</v>
      </c>
      <c r="Q29" s="570">
        <f>[54]СводПЗ!$J$29</f>
        <v>6459.1205843105136</v>
      </c>
      <c r="T29" s="555">
        <v>106317.60804719999</v>
      </c>
      <c r="U29" s="557">
        <f t="shared" si="24"/>
        <v>5456.7</v>
      </c>
      <c r="V29" s="555">
        <v>2181.5</v>
      </c>
      <c r="W29" s="555">
        <v>3275.2</v>
      </c>
      <c r="X29" s="555">
        <f>T29-V29-W29-Y29</f>
        <v>94401.787462889479</v>
      </c>
      <c r="Y29" s="570">
        <v>6459.1205843105136</v>
      </c>
    </row>
    <row r="30" spans="1:27" s="551" customFormat="1" ht="37.5" customHeight="1">
      <c r="A30" s="553" t="s">
        <v>144</v>
      </c>
      <c r="B30" s="554" t="s">
        <v>145</v>
      </c>
      <c r="C30" s="539"/>
      <c r="D30" s="555">
        <f>SUM(F30:I30)</f>
        <v>8305.5984000000008</v>
      </c>
      <c r="E30" s="557">
        <f t="shared" si="22"/>
        <v>0</v>
      </c>
      <c r="F30" s="555"/>
      <c r="G30" s="555"/>
      <c r="H30" s="555">
        <v>7976.9592000000002</v>
      </c>
      <c r="I30" s="570">
        <v>328.63920000000002</v>
      </c>
      <c r="L30" s="555">
        <f>SUM(N30:Q30)</f>
        <v>8305.5984000000008</v>
      </c>
      <c r="M30" s="557">
        <f t="shared" si="23"/>
        <v>0</v>
      </c>
      <c r="N30" s="555"/>
      <c r="O30" s="555"/>
      <c r="P30" s="555">
        <f>[54]СводПЗ!$L$30</f>
        <v>7976.9592000000002</v>
      </c>
      <c r="Q30" s="570">
        <f>[54]СводПЗ!$J$30</f>
        <v>328.63920000000002</v>
      </c>
      <c r="T30" s="555">
        <v>8305.5984000000008</v>
      </c>
      <c r="U30" s="557">
        <f t="shared" si="24"/>
        <v>0</v>
      </c>
      <c r="V30" s="555"/>
      <c r="W30" s="555"/>
      <c r="X30" s="555">
        <f>T30-V30-W30-Y30</f>
        <v>7976.9592000000011</v>
      </c>
      <c r="Y30" s="570">
        <v>328.63920000000002</v>
      </c>
    </row>
    <row r="31" spans="1:27" s="551" customFormat="1" ht="29.25" customHeight="1">
      <c r="A31" s="553" t="s">
        <v>146</v>
      </c>
      <c r="B31" s="554" t="s">
        <v>147</v>
      </c>
      <c r="C31" s="539"/>
      <c r="D31" s="555">
        <f>SUM(F31:I31)</f>
        <v>15738.068159999999</v>
      </c>
      <c r="E31" s="557">
        <f t="shared" si="22"/>
        <v>3508.8408497939031</v>
      </c>
      <c r="F31" s="555">
        <v>1474.9399470820929</v>
      </c>
      <c r="G31" s="555">
        <v>2033.9009027118102</v>
      </c>
      <c r="H31" s="555">
        <v>11180.208468478861</v>
      </c>
      <c r="I31" s="570">
        <v>1049.018841727235</v>
      </c>
      <c r="L31" s="555">
        <f>[54]СводПЗ!$C$31</f>
        <v>7869.0340800000004</v>
      </c>
      <c r="M31" s="557">
        <f t="shared" si="23"/>
        <v>1508.2967668573424</v>
      </c>
      <c r="N31" s="555">
        <f>$L$31*N90</f>
        <v>574.89206045934145</v>
      </c>
      <c r="O31" s="555">
        <f>$L$31*O90</f>
        <v>933.40470639800094</v>
      </c>
      <c r="P31" s="555">
        <f>$L$31*P90</f>
        <v>6057.5230943875604</v>
      </c>
      <c r="Q31" s="555">
        <f>$L$31*Q90</f>
        <v>303.21421875509708</v>
      </c>
      <c r="T31" s="555">
        <v>7869.0340800000004</v>
      </c>
      <c r="U31" s="557">
        <f t="shared" si="24"/>
        <v>1509.5</v>
      </c>
      <c r="V31" s="555">
        <v>575.5</v>
      </c>
      <c r="W31" s="555">
        <v>934</v>
      </c>
      <c r="X31" s="555">
        <f>T31-V31-W31-Y31</f>
        <v>6056.3198612449032</v>
      </c>
      <c r="Y31" s="555">
        <v>303.21421875509708</v>
      </c>
    </row>
    <row r="32" spans="1:27" s="556" customFormat="1" ht="44.25" customHeight="1">
      <c r="A32" s="547" t="s">
        <v>21</v>
      </c>
      <c r="B32" s="548" t="s">
        <v>22</v>
      </c>
      <c r="C32" s="549" t="s">
        <v>9</v>
      </c>
      <c r="D32" s="568">
        <f>SUM(F32:I32)</f>
        <v>2489153.803894788</v>
      </c>
      <c r="E32" s="550">
        <f t="shared" si="22"/>
        <v>1937026.4689199622</v>
      </c>
      <c r="F32" s="571">
        <v>1099839.5662673169</v>
      </c>
      <c r="G32" s="571">
        <v>837186.90265264537</v>
      </c>
      <c r="H32" s="571">
        <v>500769.89668170922</v>
      </c>
      <c r="I32" s="571">
        <v>51357.438293116582</v>
      </c>
      <c r="L32" s="568">
        <f>SUM(N32:Q32)</f>
        <v>2220718.321853674</v>
      </c>
      <c r="M32" s="550">
        <f t="shared" si="23"/>
        <v>1631988.581349937</v>
      </c>
      <c r="N32" s="571">
        <f>[54]СводПЗ!$E$32</f>
        <v>895527.52671471401</v>
      </c>
      <c r="O32" s="571">
        <f>[54]СводПЗ!$F$32</f>
        <v>736461.054635223</v>
      </c>
      <c r="P32" s="568">
        <f>[54]СводПЗ!$L$32</f>
        <v>579338.61477020709</v>
      </c>
      <c r="Q32" s="571">
        <f>[54]СводПЗ!$J$32</f>
        <v>9391.1257335300597</v>
      </c>
      <c r="T32" s="568">
        <v>2220718.321853674</v>
      </c>
      <c r="U32" s="550">
        <f t="shared" si="24"/>
        <v>1661006</v>
      </c>
      <c r="V32" s="571">
        <v>892841</v>
      </c>
      <c r="W32" s="571">
        <v>768165</v>
      </c>
      <c r="X32" s="568">
        <f>T32-V32-W32-Y32</f>
        <v>550321.19612014398</v>
      </c>
      <c r="Y32" s="571">
        <v>9391.1257335300597</v>
      </c>
      <c r="AA32" s="569"/>
    </row>
    <row r="33" spans="1:25" s="556" customFormat="1" ht="25.5" customHeight="1">
      <c r="A33" s="547" t="s">
        <v>23</v>
      </c>
      <c r="B33" s="548" t="s">
        <v>24</v>
      </c>
      <c r="C33" s="549" t="s">
        <v>9</v>
      </c>
      <c r="D33" s="568">
        <f>SUM(F33:H33)</f>
        <v>0</v>
      </c>
      <c r="E33" s="550">
        <f t="shared" si="22"/>
        <v>0</v>
      </c>
      <c r="F33" s="568"/>
      <c r="G33" s="568"/>
      <c r="H33" s="568"/>
      <c r="I33" s="568"/>
      <c r="L33" s="568">
        <f>SUM(N33:P33)</f>
        <v>0</v>
      </c>
      <c r="M33" s="550">
        <f t="shared" si="23"/>
        <v>0</v>
      </c>
      <c r="N33" s="568"/>
      <c r="O33" s="568"/>
      <c r="P33" s="568"/>
      <c r="Q33" s="568"/>
      <c r="T33" s="568">
        <v>0</v>
      </c>
      <c r="U33" s="550">
        <f t="shared" si="24"/>
        <v>0</v>
      </c>
      <c r="V33" s="568"/>
      <c r="W33" s="568"/>
      <c r="X33" s="568"/>
      <c r="Y33" s="568"/>
    </row>
    <row r="34" spans="1:25" s="556" customFormat="1" ht="32.25" customHeight="1">
      <c r="A34" s="547" t="s">
        <v>25</v>
      </c>
      <c r="B34" s="548" t="s">
        <v>26</v>
      </c>
      <c r="C34" s="549" t="s">
        <v>9</v>
      </c>
      <c r="D34" s="568">
        <f>SUM(F34:I34)</f>
        <v>915347.05063624796</v>
      </c>
      <c r="E34" s="550">
        <f t="shared" si="22"/>
        <v>368783.07035827276</v>
      </c>
      <c r="F34" s="550">
        <f>F36+F37+F38+F39+F45+F67+F69+F74</f>
        <v>199103.09201767843</v>
      </c>
      <c r="G34" s="550">
        <f>G36+G37+G38+G39+G45+G67+G69+G74</f>
        <v>169679.97834059436</v>
      </c>
      <c r="H34" s="550">
        <f>H36+H37+H38+H39+H45+H67+H69+H74</f>
        <v>518370.65091040451</v>
      </c>
      <c r="I34" s="550">
        <f>I36+I37+I38+I39+I45+I67+I69+I74</f>
        <v>28193.329367570681</v>
      </c>
      <c r="L34" s="568">
        <f>SUM(N34:Q34)</f>
        <v>858965.6412513227</v>
      </c>
      <c r="M34" s="550">
        <f t="shared" si="23"/>
        <v>300811.13910594012</v>
      </c>
      <c r="N34" s="550">
        <f>N36+N37+N38+N39+N45+N67+N69+N74</f>
        <v>164738.23756560116</v>
      </c>
      <c r="O34" s="550">
        <f>O36+O37+O38+O39+O45+O67+O69+O74</f>
        <v>136072.90154033893</v>
      </c>
      <c r="P34" s="550">
        <f>P36+P37+P38+P39+P45+P67+P69+P74</f>
        <v>544973.56757845986</v>
      </c>
      <c r="Q34" s="550">
        <f>Q36+Q37+Q38+Q39+Q45+Q67+Q69+Q74</f>
        <v>13180.934566922686</v>
      </c>
      <c r="T34" s="568">
        <v>858965.64125132258</v>
      </c>
      <c r="U34" s="550">
        <f t="shared" si="24"/>
        <v>316589.48048573267</v>
      </c>
      <c r="V34" s="550">
        <f>V36+V37+V38+V39+V45+V67+V69+V74</f>
        <v>167721.11831491199</v>
      </c>
      <c r="W34" s="550">
        <f>W36+W37+W38+W39+W45+W67+W69+W74</f>
        <v>148868.36217082068</v>
      </c>
      <c r="X34" s="568">
        <f>T34-V34-W34-Y34</f>
        <v>529195.22619865881</v>
      </c>
      <c r="Y34" s="550">
        <f>Y36+Y37+Y38+Y39+Y45+Y67+Y69+Y74</f>
        <v>13180.934566931046</v>
      </c>
    </row>
    <row r="35" spans="1:25" s="551" customFormat="1" ht="27" customHeight="1">
      <c r="A35" s="553"/>
      <c r="B35" s="554" t="s">
        <v>7</v>
      </c>
      <c r="C35" s="539"/>
      <c r="D35" s="555"/>
      <c r="E35" s="555"/>
      <c r="F35" s="568"/>
      <c r="G35" s="568"/>
      <c r="H35" s="568"/>
      <c r="I35" s="570"/>
      <c r="L35" s="555"/>
      <c r="M35" s="555"/>
      <c r="N35" s="568"/>
      <c r="O35" s="568"/>
      <c r="P35" s="568"/>
      <c r="Q35" s="570"/>
      <c r="T35" s="555"/>
      <c r="U35" s="555"/>
      <c r="V35" s="568"/>
      <c r="W35" s="568"/>
      <c r="X35" s="568"/>
      <c r="Y35" s="570"/>
    </row>
    <row r="36" spans="1:25" s="551" customFormat="1" ht="27" customHeight="1">
      <c r="A36" s="553" t="s">
        <v>27</v>
      </c>
      <c r="B36" s="554" t="s">
        <v>28</v>
      </c>
      <c r="C36" s="539" t="s">
        <v>9</v>
      </c>
      <c r="D36" s="555">
        <f t="shared" ref="D36:D73" si="25">SUM(F36:I36)</f>
        <v>6258.5412933942844</v>
      </c>
      <c r="E36" s="557">
        <f t="shared" ref="E36:E46" si="26">F36+G36</f>
        <v>1395.3571129014504</v>
      </c>
      <c r="F36" s="555">
        <v>586.53784379658339</v>
      </c>
      <c r="G36" s="555">
        <v>808.81926910486698</v>
      </c>
      <c r="H36" s="555">
        <v>4446.0219422973596</v>
      </c>
      <c r="I36" s="570">
        <v>417.16223819547525</v>
      </c>
      <c r="L36" s="555">
        <f>[54]СводПЗ!$C$36</f>
        <v>6258.5412933942862</v>
      </c>
      <c r="M36" s="557">
        <f t="shared" ref="M36:M46" si="27">N36+O36</f>
        <v>1199.6056316571157</v>
      </c>
      <c r="N36" s="555">
        <f>$L$36*N90</f>
        <v>457.23346258900847</v>
      </c>
      <c r="O36" s="555">
        <f>$L$36*O90</f>
        <v>742.37216906810738</v>
      </c>
      <c r="P36" s="555">
        <f>$L$36*P90</f>
        <v>4817.7778919867233</v>
      </c>
      <c r="Q36" s="555">
        <f>$L$36*Q90</f>
        <v>241.15776975044733</v>
      </c>
      <c r="T36" s="555">
        <v>6258.5412933942862</v>
      </c>
      <c r="U36" s="557">
        <f t="shared" ref="U36:U46" si="28">V36+W36</f>
        <v>1395.3571129014504</v>
      </c>
      <c r="V36" s="555">
        <v>586.53784379658339</v>
      </c>
      <c r="W36" s="555">
        <v>808.81926910486698</v>
      </c>
      <c r="X36" s="555">
        <f>T36-V36-W36-Y36</f>
        <v>4622.0264107423882</v>
      </c>
      <c r="Y36" s="555">
        <v>241.15776975044733</v>
      </c>
    </row>
    <row r="37" spans="1:25" s="551" customFormat="1" ht="27" customHeight="1">
      <c r="A37" s="553" t="s">
        <v>29</v>
      </c>
      <c r="B37" s="554" t="s">
        <v>30</v>
      </c>
      <c r="C37" s="539" t="s">
        <v>9</v>
      </c>
      <c r="D37" s="555">
        <f t="shared" si="25"/>
        <v>2234.5857982142852</v>
      </c>
      <c r="E37" s="557">
        <f t="shared" si="26"/>
        <v>498.20637777334434</v>
      </c>
      <c r="F37" s="555">
        <v>209.42086572895963</v>
      </c>
      <c r="G37" s="555">
        <v>288.78551204438469</v>
      </c>
      <c r="H37" s="555">
        <v>1587.4334010215616</v>
      </c>
      <c r="I37" s="570">
        <v>148.94601941937952</v>
      </c>
      <c r="L37" s="555">
        <f>[54]СводПЗ!$C$37</f>
        <v>1398.3066999999996</v>
      </c>
      <c r="M37" s="557">
        <f t="shared" si="27"/>
        <v>268.02037622957647</v>
      </c>
      <c r="N37" s="555">
        <f>$L$37*N90</f>
        <v>102.15681006646523</v>
      </c>
      <c r="O37" s="555">
        <f>$L$37*O90</f>
        <v>165.86356616311124</v>
      </c>
      <c r="P37" s="555">
        <f>$L$37*P90</f>
        <v>1076.4059530273194</v>
      </c>
      <c r="Q37" s="555">
        <f>$L$37*Q90</f>
        <v>53.880370743103676</v>
      </c>
      <c r="T37" s="555">
        <v>1398.3066999999996</v>
      </c>
      <c r="U37" s="557">
        <f t="shared" si="28"/>
        <v>267.86356616311127</v>
      </c>
      <c r="V37" s="555">
        <v>102</v>
      </c>
      <c r="W37" s="555">
        <v>165.86356616311124</v>
      </c>
      <c r="X37" s="555">
        <f>T37-V37-W37-Y37</f>
        <v>1076.5627630937847</v>
      </c>
      <c r="Y37" s="555">
        <v>53.880370743103676</v>
      </c>
    </row>
    <row r="38" spans="1:25" s="551" customFormat="1" ht="27" customHeight="1">
      <c r="A38" s="553" t="s">
        <v>31</v>
      </c>
      <c r="B38" s="554" t="s">
        <v>32</v>
      </c>
      <c r="C38" s="539" t="s">
        <v>9</v>
      </c>
      <c r="D38" s="555">
        <f t="shared" si="25"/>
        <v>20478.45736</v>
      </c>
      <c r="E38" s="557">
        <f t="shared" si="26"/>
        <v>4565.7222344581969</v>
      </c>
      <c r="F38" s="555">
        <v>1919.1996443152584</v>
      </c>
      <c r="G38" s="555">
        <v>2646.522590142939</v>
      </c>
      <c r="H38" s="555">
        <v>14547.74627165265</v>
      </c>
      <c r="I38" s="570">
        <v>1364.9888538891528</v>
      </c>
      <c r="L38" s="555">
        <f>[54]СводПЗ!$C$38</f>
        <v>15026.88236</v>
      </c>
      <c r="M38" s="557">
        <f t="shared" si="27"/>
        <v>2880.2770262666891</v>
      </c>
      <c r="N38" s="555">
        <f>$L$38*N90</f>
        <v>1097.8266550118349</v>
      </c>
      <c r="O38" s="555">
        <f>$L$38*O90</f>
        <v>1782.450371254854</v>
      </c>
      <c r="P38" s="555">
        <f>$L$38*P90</f>
        <v>11567.580722988183</v>
      </c>
      <c r="Q38" s="555">
        <f>$L$38*Q90</f>
        <v>579.02461074512826</v>
      </c>
      <c r="T38" s="555">
        <v>15026.88236</v>
      </c>
      <c r="U38" s="557">
        <f t="shared" si="28"/>
        <v>2884</v>
      </c>
      <c r="V38" s="555">
        <v>1100</v>
      </c>
      <c r="W38" s="555">
        <v>1784</v>
      </c>
      <c r="X38" s="555">
        <f>T38-V38-W38-Y38</f>
        <v>11563.857749254872</v>
      </c>
      <c r="Y38" s="555">
        <v>579.02461074512826</v>
      </c>
    </row>
    <row r="39" spans="1:25" s="551" customFormat="1" ht="27" customHeight="1">
      <c r="A39" s="553" t="s">
        <v>33</v>
      </c>
      <c r="B39" s="554" t="s">
        <v>34</v>
      </c>
      <c r="C39" s="549" t="s">
        <v>9</v>
      </c>
      <c r="D39" s="555">
        <f t="shared" si="25"/>
        <v>390838.78575275984</v>
      </c>
      <c r="E39" s="557">
        <f t="shared" si="26"/>
        <v>301489.3651574697</v>
      </c>
      <c r="F39" s="555">
        <f>SUM(F40:F44)</f>
        <v>170983.24303371712</v>
      </c>
      <c r="G39" s="555">
        <f t="shared" ref="G39:I39" si="29">SUM(G40:G44)</f>
        <v>130506.12212375256</v>
      </c>
      <c r="H39" s="555">
        <f t="shared" si="29"/>
        <v>81359.742869789654</v>
      </c>
      <c r="I39" s="555">
        <f t="shared" si="29"/>
        <v>7989.6777255004772</v>
      </c>
      <c r="L39" s="555">
        <f t="shared" ref="L39:L55" si="30">SUM(N39:Q39)</f>
        <v>327658.90089290589</v>
      </c>
      <c r="M39" s="557">
        <f t="shared" si="27"/>
        <v>245257.82116468903</v>
      </c>
      <c r="N39" s="555">
        <f>SUM(N40:N44)</f>
        <v>143451.66851664681</v>
      </c>
      <c r="O39" s="555">
        <f t="shared" ref="O39:Q39" si="31">SUM(O40:O44)</f>
        <v>101806.1526480422</v>
      </c>
      <c r="P39" s="555">
        <f t="shared" si="31"/>
        <v>81171.094973790634</v>
      </c>
      <c r="Q39" s="555">
        <f t="shared" si="31"/>
        <v>1229.9847544262102</v>
      </c>
      <c r="T39" s="555">
        <f>V39+W39+X39+Y39</f>
        <v>327658.90089290583</v>
      </c>
      <c r="U39" s="557">
        <f t="shared" si="28"/>
        <v>254045.24986792094</v>
      </c>
      <c r="V39" s="555">
        <f>SUM(V40:V44)</f>
        <v>141816.97452340313</v>
      </c>
      <c r="W39" s="555">
        <f t="shared" ref="W39:Y39" si="32">SUM(W40:W44)</f>
        <v>112228.27534451782</v>
      </c>
      <c r="X39" s="555">
        <f t="shared" si="32"/>
        <v>72383.666270550326</v>
      </c>
      <c r="Y39" s="555">
        <f t="shared" si="32"/>
        <v>1229.984754434571</v>
      </c>
    </row>
    <row r="40" spans="1:25" s="551" customFormat="1" ht="19.5" customHeight="1">
      <c r="A40" s="553"/>
      <c r="B40" s="558" t="s">
        <v>148</v>
      </c>
      <c r="C40" s="549" t="s">
        <v>9</v>
      </c>
      <c r="D40" s="559">
        <f t="shared" si="25"/>
        <v>7049.5699300135602</v>
      </c>
      <c r="E40" s="560">
        <f t="shared" si="26"/>
        <v>5485.8817994983538</v>
      </c>
      <c r="F40" s="563">
        <v>3114.8721794794146</v>
      </c>
      <c r="G40" s="563">
        <v>2371.0096200189391</v>
      </c>
      <c r="H40" s="563">
        <v>1418.2379570035564</v>
      </c>
      <c r="I40" s="564">
        <v>145.45017351165043</v>
      </c>
      <c r="J40" s="562"/>
      <c r="K40" s="562"/>
      <c r="L40" s="559">
        <f>[54]СводПЗ!$C$40</f>
        <v>7049.5699299999997</v>
      </c>
      <c r="M40" s="560">
        <f t="shared" si="27"/>
        <v>5331.7470076992668</v>
      </c>
      <c r="N40" s="563">
        <f>$L$40*N92</f>
        <v>3123.4157002076759</v>
      </c>
      <c r="O40" s="563">
        <f>$L$40*O92</f>
        <v>2208.3313074915905</v>
      </c>
      <c r="P40" s="563">
        <f>$L$40*P92</f>
        <v>1691.366880526886</v>
      </c>
      <c r="Q40" s="563">
        <f>$L$40*Q92</f>
        <v>26.456041773847414</v>
      </c>
      <c r="R40" s="562"/>
      <c r="S40" s="562"/>
      <c r="T40" s="559">
        <v>7049.5699299999997</v>
      </c>
      <c r="U40" s="560">
        <f t="shared" si="28"/>
        <v>5485.8817994983538</v>
      </c>
      <c r="V40" s="563">
        <v>3114.8721794794146</v>
      </c>
      <c r="W40" s="563">
        <v>2371.0096200189391</v>
      </c>
      <c r="X40" s="559">
        <f t="shared" ref="X40:X46" si="33">T40-V40-W40-Y40</f>
        <v>1537.2320887276157</v>
      </c>
      <c r="Y40" s="563">
        <v>26.456041774030052</v>
      </c>
    </row>
    <row r="41" spans="1:25" s="551" customFormat="1" ht="19.5" customHeight="1">
      <c r="A41" s="553"/>
      <c r="B41" s="558" t="s">
        <v>97</v>
      </c>
      <c r="C41" s="549" t="s">
        <v>9</v>
      </c>
      <c r="D41" s="559">
        <f t="shared" si="25"/>
        <v>378846.2362985785</v>
      </c>
      <c r="E41" s="560">
        <f t="shared" si="26"/>
        <v>294813.11528954876</v>
      </c>
      <c r="F41" s="563">
        <v>167394.268510314</v>
      </c>
      <c r="G41" s="563">
        <v>127418.84677923474</v>
      </c>
      <c r="H41" s="563">
        <v>76216.580234072419</v>
      </c>
      <c r="I41" s="564">
        <v>7816.5407749573169</v>
      </c>
      <c r="J41" s="562"/>
      <c r="K41" s="562"/>
      <c r="L41" s="559">
        <f>[54]СводПЗ!$C$41</f>
        <v>315666.35143873811</v>
      </c>
      <c r="M41" s="560">
        <f t="shared" si="27"/>
        <v>238745.5038288892</v>
      </c>
      <c r="N41" s="563">
        <f>$L$41*N92</f>
        <v>139860.62240693718</v>
      </c>
      <c r="O41" s="563">
        <f>$L$41*O92</f>
        <v>98884.881421952014</v>
      </c>
      <c r="P41" s="563">
        <f>$L$41*P92</f>
        <v>75736.196310097774</v>
      </c>
      <c r="Q41" s="563">
        <f>$L$41*Q92</f>
        <v>1184.6512997511686</v>
      </c>
      <c r="R41" s="562"/>
      <c r="S41" s="562"/>
      <c r="T41" s="559">
        <v>315666.35143873806</v>
      </c>
      <c r="U41" s="560">
        <f t="shared" si="28"/>
        <v>247369</v>
      </c>
      <c r="V41" s="563">
        <v>138228</v>
      </c>
      <c r="W41" s="563">
        <v>109141</v>
      </c>
      <c r="X41" s="559">
        <f t="shared" si="33"/>
        <v>67112.700138978704</v>
      </c>
      <c r="Y41" s="563">
        <v>1184.6512997593466</v>
      </c>
    </row>
    <row r="42" spans="1:25" s="551" customFormat="1" ht="19.5" customHeight="1" outlineLevel="1">
      <c r="A42" s="553"/>
      <c r="B42" s="558" t="s">
        <v>35</v>
      </c>
      <c r="C42" s="549" t="s">
        <v>9</v>
      </c>
      <c r="D42" s="559">
        <f t="shared" si="25"/>
        <v>128.84780000000001</v>
      </c>
      <c r="E42" s="560">
        <f t="shared" si="26"/>
        <v>39.867390930506666</v>
      </c>
      <c r="F42" s="563">
        <v>16.364254279270934</v>
      </c>
      <c r="G42" s="563">
        <v>23.503136651235732</v>
      </c>
      <c r="H42" s="563">
        <v>75.278962890270748</v>
      </c>
      <c r="I42" s="564">
        <v>13.701446179222581</v>
      </c>
      <c r="J42" s="562"/>
      <c r="K42" s="562"/>
      <c r="L42" s="559">
        <f t="shared" si="30"/>
        <v>128.84780000000001</v>
      </c>
      <c r="M42" s="560">
        <f t="shared" si="27"/>
        <v>36.632203446183688</v>
      </c>
      <c r="N42" s="563">
        <f>[54]СводПЗ!$E$42</f>
        <v>14.227238952021755</v>
      </c>
      <c r="O42" s="563">
        <f>[54]СводПЗ!$F$42</f>
        <v>22.404964494161934</v>
      </c>
      <c r="P42" s="559">
        <f>[54]СводПЗ!$L$42</f>
        <v>81.42297870058502</v>
      </c>
      <c r="Q42" s="564">
        <f>[54]СводПЗ!$J$42</f>
        <v>10.792617853231292</v>
      </c>
      <c r="R42" s="562"/>
      <c r="S42" s="562"/>
      <c r="T42" s="559">
        <v>128.84780000000001</v>
      </c>
      <c r="U42" s="560">
        <f t="shared" si="28"/>
        <v>39.867390930506666</v>
      </c>
      <c r="V42" s="563">
        <v>16.364254279270934</v>
      </c>
      <c r="W42" s="563">
        <v>23.503136651235732</v>
      </c>
      <c r="X42" s="559">
        <f t="shared" si="33"/>
        <v>78.187791216262042</v>
      </c>
      <c r="Y42" s="564">
        <v>10.792617853231292</v>
      </c>
    </row>
    <row r="43" spans="1:25" s="551" customFormat="1" ht="19.5" customHeight="1" outlineLevel="1">
      <c r="A43" s="553"/>
      <c r="B43" s="558" t="s">
        <v>36</v>
      </c>
      <c r="C43" s="549"/>
      <c r="D43" s="559">
        <f t="shared" si="25"/>
        <v>4655.3017241677644</v>
      </c>
      <c r="E43" s="560">
        <f t="shared" si="26"/>
        <v>1115.0891399064469</v>
      </c>
      <c r="F43" s="563">
        <v>442.85286298169564</v>
      </c>
      <c r="G43" s="563">
        <v>672.23627692475134</v>
      </c>
      <c r="H43" s="563">
        <v>3536.8140459516494</v>
      </c>
      <c r="I43" s="564">
        <v>3.3985383096677753</v>
      </c>
      <c r="J43" s="562"/>
      <c r="K43" s="562"/>
      <c r="L43" s="559">
        <f t="shared" si="30"/>
        <v>4655.3017241677635</v>
      </c>
      <c r="M43" s="560">
        <f t="shared" si="27"/>
        <v>1113.4943912756485</v>
      </c>
      <c r="N43" s="563">
        <f>[54]СводПЗ!$E$43</f>
        <v>441.79944574277499</v>
      </c>
      <c r="O43" s="563">
        <f>[54]СводПЗ!$F$43</f>
        <v>671.69494553287348</v>
      </c>
      <c r="P43" s="559">
        <f>[54]СводПЗ!$L$43</f>
        <v>3539.8426682026261</v>
      </c>
      <c r="Q43" s="564">
        <f>[54]СводПЗ!$J$43</f>
        <v>1.9646646894892064</v>
      </c>
      <c r="R43" s="562"/>
      <c r="S43" s="562"/>
      <c r="T43" s="559">
        <v>4655.3017241677635</v>
      </c>
      <c r="U43" s="560">
        <f t="shared" si="28"/>
        <v>1115.0891399064469</v>
      </c>
      <c r="V43" s="563">
        <v>442.85286298169564</v>
      </c>
      <c r="W43" s="563">
        <v>672.23627692475134</v>
      </c>
      <c r="X43" s="559">
        <f t="shared" si="33"/>
        <v>3538.2479195718274</v>
      </c>
      <c r="Y43" s="564">
        <v>1.9646646894892064</v>
      </c>
    </row>
    <row r="44" spans="1:25" s="551" customFormat="1" ht="32.25" customHeight="1" outlineLevel="1">
      <c r="A44" s="553"/>
      <c r="B44" s="558" t="s">
        <v>37</v>
      </c>
      <c r="C44" s="549"/>
      <c r="D44" s="559">
        <f t="shared" si="25"/>
        <v>158.83000000000001</v>
      </c>
      <c r="E44" s="560">
        <f t="shared" si="26"/>
        <v>35.411537585612137</v>
      </c>
      <c r="F44" s="563">
        <v>14.885226662727124</v>
      </c>
      <c r="G44" s="563">
        <v>20.526310922885013</v>
      </c>
      <c r="H44" s="563">
        <v>112.83166987176764</v>
      </c>
      <c r="I44" s="564">
        <v>10.58679254262022</v>
      </c>
      <c r="J44" s="562"/>
      <c r="K44" s="562"/>
      <c r="L44" s="559">
        <f>[54]СводПЗ!$C$44</f>
        <v>158.83000000000001</v>
      </c>
      <c r="M44" s="560">
        <f t="shared" si="27"/>
        <v>30.443733378767082</v>
      </c>
      <c r="N44" s="563">
        <f>$L$44*N90</f>
        <v>11.603724807194787</v>
      </c>
      <c r="O44" s="563">
        <f>$L$44*O90</f>
        <v>18.840008571572294</v>
      </c>
      <c r="P44" s="563">
        <f>$L$44*P90</f>
        <v>122.26613626275925</v>
      </c>
      <c r="Q44" s="563">
        <f>$L$44*Q90</f>
        <v>6.1201303584736877</v>
      </c>
      <c r="R44" s="562"/>
      <c r="S44" s="562"/>
      <c r="T44" s="559">
        <v>158.83000000000001</v>
      </c>
      <c r="U44" s="560">
        <f t="shared" si="28"/>
        <v>35.411537585612137</v>
      </c>
      <c r="V44" s="563">
        <v>14.885226662727124</v>
      </c>
      <c r="W44" s="563">
        <v>20.526310922885013</v>
      </c>
      <c r="X44" s="559">
        <f t="shared" si="33"/>
        <v>117.29833205591419</v>
      </c>
      <c r="Y44" s="563">
        <v>6.1201303584736877</v>
      </c>
    </row>
    <row r="45" spans="1:25" s="551" customFormat="1" ht="25.5" customHeight="1">
      <c r="A45" s="553" t="s">
        <v>38</v>
      </c>
      <c r="B45" s="554" t="s">
        <v>39</v>
      </c>
      <c r="C45" s="549" t="s">
        <v>9</v>
      </c>
      <c r="D45" s="555">
        <f t="shared" si="25"/>
        <v>408724.98866703565</v>
      </c>
      <c r="E45" s="557">
        <f t="shared" si="26"/>
        <v>41390.153219189204</v>
      </c>
      <c r="F45" s="570">
        <f>SUM(F46:F66)</f>
        <v>17234.586146861951</v>
      </c>
      <c r="G45" s="570">
        <f>SUM(G46:G66)</f>
        <v>24155.567072327249</v>
      </c>
      <c r="H45" s="570">
        <f>SUM(H46:H66)</f>
        <v>354906.06722599384</v>
      </c>
      <c r="I45" s="570">
        <f>SUM(I46:I66)</f>
        <v>12428.768221852612</v>
      </c>
      <c r="L45" s="555">
        <f t="shared" si="30"/>
        <v>432737.40652417857</v>
      </c>
      <c r="M45" s="557">
        <f t="shared" si="27"/>
        <v>36563.536269460907</v>
      </c>
      <c r="N45" s="570">
        <f>SUM(N46:N66)</f>
        <v>14046.346067944683</v>
      </c>
      <c r="O45" s="570">
        <f>SUM(O46:O66)</f>
        <v>22517.190201516223</v>
      </c>
      <c r="P45" s="570">
        <f>SUM(P46:P66)</f>
        <v>388084.81964432134</v>
      </c>
      <c r="Q45" s="570">
        <f>SUM(Q46:Q66)</f>
        <v>8089.0506103963353</v>
      </c>
      <c r="T45" s="555">
        <v>432737.40652417857</v>
      </c>
      <c r="U45" s="557">
        <f t="shared" si="28"/>
        <v>41390.153219189204</v>
      </c>
      <c r="V45" s="570">
        <f>SUM(V46:V66)</f>
        <v>17234.586146861951</v>
      </c>
      <c r="W45" s="570">
        <f>SUM(W46:W66)</f>
        <v>24155.567072327249</v>
      </c>
      <c r="X45" s="555">
        <f t="shared" si="33"/>
        <v>383258.20269459306</v>
      </c>
      <c r="Y45" s="570">
        <f>SUM(Y46:Y66)</f>
        <v>8089.0506103963353</v>
      </c>
    </row>
    <row r="46" spans="1:25" s="551" customFormat="1" ht="22.5" customHeight="1" outlineLevel="1">
      <c r="A46" s="565"/>
      <c r="B46" s="558" t="s">
        <v>149</v>
      </c>
      <c r="C46" s="549" t="s">
        <v>9</v>
      </c>
      <c r="D46" s="559">
        <f t="shared" si="25"/>
        <v>5683.5645714285702</v>
      </c>
      <c r="E46" s="560">
        <f t="shared" si="26"/>
        <v>1267.1646442195829</v>
      </c>
      <c r="F46" s="561">
        <v>532.65218723137843</v>
      </c>
      <c r="G46" s="561">
        <v>734.51245698820458</v>
      </c>
      <c r="H46" s="563">
        <v>4037.562686005811</v>
      </c>
      <c r="I46" s="561">
        <v>378.83724120317623</v>
      </c>
      <c r="J46" s="562"/>
      <c r="K46" s="562"/>
      <c r="L46" s="559">
        <f>[54]СводПЗ!$C$46</f>
        <v>5683.5645714285711</v>
      </c>
      <c r="M46" s="560">
        <f t="shared" si="27"/>
        <v>1089.3969933487249</v>
      </c>
      <c r="N46" s="561">
        <f>$L$46*N90</f>
        <v>415.22709318629421</v>
      </c>
      <c r="O46" s="561">
        <f>$L$46*O90</f>
        <v>674.16990016243074</v>
      </c>
      <c r="P46" s="561">
        <f>$L$46*P90</f>
        <v>4375.165147317739</v>
      </c>
      <c r="Q46" s="561">
        <f>$L$46*Q90</f>
        <v>219.00243076210722</v>
      </c>
      <c r="R46" s="562"/>
      <c r="S46" s="562"/>
      <c r="T46" s="559">
        <v>5683.5645714285711</v>
      </c>
      <c r="U46" s="560">
        <f t="shared" si="28"/>
        <v>1267.1646442195829</v>
      </c>
      <c r="V46" s="561">
        <v>532.65218723137843</v>
      </c>
      <c r="W46" s="561">
        <v>734.51245698820458</v>
      </c>
      <c r="X46" s="559">
        <f t="shared" si="33"/>
        <v>4197.3974964468807</v>
      </c>
      <c r="Y46" s="561">
        <v>219.00243076210722</v>
      </c>
    </row>
    <row r="47" spans="1:25" s="551" customFormat="1" ht="81" hidden="1" outlineLevel="1">
      <c r="A47" s="565"/>
      <c r="B47" s="558" t="s">
        <v>84</v>
      </c>
      <c r="C47" s="549" t="s">
        <v>9</v>
      </c>
      <c r="D47" s="559">
        <f t="shared" si="25"/>
        <v>0</v>
      </c>
      <c r="E47" s="559"/>
      <c r="F47" s="561">
        <v>0</v>
      </c>
      <c r="G47" s="561">
        <v>0</v>
      </c>
      <c r="H47" s="563">
        <v>0</v>
      </c>
      <c r="I47" s="561">
        <v>0</v>
      </c>
      <c r="J47" s="562"/>
      <c r="K47" s="562"/>
      <c r="L47" s="559">
        <f t="shared" si="30"/>
        <v>0</v>
      </c>
      <c r="M47" s="559"/>
      <c r="N47" s="561">
        <v>0</v>
      </c>
      <c r="O47" s="561">
        <v>0</v>
      </c>
      <c r="P47" s="561"/>
      <c r="Q47" s="561">
        <v>0</v>
      </c>
      <c r="R47" s="562"/>
      <c r="S47" s="562"/>
      <c r="T47" s="559">
        <v>0</v>
      </c>
      <c r="U47" s="559"/>
      <c r="V47" s="561">
        <v>0</v>
      </c>
      <c r="W47" s="561">
        <v>0</v>
      </c>
      <c r="X47" s="561"/>
      <c r="Y47" s="561">
        <v>0</v>
      </c>
    </row>
    <row r="48" spans="1:25" s="551" customFormat="1" ht="52.5" customHeight="1" outlineLevel="1">
      <c r="A48" s="565"/>
      <c r="B48" s="558" t="s">
        <v>85</v>
      </c>
      <c r="C48" s="549" t="s">
        <v>9</v>
      </c>
      <c r="D48" s="559">
        <f t="shared" si="25"/>
        <v>11224.196428571428</v>
      </c>
      <c r="E48" s="560">
        <f t="shared" ref="E48:E55" si="34">F48+G48</f>
        <v>6745.1687572289829</v>
      </c>
      <c r="F48" s="561">
        <v>2688.4027686458444</v>
      </c>
      <c r="G48" s="561">
        <v>4056.7659885831386</v>
      </c>
      <c r="H48" s="563">
        <v>2193.3386703986653</v>
      </c>
      <c r="I48" s="561">
        <v>2285.6890009437789</v>
      </c>
      <c r="J48" s="562"/>
      <c r="K48" s="562"/>
      <c r="L48" s="559">
        <f t="shared" si="30"/>
        <v>11224.196428571428</v>
      </c>
      <c r="M48" s="560">
        <f t="shared" ref="M48:M55" si="35">N48+O48</f>
        <v>6678.1455580288712</v>
      </c>
      <c r="N48" s="561">
        <f>[54]СводПЗ!$E$48</f>
        <v>2644.130340953177</v>
      </c>
      <c r="O48" s="561">
        <f>[54]СводПЗ!$F$48</f>
        <v>4034.0152170756946</v>
      </c>
      <c r="P48" s="559">
        <f>[54]СводПЗ!$L$48</f>
        <v>2320.6239042649495</v>
      </c>
      <c r="Q48" s="561">
        <f>[54]СводПЗ!$J$48</f>
        <v>2225.426966277606</v>
      </c>
      <c r="R48" s="562"/>
      <c r="S48" s="562"/>
      <c r="T48" s="559">
        <v>11224.196428571428</v>
      </c>
      <c r="U48" s="560">
        <f t="shared" ref="U48:U55" si="36">V48+W48</f>
        <v>6745.1687572289829</v>
      </c>
      <c r="V48" s="561">
        <v>2688.4027686458444</v>
      </c>
      <c r="W48" s="561">
        <v>4056.7659885831386</v>
      </c>
      <c r="X48" s="559">
        <f t="shared" ref="X48:X62" si="37">T48-V48-W48-Y48</f>
        <v>2253.6007050648386</v>
      </c>
      <c r="Y48" s="561">
        <v>2225.426966277606</v>
      </c>
    </row>
    <row r="49" spans="1:25" s="551" customFormat="1" ht="33" customHeight="1" outlineLevel="1">
      <c r="A49" s="565"/>
      <c r="B49" s="558" t="s">
        <v>398</v>
      </c>
      <c r="C49" s="549" t="s">
        <v>9</v>
      </c>
      <c r="D49" s="559">
        <f t="shared" si="25"/>
        <v>39095.405430428575</v>
      </c>
      <c r="E49" s="560">
        <f t="shared" si="34"/>
        <v>0</v>
      </c>
      <c r="F49" s="561"/>
      <c r="G49" s="561"/>
      <c r="H49" s="563">
        <v>39095.405430428575</v>
      </c>
      <c r="I49" s="561"/>
      <c r="J49" s="562"/>
      <c r="K49" s="562"/>
      <c r="L49" s="559">
        <f t="shared" si="30"/>
        <v>39095.405430428575</v>
      </c>
      <c r="M49" s="560">
        <f t="shared" si="35"/>
        <v>0</v>
      </c>
      <c r="N49" s="561"/>
      <c r="O49" s="561"/>
      <c r="P49" s="559">
        <f>[54]СводПЗ!$L$49</f>
        <v>39095.405430428575</v>
      </c>
      <c r="Q49" s="561"/>
      <c r="R49" s="562"/>
      <c r="S49" s="562"/>
      <c r="T49" s="559">
        <v>39095.405430428575</v>
      </c>
      <c r="U49" s="560">
        <f t="shared" si="36"/>
        <v>0</v>
      </c>
      <c r="V49" s="561"/>
      <c r="W49" s="561"/>
      <c r="X49" s="559">
        <f t="shared" si="37"/>
        <v>39095.405430428575</v>
      </c>
      <c r="Y49" s="561"/>
    </row>
    <row r="50" spans="1:25" s="551" customFormat="1" ht="36.75" customHeight="1" outlineLevel="1">
      <c r="A50" s="565"/>
      <c r="B50" s="558" t="s">
        <v>87</v>
      </c>
      <c r="C50" s="549" t="s">
        <v>9</v>
      </c>
      <c r="D50" s="559">
        <f t="shared" si="25"/>
        <v>1442.808</v>
      </c>
      <c r="E50" s="560">
        <f t="shared" si="34"/>
        <v>0</v>
      </c>
      <c r="F50" s="561"/>
      <c r="G50" s="561"/>
      <c r="H50" s="563">
        <v>1442.808</v>
      </c>
      <c r="I50" s="561"/>
      <c r="J50" s="562"/>
      <c r="K50" s="562"/>
      <c r="L50" s="559">
        <f t="shared" si="30"/>
        <v>1442.808</v>
      </c>
      <c r="M50" s="560">
        <f t="shared" si="35"/>
        <v>0</v>
      </c>
      <c r="N50" s="561"/>
      <c r="O50" s="561"/>
      <c r="P50" s="559">
        <f>[54]СводПЗ!$L$50</f>
        <v>1442.808</v>
      </c>
      <c r="Q50" s="561"/>
      <c r="R50" s="562"/>
      <c r="S50" s="562"/>
      <c r="T50" s="559">
        <v>1442.808</v>
      </c>
      <c r="U50" s="560">
        <f t="shared" si="36"/>
        <v>0</v>
      </c>
      <c r="V50" s="561"/>
      <c r="W50" s="561"/>
      <c r="X50" s="559">
        <f t="shared" si="37"/>
        <v>1442.808</v>
      </c>
      <c r="Y50" s="561"/>
    </row>
    <row r="51" spans="1:25" s="551" customFormat="1" ht="34.5" customHeight="1" outlineLevel="1">
      <c r="A51" s="565"/>
      <c r="B51" s="558" t="s">
        <v>124</v>
      </c>
      <c r="C51" s="549" t="s">
        <v>9</v>
      </c>
      <c r="D51" s="559">
        <f t="shared" si="25"/>
        <v>2223.2142857142853</v>
      </c>
      <c r="E51" s="560">
        <f t="shared" si="34"/>
        <v>0</v>
      </c>
      <c r="F51" s="561"/>
      <c r="G51" s="561"/>
      <c r="H51" s="563">
        <v>2223.2142857142853</v>
      </c>
      <c r="I51" s="561"/>
      <c r="J51" s="562"/>
      <c r="K51" s="562"/>
      <c r="L51" s="559">
        <f t="shared" si="30"/>
        <v>2223.2142857142853</v>
      </c>
      <c r="M51" s="560">
        <f t="shared" si="35"/>
        <v>0</v>
      </c>
      <c r="N51" s="561"/>
      <c r="O51" s="561"/>
      <c r="P51" s="559">
        <f>[54]СводПЗ!$L$51</f>
        <v>2223.2142857142853</v>
      </c>
      <c r="Q51" s="561"/>
      <c r="R51" s="562"/>
      <c r="S51" s="562"/>
      <c r="T51" s="559">
        <v>2223.2142857142853</v>
      </c>
      <c r="U51" s="560">
        <f t="shared" si="36"/>
        <v>0</v>
      </c>
      <c r="V51" s="561"/>
      <c r="W51" s="561"/>
      <c r="X51" s="559">
        <f t="shared" si="37"/>
        <v>2223.2142857142853</v>
      </c>
      <c r="Y51" s="561"/>
    </row>
    <row r="52" spans="1:25" s="551" customFormat="1" ht="35.25" customHeight="1" outlineLevel="1">
      <c r="A52" s="565"/>
      <c r="B52" s="558" t="s">
        <v>399</v>
      </c>
      <c r="C52" s="549" t="s">
        <v>9</v>
      </c>
      <c r="D52" s="559">
        <f t="shared" si="25"/>
        <v>4560</v>
      </c>
      <c r="E52" s="560">
        <f t="shared" si="34"/>
        <v>0</v>
      </c>
      <c r="F52" s="561"/>
      <c r="G52" s="561"/>
      <c r="H52" s="563">
        <v>4560</v>
      </c>
      <c r="I52" s="561"/>
      <c r="J52" s="562"/>
      <c r="K52" s="562"/>
      <c r="L52" s="559">
        <f t="shared" si="30"/>
        <v>4560</v>
      </c>
      <c r="M52" s="560">
        <f t="shared" si="35"/>
        <v>0</v>
      </c>
      <c r="N52" s="561"/>
      <c r="O52" s="561"/>
      <c r="P52" s="559">
        <f>[54]СводПЗ!$L$52</f>
        <v>4560</v>
      </c>
      <c r="Q52" s="561"/>
      <c r="R52" s="562"/>
      <c r="S52" s="562"/>
      <c r="T52" s="559">
        <v>4560</v>
      </c>
      <c r="U52" s="560">
        <f t="shared" si="36"/>
        <v>0</v>
      </c>
      <c r="V52" s="561"/>
      <c r="W52" s="561"/>
      <c r="X52" s="559">
        <f t="shared" si="37"/>
        <v>4560</v>
      </c>
      <c r="Y52" s="561"/>
    </row>
    <row r="53" spans="1:25" s="551" customFormat="1" ht="20.25" customHeight="1" outlineLevel="1">
      <c r="A53" s="565"/>
      <c r="B53" s="558" t="s">
        <v>123</v>
      </c>
      <c r="C53" s="549" t="s">
        <v>9</v>
      </c>
      <c r="D53" s="559">
        <f t="shared" si="25"/>
        <v>22552.37260714285</v>
      </c>
      <c r="E53" s="560">
        <f t="shared" si="34"/>
        <v>5028.1067192757582</v>
      </c>
      <c r="F53" s="561">
        <v>2113.5627906541563</v>
      </c>
      <c r="G53" s="561">
        <v>2914.5439286216024</v>
      </c>
      <c r="H53" s="563">
        <v>16021.040488788252</v>
      </c>
      <c r="I53" s="561">
        <v>1503.225399078842</v>
      </c>
      <c r="J53" s="562"/>
      <c r="K53" s="562"/>
      <c r="L53" s="559">
        <f>[54]СводПЗ!$C$53</f>
        <v>22552.372607142854</v>
      </c>
      <c r="M53" s="560">
        <f t="shared" si="35"/>
        <v>4322.7250438233787</v>
      </c>
      <c r="N53" s="561">
        <f>$L$53*N90</f>
        <v>1647.6202573984995</v>
      </c>
      <c r="O53" s="561">
        <f>$L$53*O90</f>
        <v>2675.104786424879</v>
      </c>
      <c r="P53" s="561">
        <f>$L$53*P90</f>
        <v>17360.646365506811</v>
      </c>
      <c r="Q53" s="561">
        <f>$L$53*Q90</f>
        <v>869.00119781266358</v>
      </c>
      <c r="R53" s="562"/>
      <c r="S53" s="562"/>
      <c r="T53" s="559">
        <v>22552.372607142854</v>
      </c>
      <c r="U53" s="560">
        <f t="shared" si="36"/>
        <v>5028.1067192757582</v>
      </c>
      <c r="V53" s="561">
        <v>2113.5627906541563</v>
      </c>
      <c r="W53" s="561">
        <v>2914.5439286216024</v>
      </c>
      <c r="X53" s="559">
        <f t="shared" si="37"/>
        <v>16655.264690054431</v>
      </c>
      <c r="Y53" s="561">
        <v>869.00119781266358</v>
      </c>
    </row>
    <row r="54" spans="1:25" s="551" customFormat="1" ht="20.25" customHeight="1" outlineLevel="1">
      <c r="A54" s="565"/>
      <c r="B54" s="558" t="s">
        <v>125</v>
      </c>
      <c r="C54" s="549" t="s">
        <v>9</v>
      </c>
      <c r="D54" s="559">
        <f t="shared" si="25"/>
        <v>719.99999999999989</v>
      </c>
      <c r="E54" s="560">
        <f t="shared" si="34"/>
        <v>160.52576378291721</v>
      </c>
      <c r="F54" s="561">
        <v>67.476945143634893</v>
      </c>
      <c r="G54" s="561">
        <v>93.048818639282317</v>
      </c>
      <c r="H54" s="563">
        <v>511.4827318999728</v>
      </c>
      <c r="I54" s="561">
        <v>47.99150431710985</v>
      </c>
      <c r="J54" s="562"/>
      <c r="K54" s="562"/>
      <c r="L54" s="559">
        <f>[54]СводПЗ!$C$54</f>
        <v>720</v>
      </c>
      <c r="M54" s="560">
        <f t="shared" si="35"/>
        <v>138.00596885167974</v>
      </c>
      <c r="N54" s="561">
        <f>$L$54*N90</f>
        <v>52.601409438898479</v>
      </c>
      <c r="O54" s="561">
        <f>$L$54*O90</f>
        <v>85.404559412781268</v>
      </c>
      <c r="P54" s="561">
        <f>$L$54*P90</f>
        <v>554.25057047904454</v>
      </c>
      <c r="Q54" s="561">
        <f>$L$54*Q90</f>
        <v>27.74346066927567</v>
      </c>
      <c r="R54" s="562"/>
      <c r="S54" s="562"/>
      <c r="T54" s="559">
        <v>720</v>
      </c>
      <c r="U54" s="560">
        <f t="shared" si="36"/>
        <v>160.52576378291721</v>
      </c>
      <c r="V54" s="561">
        <v>67.476945143634893</v>
      </c>
      <c r="W54" s="561">
        <v>93.048818639282317</v>
      </c>
      <c r="X54" s="559">
        <f t="shared" si="37"/>
        <v>531.73077554780707</v>
      </c>
      <c r="Y54" s="561">
        <v>27.74346066927567</v>
      </c>
    </row>
    <row r="55" spans="1:25" s="551" customFormat="1" ht="20.25" customHeight="1" outlineLevel="1">
      <c r="A55" s="565"/>
      <c r="B55" s="558" t="s">
        <v>151</v>
      </c>
      <c r="C55" s="549" t="s">
        <v>9</v>
      </c>
      <c r="D55" s="559">
        <f t="shared" si="25"/>
        <v>1347.9985937499998</v>
      </c>
      <c r="E55" s="560">
        <f t="shared" si="34"/>
        <v>351.65104188119449</v>
      </c>
      <c r="F55" s="561">
        <v>143.68574828732955</v>
      </c>
      <c r="G55" s="561">
        <v>207.96529359386497</v>
      </c>
      <c r="H55" s="563">
        <v>943.89386455175054</v>
      </c>
      <c r="I55" s="561">
        <v>52.453687317054701</v>
      </c>
      <c r="J55" s="562"/>
      <c r="K55" s="562"/>
      <c r="L55" s="559">
        <f t="shared" si="30"/>
        <v>1347.9985937499996</v>
      </c>
      <c r="M55" s="560">
        <f t="shared" si="35"/>
        <v>327.03738789022793</v>
      </c>
      <c r="N55" s="561">
        <f>[54]СводПЗ!$E$55</f>
        <v>127.42710606236093</v>
      </c>
      <c r="O55" s="561">
        <f>[54]СводПЗ!$F$55</f>
        <v>199.61028182786703</v>
      </c>
      <c r="P55" s="559">
        <f>[54]СводПЗ!$L$55</f>
        <v>990.63819699087969</v>
      </c>
      <c r="Q55" s="561">
        <f>[54]СводПЗ!$J$55</f>
        <v>30.323008868892011</v>
      </c>
      <c r="R55" s="562"/>
      <c r="S55" s="562"/>
      <c r="T55" s="559">
        <v>1347.9985937499996</v>
      </c>
      <c r="U55" s="560">
        <f t="shared" si="36"/>
        <v>351.65104188119449</v>
      </c>
      <c r="V55" s="561">
        <v>143.68574828732955</v>
      </c>
      <c r="W55" s="561">
        <v>207.96529359386497</v>
      </c>
      <c r="X55" s="559">
        <f t="shared" si="37"/>
        <v>966.02454299991314</v>
      </c>
      <c r="Y55" s="561">
        <v>30.323008868892011</v>
      </c>
    </row>
    <row r="56" spans="1:25" s="551" customFormat="1" ht="20.25" customHeight="1" outlineLevel="1">
      <c r="A56" s="565"/>
      <c r="B56" s="558" t="s">
        <v>88</v>
      </c>
      <c r="C56" s="549" t="s">
        <v>9</v>
      </c>
      <c r="D56" s="559">
        <f t="shared" si="25"/>
        <v>56063.999999999993</v>
      </c>
      <c r="E56" s="559"/>
      <c r="F56" s="561">
        <v>5254.2047951843697</v>
      </c>
      <c r="G56" s="561">
        <v>7245.401344712116</v>
      </c>
      <c r="H56" s="563">
        <v>39827.455390611227</v>
      </c>
      <c r="I56" s="561">
        <v>3736.9384694922874</v>
      </c>
      <c r="J56" s="562"/>
      <c r="K56" s="562"/>
      <c r="L56" s="559">
        <f>[54]СводПЗ!$C$56</f>
        <v>56064</v>
      </c>
      <c r="M56" s="559"/>
      <c r="N56" s="561">
        <f>$L$56*N90</f>
        <v>4095.8964149755616</v>
      </c>
      <c r="O56" s="561">
        <f>$L$56*O90</f>
        <v>6650.1683596085686</v>
      </c>
      <c r="P56" s="561">
        <f>$L$56*P90</f>
        <v>43157.6444213016</v>
      </c>
      <c r="Q56" s="561">
        <f>$L$56*Q90</f>
        <v>2160.2908041142655</v>
      </c>
      <c r="R56" s="562"/>
      <c r="S56" s="562"/>
      <c r="T56" s="559">
        <v>56064</v>
      </c>
      <c r="U56" s="559"/>
      <c r="V56" s="561">
        <v>5254.2047951843697</v>
      </c>
      <c r="W56" s="561">
        <v>7245.401344712116</v>
      </c>
      <c r="X56" s="559">
        <f t="shared" si="37"/>
        <v>41404.103055989246</v>
      </c>
      <c r="Y56" s="561">
        <v>2160.2908041142655</v>
      </c>
    </row>
    <row r="57" spans="1:25" s="551" customFormat="1" ht="20.25" customHeight="1" outlineLevel="1">
      <c r="A57" s="565"/>
      <c r="B57" s="558" t="s">
        <v>40</v>
      </c>
      <c r="C57" s="549" t="s">
        <v>9</v>
      </c>
      <c r="D57" s="559">
        <f t="shared" si="25"/>
        <v>599.3850000000001</v>
      </c>
      <c r="E57" s="560">
        <f>F57+G57</f>
        <v>541.41432781302763</v>
      </c>
      <c r="F57" s="561">
        <v>214.89098405029395</v>
      </c>
      <c r="G57" s="561">
        <v>326.52334376273365</v>
      </c>
      <c r="H57" s="563">
        <v>57.970672186972457</v>
      </c>
      <c r="I57" s="561"/>
      <c r="J57" s="562"/>
      <c r="K57" s="562"/>
      <c r="L57" s="559">
        <f>[54]СводПЗ!$C$57</f>
        <v>599.3850000000001</v>
      </c>
      <c r="M57" s="560">
        <f>N57+O57</f>
        <v>541.41432781302763</v>
      </c>
      <c r="N57" s="561">
        <f>$L$57*N93</f>
        <v>214.89098405029398</v>
      </c>
      <c r="O57" s="561">
        <f>$L$57*O93</f>
        <v>326.52334376273365</v>
      </c>
      <c r="P57" s="561">
        <f>$L$57*P93</f>
        <v>57.970672186972472</v>
      </c>
      <c r="Q57" s="561">
        <f>$L$57*Q93</f>
        <v>0</v>
      </c>
      <c r="R57" s="562"/>
      <c r="S57" s="562"/>
      <c r="T57" s="559">
        <v>599.3850000000001</v>
      </c>
      <c r="U57" s="560">
        <f>V57+W57</f>
        <v>541.41432781302763</v>
      </c>
      <c r="V57" s="561">
        <v>214.89098405029395</v>
      </c>
      <c r="W57" s="561">
        <v>326.52334376273365</v>
      </c>
      <c r="X57" s="559">
        <f t="shared" si="37"/>
        <v>57.970672186972536</v>
      </c>
      <c r="Y57" s="561">
        <v>0</v>
      </c>
    </row>
    <row r="58" spans="1:25" s="551" customFormat="1" ht="20.25" customHeight="1" outlineLevel="1">
      <c r="A58" s="565"/>
      <c r="B58" s="558" t="s">
        <v>166</v>
      </c>
      <c r="C58" s="549" t="s">
        <v>9</v>
      </c>
      <c r="D58" s="559">
        <f t="shared" si="25"/>
        <v>1974.2999999999993</v>
      </c>
      <c r="E58" s="559"/>
      <c r="F58" s="561">
        <v>185.0274066626088</v>
      </c>
      <c r="G58" s="561">
        <v>255.14761477713196</v>
      </c>
      <c r="H58" s="563">
        <v>1402.5282744307169</v>
      </c>
      <c r="I58" s="561">
        <v>131.59670412954162</v>
      </c>
      <c r="J58" s="562"/>
      <c r="K58" s="562"/>
      <c r="L58" s="559">
        <f>[54]СводПЗ!$C$58</f>
        <v>1974.2999999999995</v>
      </c>
      <c r="M58" s="559"/>
      <c r="N58" s="561">
        <f>$L$58*N90</f>
        <v>144.23744813224619</v>
      </c>
      <c r="O58" s="561">
        <f>$L$58*O90</f>
        <v>234.18641895646394</v>
      </c>
      <c r="P58" s="561">
        <f>$L$58*P90</f>
        <v>1519.8012518010796</v>
      </c>
      <c r="Q58" s="561">
        <f>$L$58*Q90</f>
        <v>76.074881110209645</v>
      </c>
      <c r="R58" s="562"/>
      <c r="S58" s="562"/>
      <c r="T58" s="559">
        <v>1974.2999999999995</v>
      </c>
      <c r="U58" s="559"/>
      <c r="V58" s="561">
        <v>185.0274066626088</v>
      </c>
      <c r="W58" s="561">
        <v>255.14761477713196</v>
      </c>
      <c r="X58" s="559">
        <f t="shared" si="37"/>
        <v>1458.050097450049</v>
      </c>
      <c r="Y58" s="561">
        <v>76.074881110209645</v>
      </c>
    </row>
    <row r="59" spans="1:25" s="551" customFormat="1" ht="20.25" customHeight="1" outlineLevel="1">
      <c r="A59" s="565"/>
      <c r="B59" s="558" t="s">
        <v>115</v>
      </c>
      <c r="C59" s="549" t="s">
        <v>9</v>
      </c>
      <c r="D59" s="559">
        <f t="shared" si="25"/>
        <v>9240</v>
      </c>
      <c r="E59" s="560">
        <f>F59+G59</f>
        <v>2060.0806352141039</v>
      </c>
      <c r="F59" s="561">
        <v>865.95412934331443</v>
      </c>
      <c r="G59" s="561">
        <v>1194.1265058707895</v>
      </c>
      <c r="H59" s="563">
        <v>6564.0283927163182</v>
      </c>
      <c r="I59" s="561">
        <v>615.89097206957649</v>
      </c>
      <c r="J59" s="562"/>
      <c r="K59" s="562"/>
      <c r="L59" s="559">
        <f>[54]СводПЗ!$C$59</f>
        <v>9240</v>
      </c>
      <c r="M59" s="560">
        <f>N59+O59</f>
        <v>1771.0766002632236</v>
      </c>
      <c r="N59" s="561">
        <f>$L$59*N90</f>
        <v>675.05142113253055</v>
      </c>
      <c r="O59" s="561">
        <f>$L$59*O90</f>
        <v>1096.025179130693</v>
      </c>
      <c r="P59" s="561">
        <f>$L$59*P90</f>
        <v>7112.8823211477384</v>
      </c>
      <c r="Q59" s="561">
        <f>$L$59*Q90</f>
        <v>356.0410785890378</v>
      </c>
      <c r="R59" s="562"/>
      <c r="S59" s="562"/>
      <c r="T59" s="559">
        <v>9240</v>
      </c>
      <c r="U59" s="560">
        <f>V59+W59</f>
        <v>2060.0806352141039</v>
      </c>
      <c r="V59" s="561">
        <v>865.95412934331443</v>
      </c>
      <c r="W59" s="561">
        <v>1194.1265058707895</v>
      </c>
      <c r="X59" s="559">
        <f t="shared" si="37"/>
        <v>6823.8782861968584</v>
      </c>
      <c r="Y59" s="561">
        <v>356.0410785890378</v>
      </c>
    </row>
    <row r="60" spans="1:25" s="551" customFormat="1" ht="20.25" customHeight="1" outlineLevel="1">
      <c r="A60" s="565"/>
      <c r="B60" s="558" t="s">
        <v>116</v>
      </c>
      <c r="C60" s="549" t="s">
        <v>9</v>
      </c>
      <c r="D60" s="559">
        <f t="shared" si="25"/>
        <v>10183.257142857141</v>
      </c>
      <c r="E60" s="560">
        <f>F60+G60</f>
        <v>2270.3821259097081</v>
      </c>
      <c r="F60" s="561">
        <v>954.35428279458267</v>
      </c>
      <c r="G60" s="561">
        <v>1316.0278431151253</v>
      </c>
      <c r="H60" s="563">
        <v>7234.1113653728935</v>
      </c>
      <c r="I60" s="561">
        <v>678.76365157453927</v>
      </c>
      <c r="J60" s="562"/>
      <c r="K60" s="562"/>
      <c r="L60" s="559">
        <f>[54]СводПЗ!$C$60</f>
        <v>10183.257142857141</v>
      </c>
      <c r="M60" s="560">
        <f>N60+O60</f>
        <v>1951.8753723135942</v>
      </c>
      <c r="N60" s="561">
        <f>$L$60*N90</f>
        <v>743.96344221252218</v>
      </c>
      <c r="O60" s="561">
        <f>$L$60*O90</f>
        <v>1207.9119301010721</v>
      </c>
      <c r="P60" s="561">
        <f>$L$60*P90</f>
        <v>7838.9945566157994</v>
      </c>
      <c r="Q60" s="561">
        <f>$L$60*Q90</f>
        <v>392.3872139277467</v>
      </c>
      <c r="R60" s="562"/>
      <c r="S60" s="562"/>
      <c r="T60" s="559">
        <v>10183.257142857141</v>
      </c>
      <c r="U60" s="560">
        <f>V60+W60</f>
        <v>2270.3821259097081</v>
      </c>
      <c r="V60" s="561">
        <v>954.35428279458267</v>
      </c>
      <c r="W60" s="561">
        <v>1316.0278431151253</v>
      </c>
      <c r="X60" s="559">
        <f t="shared" si="37"/>
        <v>7520.4878030196869</v>
      </c>
      <c r="Y60" s="561">
        <v>392.3872139277467</v>
      </c>
    </row>
    <row r="61" spans="1:25" s="551" customFormat="1" ht="39" customHeight="1" outlineLevel="1">
      <c r="A61" s="565"/>
      <c r="B61" s="558" t="s">
        <v>152</v>
      </c>
      <c r="C61" s="549" t="s">
        <v>9</v>
      </c>
      <c r="D61" s="559">
        <f t="shared" si="25"/>
        <v>375.28928571428571</v>
      </c>
      <c r="E61" s="560">
        <f>F61+G61</f>
        <v>83.67166559559881</v>
      </c>
      <c r="F61" s="561">
        <v>35.171353534912186</v>
      </c>
      <c r="G61" s="561">
        <v>48.500312060686625</v>
      </c>
      <c r="H61" s="563">
        <v>266.60276265268379</v>
      </c>
      <c r="I61" s="561">
        <v>25.014857466003075</v>
      </c>
      <c r="J61" s="562"/>
      <c r="K61" s="562"/>
      <c r="L61" s="559">
        <f>[54]СводПЗ!$C$61</f>
        <v>375.28928571428565</v>
      </c>
      <c r="M61" s="560">
        <f>N61+O61</f>
        <v>71.933557603687291</v>
      </c>
      <c r="N61" s="561">
        <f>$L$61*N90</f>
        <v>27.417701910956797</v>
      </c>
      <c r="O61" s="561">
        <f>$L$61*O90</f>
        <v>44.515855692730497</v>
      </c>
      <c r="P61" s="561">
        <f>$L$61*P90</f>
        <v>288.89486208585549</v>
      </c>
      <c r="Q61" s="561">
        <f>$L$61*Q90</f>
        <v>14.460866024742838</v>
      </c>
      <c r="R61" s="562"/>
      <c r="S61" s="562"/>
      <c r="T61" s="559">
        <v>375.28928571428565</v>
      </c>
      <c r="U61" s="560">
        <f>V61+W61</f>
        <v>83.67166559559881</v>
      </c>
      <c r="V61" s="561">
        <v>35.171353534912186</v>
      </c>
      <c r="W61" s="561">
        <v>48.500312060686625</v>
      </c>
      <c r="X61" s="559">
        <f t="shared" si="37"/>
        <v>277.15675409394407</v>
      </c>
      <c r="Y61" s="561">
        <v>14.460866024742838</v>
      </c>
    </row>
    <row r="62" spans="1:25" s="551" customFormat="1" ht="36" customHeight="1" outlineLevel="1">
      <c r="A62" s="565"/>
      <c r="B62" s="558" t="s">
        <v>126</v>
      </c>
      <c r="C62" s="549"/>
      <c r="D62" s="559">
        <f t="shared" si="25"/>
        <v>41712.393749999996</v>
      </c>
      <c r="E62" s="560">
        <f>F62+G62</f>
        <v>9299.880369350738</v>
      </c>
      <c r="F62" s="561">
        <v>3909.2012567756233</v>
      </c>
      <c r="G62" s="561">
        <v>5390.6791125751151</v>
      </c>
      <c r="H62" s="563">
        <v>29632.179318524104</v>
      </c>
      <c r="I62" s="561">
        <v>2780.3340621251541</v>
      </c>
      <c r="J62" s="562"/>
      <c r="K62" s="562"/>
      <c r="L62" s="559">
        <f>[54]СводПЗ!$C$62</f>
        <v>41712.393749999996</v>
      </c>
      <c r="M62" s="560">
        <f>N62+O62</f>
        <v>7995.2212674881957</v>
      </c>
      <c r="N62" s="561">
        <f>$L$62*N90</f>
        <v>3047.4037532226384</v>
      </c>
      <c r="O62" s="561">
        <f>$L$62*O90</f>
        <v>4947.8175142655573</v>
      </c>
      <c r="P62" s="561">
        <f>$L$62*P90</f>
        <v>32109.886155533375</v>
      </c>
      <c r="Q62" s="561">
        <f>$L$62*Q90</f>
        <v>1607.2863269784239</v>
      </c>
      <c r="R62" s="562"/>
      <c r="S62" s="562"/>
      <c r="T62" s="559">
        <v>41712.393749999996</v>
      </c>
      <c r="U62" s="560">
        <f>V62+W62</f>
        <v>9299.880369350738</v>
      </c>
      <c r="V62" s="561">
        <v>3909.2012567756233</v>
      </c>
      <c r="W62" s="561">
        <v>5390.6791125751151</v>
      </c>
      <c r="X62" s="559">
        <f t="shared" si="37"/>
        <v>30805.227053670831</v>
      </c>
      <c r="Y62" s="561">
        <v>1607.2863269784239</v>
      </c>
    </row>
    <row r="63" spans="1:25" s="551" customFormat="1" hidden="1" outlineLevel="1">
      <c r="A63" s="565"/>
      <c r="B63" s="558" t="s">
        <v>118</v>
      </c>
      <c r="C63" s="549"/>
      <c r="D63" s="559">
        <f t="shared" si="25"/>
        <v>0</v>
      </c>
      <c r="E63" s="559"/>
      <c r="F63" s="561">
        <v>0</v>
      </c>
      <c r="G63" s="561">
        <v>0</v>
      </c>
      <c r="H63" s="563">
        <v>0</v>
      </c>
      <c r="I63" s="561">
        <v>0</v>
      </c>
      <c r="J63" s="562"/>
      <c r="K63" s="562"/>
      <c r="M63" s="559"/>
      <c r="R63" s="562"/>
      <c r="S63" s="562"/>
      <c r="T63" s="559">
        <v>0</v>
      </c>
      <c r="U63" s="559"/>
      <c r="V63" s="561">
        <v>0</v>
      </c>
      <c r="W63" s="561">
        <v>0</v>
      </c>
      <c r="X63" s="561">
        <v>0</v>
      </c>
      <c r="Y63" s="561">
        <v>0</v>
      </c>
    </row>
    <row r="64" spans="1:25" s="551" customFormat="1" ht="24" customHeight="1" outlineLevel="1">
      <c r="A64" s="565"/>
      <c r="B64" s="558" t="s">
        <v>93</v>
      </c>
      <c r="C64" s="549"/>
      <c r="D64" s="559">
        <f t="shared" si="25"/>
        <v>2880.9999999999995</v>
      </c>
      <c r="E64" s="560">
        <f t="shared" ref="E64:E77" si="38">F64+G64</f>
        <v>642.32600758136732</v>
      </c>
      <c r="F64" s="561">
        <v>270.00149855390572</v>
      </c>
      <c r="G64" s="561">
        <v>372.3245090274616</v>
      </c>
      <c r="H64" s="563">
        <v>2046.6413202830859</v>
      </c>
      <c r="I64" s="561">
        <v>192.03267213554651</v>
      </c>
      <c r="J64" s="562"/>
      <c r="K64" s="562"/>
      <c r="L64" s="559">
        <f>[54]СводПЗ!$C$65</f>
        <v>2880.9999999999995</v>
      </c>
      <c r="M64" s="560">
        <f t="shared" ref="M64:M77" si="39">N64+O64</f>
        <v>552.2155503634574</v>
      </c>
      <c r="N64" s="561">
        <f>$L$64*N90</f>
        <v>210.47869526870346</v>
      </c>
      <c r="O64" s="561">
        <f>$L$64*O90</f>
        <v>341.73685509475393</v>
      </c>
      <c r="P64" s="561">
        <f>$L$64*P90</f>
        <v>2217.7720743751765</v>
      </c>
      <c r="Q64" s="561">
        <f>$L$64*Q90</f>
        <v>111.01237526136555</v>
      </c>
      <c r="R64" s="562"/>
      <c r="S64" s="562"/>
      <c r="T64" s="559">
        <v>2880.9999999999995</v>
      </c>
      <c r="U64" s="560">
        <f t="shared" ref="U64:U77" si="40">V64+W64</f>
        <v>642.32600758136732</v>
      </c>
      <c r="V64" s="561">
        <v>270.00149855390572</v>
      </c>
      <c r="W64" s="561">
        <v>372.3245090274616</v>
      </c>
      <c r="X64" s="559">
        <f>T64-V64-W64-Y64</f>
        <v>2127.6616171572668</v>
      </c>
      <c r="Y64" s="561">
        <v>111.01237526136555</v>
      </c>
    </row>
    <row r="65" spans="1:33" s="551" customFormat="1" outlineLevel="1">
      <c r="A65" s="565"/>
      <c r="B65" s="558" t="s">
        <v>154</v>
      </c>
      <c r="C65" s="549"/>
      <c r="D65" s="559">
        <f t="shared" si="25"/>
        <v>1284</v>
      </c>
      <c r="E65" s="560">
        <f t="shared" si="38"/>
        <v>0</v>
      </c>
      <c r="F65" s="561"/>
      <c r="G65" s="561"/>
      <c r="H65" s="563">
        <v>1284</v>
      </c>
      <c r="I65" s="561"/>
      <c r="J65" s="562"/>
      <c r="K65" s="562"/>
      <c r="L65" s="559">
        <f>SUM(N65:Q65)</f>
        <v>1284</v>
      </c>
      <c r="M65" s="560">
        <f t="shared" si="39"/>
        <v>0</v>
      </c>
      <c r="N65" s="561"/>
      <c r="O65" s="561"/>
      <c r="P65" s="559">
        <f>[54]СводПЗ!$L$66</f>
        <v>1284</v>
      </c>
      <c r="Q65" s="561"/>
      <c r="R65" s="562"/>
      <c r="S65" s="562"/>
      <c r="T65" s="559">
        <v>1284</v>
      </c>
      <c r="U65" s="560">
        <f t="shared" si="40"/>
        <v>0</v>
      </c>
      <c r="V65" s="561"/>
      <c r="W65" s="561"/>
      <c r="X65" s="559">
        <f>T65-V65-W65-Y65</f>
        <v>1284</v>
      </c>
      <c r="Y65" s="561"/>
    </row>
    <row r="66" spans="1:33" s="551" customFormat="1" outlineLevel="1">
      <c r="A66" s="565"/>
      <c r="B66" s="558" t="s">
        <v>127</v>
      </c>
      <c r="C66" s="549"/>
      <c r="D66" s="559">
        <f t="shared" si="25"/>
        <v>195561.80357142852</v>
      </c>
      <c r="E66" s="560">
        <f t="shared" si="38"/>
        <v>0</v>
      </c>
      <c r="F66" s="561"/>
      <c r="G66" s="561"/>
      <c r="H66" s="563">
        <v>195561.80357142852</v>
      </c>
      <c r="I66" s="561"/>
      <c r="J66" s="562"/>
      <c r="K66" s="562"/>
      <c r="L66" s="559">
        <f>SUM(N66:Q66)</f>
        <v>219574.22142857141</v>
      </c>
      <c r="M66" s="560">
        <f t="shared" si="39"/>
        <v>0</v>
      </c>
      <c r="N66" s="561"/>
      <c r="O66" s="561"/>
      <c r="P66" s="559">
        <f>[54]СводПЗ!$L$67</f>
        <v>219574.22142857141</v>
      </c>
      <c r="Q66" s="561"/>
      <c r="R66" s="562"/>
      <c r="S66" s="562"/>
      <c r="T66" s="559">
        <v>219574.22142857141</v>
      </c>
      <c r="U66" s="560">
        <f t="shared" si="40"/>
        <v>0</v>
      </c>
      <c r="V66" s="561"/>
      <c r="W66" s="561"/>
      <c r="X66" s="559">
        <f>T66-V66-W66-Y66</f>
        <v>219574.22142857141</v>
      </c>
      <c r="Y66" s="561"/>
    </row>
    <row r="67" spans="1:33" s="551" customFormat="1" ht="44.25" customHeight="1">
      <c r="A67" s="572" t="s">
        <v>41</v>
      </c>
      <c r="B67" s="554" t="s">
        <v>108</v>
      </c>
      <c r="C67" s="549" t="s">
        <v>9</v>
      </c>
      <c r="D67" s="555">
        <f t="shared" si="25"/>
        <v>24630.262846479996</v>
      </c>
      <c r="E67" s="557">
        <f t="shared" si="38"/>
        <v>5491.3774383405689</v>
      </c>
      <c r="F67" s="570">
        <f t="shared" ref="F67:I67" si="41">F68</f>
        <v>2308.298465229499</v>
      </c>
      <c r="G67" s="570">
        <f t="shared" si="41"/>
        <v>3183.0789731110704</v>
      </c>
      <c r="H67" s="570">
        <f t="shared" si="41"/>
        <v>17497.158511294434</v>
      </c>
      <c r="I67" s="570">
        <f t="shared" si="41"/>
        <v>1641.7268968449932</v>
      </c>
      <c r="L67" s="555">
        <f>SUM(N67:Q67)</f>
        <v>24630.262846479996</v>
      </c>
      <c r="M67" s="557">
        <f t="shared" si="39"/>
        <v>4721.0045655555605</v>
      </c>
      <c r="N67" s="570">
        <f t="shared" ref="N67:Q67" si="42">N68</f>
        <v>1799.4257507991438</v>
      </c>
      <c r="O67" s="570">
        <f t="shared" si="42"/>
        <v>2921.5788147564167</v>
      </c>
      <c r="P67" s="570">
        <f t="shared" si="42"/>
        <v>18960.190602375493</v>
      </c>
      <c r="Q67" s="570">
        <f t="shared" si="42"/>
        <v>949.06767854894395</v>
      </c>
      <c r="T67" s="555">
        <f>V67+W67+X67+Y67</f>
        <v>24630.262846479996</v>
      </c>
      <c r="U67" s="557">
        <f t="shared" si="40"/>
        <v>5491.4789731110704</v>
      </c>
      <c r="V67" s="570">
        <f t="shared" ref="V67:Y67" si="43">V68</f>
        <v>2308.4</v>
      </c>
      <c r="W67" s="570">
        <f t="shared" si="43"/>
        <v>3183.0789731110704</v>
      </c>
      <c r="X67" s="570">
        <f t="shared" si="43"/>
        <v>18189.716194819979</v>
      </c>
      <c r="Y67" s="570">
        <f t="shared" si="43"/>
        <v>949.06767854894395</v>
      </c>
    </row>
    <row r="68" spans="1:33" s="551" customFormat="1" ht="25.5" customHeight="1" outlineLevel="1">
      <c r="A68" s="553"/>
      <c r="B68" s="558" t="s">
        <v>168</v>
      </c>
      <c r="C68" s="549" t="s">
        <v>9</v>
      </c>
      <c r="D68" s="559">
        <f t="shared" si="25"/>
        <v>24630.262846479996</v>
      </c>
      <c r="E68" s="560">
        <f t="shared" si="38"/>
        <v>5491.3774383405689</v>
      </c>
      <c r="F68" s="561">
        <v>2308.298465229499</v>
      </c>
      <c r="G68" s="561">
        <v>3183.0789731110704</v>
      </c>
      <c r="H68" s="563">
        <v>17497.158511294434</v>
      </c>
      <c r="I68" s="561">
        <v>1641.7268968449932</v>
      </c>
      <c r="J68" s="562"/>
      <c r="K68" s="562"/>
      <c r="L68" s="559">
        <f>[54]СводПЗ!$C$69</f>
        <v>24630.262846479996</v>
      </c>
      <c r="M68" s="560">
        <f t="shared" si="39"/>
        <v>4721.0045655555605</v>
      </c>
      <c r="N68" s="561">
        <f>$L$68*N90</f>
        <v>1799.4257507991438</v>
      </c>
      <c r="O68" s="561">
        <f>$L$68*O90</f>
        <v>2921.5788147564167</v>
      </c>
      <c r="P68" s="561">
        <f>$L$68*P90</f>
        <v>18960.190602375493</v>
      </c>
      <c r="Q68" s="561">
        <f>$L$68*Q90</f>
        <v>949.06767854894395</v>
      </c>
      <c r="R68" s="562"/>
      <c r="S68" s="562"/>
      <c r="T68" s="559">
        <v>24630.262846479996</v>
      </c>
      <c r="U68" s="560">
        <f t="shared" si="40"/>
        <v>5491.4789731110704</v>
      </c>
      <c r="V68" s="561">
        <v>2308.4</v>
      </c>
      <c r="W68" s="561">
        <v>3183.0789731110704</v>
      </c>
      <c r="X68" s="559">
        <f>T68-V68-W68-Y68</f>
        <v>18189.716194819979</v>
      </c>
      <c r="Y68" s="561">
        <v>949.06767854894395</v>
      </c>
    </row>
    <row r="69" spans="1:33" s="551" customFormat="1" ht="25.5" customHeight="1" outlineLevel="1">
      <c r="A69" s="553" t="s">
        <v>43</v>
      </c>
      <c r="B69" s="573" t="s">
        <v>160</v>
      </c>
      <c r="C69" s="549"/>
      <c r="D69" s="555">
        <f t="shared" si="25"/>
        <v>5755.7888171200002</v>
      </c>
      <c r="E69" s="557">
        <f t="shared" si="38"/>
        <v>1356.7431421639915</v>
      </c>
      <c r="F69" s="570">
        <f>SUM(F70:F73)</f>
        <v>567.51610114249934</v>
      </c>
      <c r="G69" s="570">
        <f t="shared" ref="G69:I69" si="44">SUM(G70:G73)</f>
        <v>789.22704102149214</v>
      </c>
      <c r="H69" s="570">
        <f t="shared" si="44"/>
        <v>3956.4709385695528</v>
      </c>
      <c r="I69" s="570">
        <f t="shared" si="44"/>
        <v>442.57473638645547</v>
      </c>
      <c r="L69" s="555">
        <f>SUM(N69:Q69)</f>
        <v>5755.7888171200002</v>
      </c>
      <c r="M69" s="557">
        <f t="shared" si="39"/>
        <v>1183.1069650980285</v>
      </c>
      <c r="N69" s="570">
        <f>SUM(N70:N73)</f>
        <v>452.82006774319626</v>
      </c>
      <c r="O69" s="570">
        <f t="shared" ref="O69:Q69" si="45">SUM(O70:O73)</f>
        <v>730.28689735483226</v>
      </c>
      <c r="P69" s="570">
        <f t="shared" si="45"/>
        <v>4286.2272269779996</v>
      </c>
      <c r="Q69" s="570">
        <f t="shared" si="45"/>
        <v>286.45462504397187</v>
      </c>
      <c r="T69" s="555">
        <f>V69+W69+X69+Y69</f>
        <v>5755.7888171199993</v>
      </c>
      <c r="U69" s="557">
        <f t="shared" si="40"/>
        <v>1356.7431421639915</v>
      </c>
      <c r="V69" s="570">
        <f>SUM(V70:V73)</f>
        <v>567.51610114249934</v>
      </c>
      <c r="W69" s="570">
        <f t="shared" ref="W69:Y69" si="46">SUM(W70:W73)</f>
        <v>789.22704102149214</v>
      </c>
      <c r="X69" s="570">
        <f t="shared" si="46"/>
        <v>4112.5910499120364</v>
      </c>
      <c r="Y69" s="570">
        <f t="shared" si="46"/>
        <v>286.45462504397187</v>
      </c>
    </row>
    <row r="70" spans="1:33" s="551" customFormat="1" ht="35.25" customHeight="1" outlineLevel="1">
      <c r="A70" s="553"/>
      <c r="B70" s="558" t="s">
        <v>400</v>
      </c>
      <c r="C70" s="549"/>
      <c r="D70" s="559">
        <f t="shared" si="25"/>
        <v>228.50450973599996</v>
      </c>
      <c r="E70" s="560">
        <f t="shared" si="38"/>
        <v>88.62683963672572</v>
      </c>
      <c r="F70" s="561">
        <v>36.081415530352459</v>
      </c>
      <c r="G70" s="561">
        <v>52.545424106373261</v>
      </c>
      <c r="H70" s="563">
        <v>128.33851873757945</v>
      </c>
      <c r="I70" s="561">
        <v>11.539151361694788</v>
      </c>
      <c r="J70" s="562"/>
      <c r="K70" s="562"/>
      <c r="L70" s="559">
        <f>SUM(N70:Q70)</f>
        <v>228.50450973599993</v>
      </c>
      <c r="M70" s="560">
        <f t="shared" si="39"/>
        <v>83.212145389410139</v>
      </c>
      <c r="N70" s="561">
        <f>[54]СводПЗ!$E$71</f>
        <v>32.504718768587239</v>
      </c>
      <c r="O70" s="561">
        <f>[54]СводПЗ!$F$71</f>
        <v>50.707426620822901</v>
      </c>
      <c r="P70" s="559">
        <f>[54]СводПЗ!$L$71</f>
        <v>138.6216838477111</v>
      </c>
      <c r="Q70" s="561">
        <f>[54]СводПЗ!$J$71</f>
        <v>6.6706804988787098</v>
      </c>
      <c r="R70" s="562"/>
      <c r="S70" s="562"/>
      <c r="T70" s="559">
        <v>228.50450973599993</v>
      </c>
      <c r="U70" s="560">
        <f t="shared" si="40"/>
        <v>88.62683963672572</v>
      </c>
      <c r="V70" s="561">
        <v>36.081415530352459</v>
      </c>
      <c r="W70" s="561">
        <v>52.545424106373261</v>
      </c>
      <c r="X70" s="559">
        <f t="shared" ref="X70:X89" si="47">T70-V70-W70-Y70</f>
        <v>133.2069896003955</v>
      </c>
      <c r="Y70" s="561">
        <v>6.6706804988787098</v>
      </c>
    </row>
    <row r="71" spans="1:33" s="551" customFormat="1" ht="36.75" customHeight="1" outlineLevel="1">
      <c r="A71" s="553"/>
      <c r="B71" s="558" t="s">
        <v>401</v>
      </c>
      <c r="C71" s="549"/>
      <c r="D71" s="559">
        <f t="shared" si="25"/>
        <v>148.92859858399999</v>
      </c>
      <c r="E71" s="560">
        <f t="shared" si="38"/>
        <v>68.998721900414452</v>
      </c>
      <c r="F71" s="561">
        <v>27.386056270961983</v>
      </c>
      <c r="G71" s="561">
        <v>41.612665629452472</v>
      </c>
      <c r="H71" s="563">
        <v>7.3878766835855387</v>
      </c>
      <c r="I71" s="561">
        <v>72.542000000000002</v>
      </c>
      <c r="J71" s="562"/>
      <c r="K71" s="562"/>
      <c r="L71" s="559">
        <f>SUM(N71:Q71)</f>
        <v>148.92859858399999</v>
      </c>
      <c r="M71" s="560">
        <f t="shared" si="39"/>
        <v>68.998721900414452</v>
      </c>
      <c r="N71" s="561">
        <f>[54]СводПЗ!$E$72</f>
        <v>27.386056270961983</v>
      </c>
      <c r="O71" s="561">
        <f>[54]СводПЗ!$F$72</f>
        <v>41.612665629452472</v>
      </c>
      <c r="P71" s="559">
        <f>[54]СводПЗ!$L$72</f>
        <v>7.3878766835855387</v>
      </c>
      <c r="Q71" s="561">
        <f>[54]СводПЗ!$J$72</f>
        <v>72.542000000000002</v>
      </c>
      <c r="R71" s="562"/>
      <c r="S71" s="562"/>
      <c r="T71" s="559">
        <v>148.92859858399999</v>
      </c>
      <c r="U71" s="560">
        <f t="shared" si="40"/>
        <v>68.998721900414452</v>
      </c>
      <c r="V71" s="561">
        <v>27.386056270961983</v>
      </c>
      <c r="W71" s="561">
        <v>41.612665629452472</v>
      </c>
      <c r="X71" s="559">
        <f t="shared" si="47"/>
        <v>7.3878766835855174</v>
      </c>
      <c r="Y71" s="561">
        <v>72.542000000000002</v>
      </c>
    </row>
    <row r="72" spans="1:33" s="551" customFormat="1" outlineLevel="1">
      <c r="A72" s="553"/>
      <c r="B72" s="558" t="s">
        <v>91</v>
      </c>
      <c r="C72" s="549"/>
      <c r="D72" s="559">
        <f t="shared" si="25"/>
        <v>4257.4697088000003</v>
      </c>
      <c r="E72" s="560">
        <f t="shared" si="38"/>
        <v>949.21330109410292</v>
      </c>
      <c r="F72" s="561">
        <v>399.00145832136781</v>
      </c>
      <c r="G72" s="561">
        <v>550.21184277273505</v>
      </c>
      <c r="H72" s="563">
        <v>3024.4753300533421</v>
      </c>
      <c r="I72" s="561">
        <v>283.7810776525551</v>
      </c>
      <c r="J72" s="562"/>
      <c r="K72" s="562"/>
      <c r="L72" s="559">
        <f>[54]СводПЗ!$C$73</f>
        <v>4257.4697088000003</v>
      </c>
      <c r="M72" s="560">
        <f t="shared" si="39"/>
        <v>816.05032224947627</v>
      </c>
      <c r="N72" s="561">
        <f>$L$72*N90</f>
        <v>311.04014906430098</v>
      </c>
      <c r="O72" s="561">
        <f>$L$72*O90</f>
        <v>505.01017318517529</v>
      </c>
      <c r="P72" s="561">
        <f>$L$72*P90</f>
        <v>3277.3680762495164</v>
      </c>
      <c r="Q72" s="561">
        <f>$L$72*Q90</f>
        <v>164.05131030100745</v>
      </c>
      <c r="R72" s="562"/>
      <c r="S72" s="562"/>
      <c r="T72" s="559">
        <v>4257.4697088000003</v>
      </c>
      <c r="U72" s="560">
        <f t="shared" si="40"/>
        <v>949.21330109410292</v>
      </c>
      <c r="V72" s="561">
        <v>399.00145832136781</v>
      </c>
      <c r="W72" s="561">
        <v>550.21184277273505</v>
      </c>
      <c r="X72" s="559">
        <f t="shared" si="47"/>
        <v>3144.2050974048898</v>
      </c>
      <c r="Y72" s="561">
        <v>164.05131030100745</v>
      </c>
    </row>
    <row r="73" spans="1:33" s="551" customFormat="1" ht="23.25" customHeight="1" outlineLevel="1">
      <c r="A73" s="553"/>
      <c r="B73" s="558" t="s">
        <v>129</v>
      </c>
      <c r="C73" s="549"/>
      <c r="D73" s="559">
        <f t="shared" si="25"/>
        <v>1120.886</v>
      </c>
      <c r="E73" s="560">
        <f t="shared" si="38"/>
        <v>249.90427953274849</v>
      </c>
      <c r="F73" s="561">
        <v>105.04717101981713</v>
      </c>
      <c r="G73" s="561">
        <v>144.85710851293135</v>
      </c>
      <c r="H73" s="563">
        <v>796.26921309504587</v>
      </c>
      <c r="I73" s="561">
        <v>74.71250737220555</v>
      </c>
      <c r="J73" s="562"/>
      <c r="K73" s="562"/>
      <c r="L73" s="559">
        <f>[54]СводПЗ!$C$74</f>
        <v>1120.886</v>
      </c>
      <c r="M73" s="560">
        <f t="shared" si="39"/>
        <v>214.84577555872767</v>
      </c>
      <c r="N73" s="561">
        <f>$L$73*N90</f>
        <v>81.889143639346059</v>
      </c>
      <c r="O73" s="561">
        <f>$L$73*O90</f>
        <v>132.95663191938161</v>
      </c>
      <c r="P73" s="561">
        <f>$L$73*P90</f>
        <v>862.84959019718656</v>
      </c>
      <c r="Q73" s="561">
        <f>$L$73*Q90</f>
        <v>43.190634244085736</v>
      </c>
      <c r="R73" s="562"/>
      <c r="S73" s="562"/>
      <c r="T73" s="559">
        <v>1120.886</v>
      </c>
      <c r="U73" s="560">
        <f t="shared" si="40"/>
        <v>249.90427953274849</v>
      </c>
      <c r="V73" s="561">
        <v>105.04717101981713</v>
      </c>
      <c r="W73" s="561">
        <v>144.85710851293135</v>
      </c>
      <c r="X73" s="559">
        <f t="shared" si="47"/>
        <v>827.79108622316585</v>
      </c>
      <c r="Y73" s="561">
        <v>43.190634244085736</v>
      </c>
    </row>
    <row r="74" spans="1:33" s="551" customFormat="1" ht="30" customHeight="1">
      <c r="A74" s="553" t="s">
        <v>159</v>
      </c>
      <c r="B74" s="554" t="s">
        <v>44</v>
      </c>
      <c r="C74" s="549" t="s">
        <v>9</v>
      </c>
      <c r="D74" s="555">
        <f t="shared" ref="D74:I74" si="48">SUM(D75:D89)</f>
        <v>56425.640101243902</v>
      </c>
      <c r="E74" s="557">
        <f t="shared" si="38"/>
        <v>12596.145675976339</v>
      </c>
      <c r="F74" s="555">
        <f t="shared" si="48"/>
        <v>5294.2899168865388</v>
      </c>
      <c r="G74" s="555">
        <f t="shared" si="48"/>
        <v>7301.8557590897999</v>
      </c>
      <c r="H74" s="555">
        <f t="shared" si="48"/>
        <v>40070.009749785422</v>
      </c>
      <c r="I74" s="555">
        <f t="shared" si="48"/>
        <v>3759.4846754821388</v>
      </c>
      <c r="L74" s="555">
        <f>SUM(L75:L89)</f>
        <v>45499.551817243897</v>
      </c>
      <c r="M74" s="557">
        <f t="shared" si="39"/>
        <v>8737.7671069832031</v>
      </c>
      <c r="N74" s="555">
        <f>SUM(N75:N89)</f>
        <v>3330.760234800021</v>
      </c>
      <c r="O74" s="555">
        <f>SUM(O75:O89)</f>
        <v>5407.0068721831822</v>
      </c>
      <c r="P74" s="555">
        <f>SUM(P75:P89)</f>
        <v>35009.470562992145</v>
      </c>
      <c r="Q74" s="555">
        <f>SUM(Q75:Q89)</f>
        <v>1752.3141472685454</v>
      </c>
      <c r="T74" s="555">
        <v>45499.551817243897</v>
      </c>
      <c r="U74" s="557">
        <f t="shared" si="40"/>
        <v>9758.63460428291</v>
      </c>
      <c r="V74" s="555">
        <f t="shared" ref="V74:W74" si="49">SUM(V75:V89)</f>
        <v>4005.1036997078422</v>
      </c>
      <c r="W74" s="555">
        <f t="shared" si="49"/>
        <v>5753.5309045750673</v>
      </c>
      <c r="X74" s="555">
        <f t="shared" si="47"/>
        <v>33988.603065692441</v>
      </c>
      <c r="Y74" s="555">
        <f t="shared" ref="Y74" si="50">SUM(Y75:Y89)</f>
        <v>1752.3141472685454</v>
      </c>
    </row>
    <row r="75" spans="1:33" s="551" customFormat="1" ht="22.5" customHeight="1">
      <c r="A75" s="553"/>
      <c r="B75" s="558" t="s">
        <v>402</v>
      </c>
      <c r="C75" s="549" t="s">
        <v>9</v>
      </c>
      <c r="D75" s="559">
        <f t="shared" ref="D75:D93" si="51">SUM(F75:I75)</f>
        <v>1946.9999999999998</v>
      </c>
      <c r="E75" s="560">
        <f t="shared" si="38"/>
        <v>434.08841956297192</v>
      </c>
      <c r="F75" s="559">
        <v>182.46890582591269</v>
      </c>
      <c r="G75" s="559">
        <v>251.61951373705924</v>
      </c>
      <c r="H75" s="563">
        <v>1383.1345541795099</v>
      </c>
      <c r="I75" s="564">
        <v>129.77702625751789</v>
      </c>
      <c r="J75" s="562"/>
      <c r="K75" s="562"/>
      <c r="L75" s="559">
        <f>[54]СводПЗ!$C$76</f>
        <v>1947.0000000000002</v>
      </c>
      <c r="M75" s="560">
        <f t="shared" si="39"/>
        <v>373.19114076975075</v>
      </c>
      <c r="N75" s="559">
        <f>$L$75*N90</f>
        <v>142.24297802435467</v>
      </c>
      <c r="O75" s="559">
        <f>$L$75*O90</f>
        <v>230.94816274539605</v>
      </c>
      <c r="P75" s="559">
        <f>$L$75*P90</f>
        <v>1498.7859176704164</v>
      </c>
      <c r="Q75" s="559">
        <f>$L$75*Q90</f>
        <v>75.022941559832972</v>
      </c>
      <c r="R75" s="562"/>
      <c r="S75" s="562"/>
      <c r="T75" s="559">
        <v>1947.0000000000002</v>
      </c>
      <c r="U75" s="560">
        <f t="shared" si="40"/>
        <v>434.08841956297192</v>
      </c>
      <c r="V75" s="559">
        <v>182.46890582591269</v>
      </c>
      <c r="W75" s="559">
        <v>251.61951373705924</v>
      </c>
      <c r="X75" s="559">
        <f t="shared" si="47"/>
        <v>1437.8886388771953</v>
      </c>
      <c r="Y75" s="559">
        <v>75.022941559832972</v>
      </c>
    </row>
    <row r="76" spans="1:33" s="551" customFormat="1" ht="37.5" customHeight="1">
      <c r="A76" s="553"/>
      <c r="B76" s="558" t="s">
        <v>104</v>
      </c>
      <c r="C76" s="549" t="s">
        <v>9</v>
      </c>
      <c r="D76" s="559">
        <f t="shared" si="51"/>
        <v>1454.9999999999998</v>
      </c>
      <c r="E76" s="560">
        <f t="shared" si="38"/>
        <v>324.39581431131182</v>
      </c>
      <c r="F76" s="563">
        <v>136.35965997776216</v>
      </c>
      <c r="G76" s="563">
        <v>188.03615433354966</v>
      </c>
      <c r="H76" s="563">
        <v>1033.6213540478618</v>
      </c>
      <c r="I76" s="564">
        <v>96.982831640826163</v>
      </c>
      <c r="J76" s="562"/>
      <c r="K76" s="562"/>
      <c r="L76" s="559">
        <f>[54]СводПЗ!$C$77</f>
        <v>1455</v>
      </c>
      <c r="M76" s="560">
        <f t="shared" si="39"/>
        <v>278.88706205443617</v>
      </c>
      <c r="N76" s="563">
        <f>$L$76*N90</f>
        <v>106.29868157444068</v>
      </c>
      <c r="O76" s="563">
        <f>$L$76*O90</f>
        <v>172.58838047999549</v>
      </c>
      <c r="P76" s="563">
        <f>$L$76*P90</f>
        <v>1120.0480278430691</v>
      </c>
      <c r="Q76" s="563">
        <f>$L$76*Q90</f>
        <v>56.064910102494586</v>
      </c>
      <c r="R76" s="562"/>
      <c r="S76" s="562"/>
      <c r="T76" s="559">
        <v>1455</v>
      </c>
      <c r="U76" s="560">
        <f t="shared" si="40"/>
        <v>324.39581431131182</v>
      </c>
      <c r="V76" s="563">
        <v>136.35965997776216</v>
      </c>
      <c r="W76" s="563">
        <v>188.03615433354966</v>
      </c>
      <c r="X76" s="559">
        <f t="shared" si="47"/>
        <v>1074.5392755861935</v>
      </c>
      <c r="Y76" s="563">
        <v>56.064910102494586</v>
      </c>
    </row>
    <row r="77" spans="1:33" s="551" customFormat="1" ht="40.5" customHeight="1" outlineLevel="1">
      <c r="A77" s="565"/>
      <c r="B77" s="558" t="s">
        <v>153</v>
      </c>
      <c r="C77" s="549"/>
      <c r="D77" s="559">
        <f>SUM(F77:I77)</f>
        <v>13507.419798999999</v>
      </c>
      <c r="E77" s="560">
        <f t="shared" si="38"/>
        <v>3011.5123332930179</v>
      </c>
      <c r="F77" s="561">
        <v>1265.8880900127374</v>
      </c>
      <c r="G77" s="561">
        <v>1745.6242432802806</v>
      </c>
      <c r="H77" s="563">
        <v>9595.5721940448657</v>
      </c>
      <c r="I77" s="561">
        <v>900.33527166211616</v>
      </c>
      <c r="J77" s="562"/>
      <c r="K77" s="562"/>
      <c r="L77" s="574">
        <v>4157.7245149999999</v>
      </c>
      <c r="M77" s="560">
        <f t="shared" si="39"/>
        <v>796.93166654299353</v>
      </c>
      <c r="N77" s="574">
        <v>303.7530132606397</v>
      </c>
      <c r="O77" s="574">
        <v>493.17865328235376</v>
      </c>
      <c r="P77" s="574">
        <v>3200.584978240915</v>
      </c>
      <c r="Q77" s="574">
        <v>160.20787021609135</v>
      </c>
      <c r="R77" s="562"/>
      <c r="S77" s="562"/>
      <c r="T77" s="559">
        <v>4157.7245149999999</v>
      </c>
      <c r="U77" s="560">
        <f t="shared" si="40"/>
        <v>797.7530132606397</v>
      </c>
      <c r="V77" s="561">
        <v>303.7530132606397</v>
      </c>
      <c r="W77" s="561">
        <v>494</v>
      </c>
      <c r="X77" s="559">
        <f t="shared" si="47"/>
        <v>3199.7636315232685</v>
      </c>
      <c r="Y77" s="561">
        <v>160.20787021609135</v>
      </c>
    </row>
    <row r="78" spans="1:33" s="551" customFormat="1" ht="20.25" customHeight="1">
      <c r="A78" s="553"/>
      <c r="B78" s="558" t="s">
        <v>117</v>
      </c>
      <c r="C78" s="549" t="s">
        <v>9</v>
      </c>
      <c r="D78" s="559">
        <f t="shared" si="51"/>
        <v>1079.6035714285713</v>
      </c>
      <c r="E78" s="559"/>
      <c r="F78" s="563">
        <v>101.17826523077503</v>
      </c>
      <c r="G78" s="563">
        <v>139.52199572247028</v>
      </c>
      <c r="H78" s="563">
        <v>766.94247789340716</v>
      </c>
      <c r="I78" s="564">
        <v>71.960832581918751</v>
      </c>
      <c r="J78" s="562"/>
      <c r="K78" s="562"/>
      <c r="L78" s="559">
        <f>[54]СводПЗ!$C$78</f>
        <v>1079.6035714285713</v>
      </c>
      <c r="M78" s="559"/>
      <c r="N78" s="563">
        <f>$L$78*N90</f>
        <v>78.873152072793559</v>
      </c>
      <c r="O78" s="563">
        <f>$L$78*O90</f>
        <v>128.05981577544759</v>
      </c>
      <c r="P78" s="563">
        <f>$L$78*P90</f>
        <v>831.0706879937494</v>
      </c>
      <c r="Q78" s="563">
        <f>$L$78*Q90</f>
        <v>41.599915586580714</v>
      </c>
      <c r="R78" s="562"/>
      <c r="S78" s="562"/>
      <c r="T78" s="559">
        <v>1079.6035714285713</v>
      </c>
      <c r="U78" s="559"/>
      <c r="V78" s="563">
        <v>101.17826523077503</v>
      </c>
      <c r="W78" s="563">
        <v>139.52199572247028</v>
      </c>
      <c r="X78" s="559">
        <f t="shared" si="47"/>
        <v>797.3033948887454</v>
      </c>
      <c r="Y78" s="563">
        <v>41.599915586580714</v>
      </c>
    </row>
    <row r="79" spans="1:33" s="551" customFormat="1" ht="20.25" customHeight="1">
      <c r="A79" s="553"/>
      <c r="B79" s="558" t="s">
        <v>155</v>
      </c>
      <c r="C79" s="549" t="s">
        <v>9</v>
      </c>
      <c r="D79" s="559">
        <f t="shared" si="51"/>
        <v>319.07734806629833</v>
      </c>
      <c r="E79" s="560">
        <f t="shared" ref="E79:E93" si="52">F79+G79</f>
        <v>71.139076394680913</v>
      </c>
      <c r="F79" s="563">
        <v>29.903284322286265</v>
      </c>
      <c r="G79" s="563">
        <v>41.235792072394652</v>
      </c>
      <c r="H79" s="563">
        <v>226.67021343937336</v>
      </c>
      <c r="I79" s="564">
        <v>21.268058232244059</v>
      </c>
      <c r="J79" s="562"/>
      <c r="K79" s="562"/>
      <c r="L79" s="559">
        <f>[54]СводПЗ!$C$79</f>
        <v>319.07734806629838</v>
      </c>
      <c r="M79" s="560">
        <f t="shared" ref="M79:M93" si="53">N79+O79</f>
        <v>61.159136886825216</v>
      </c>
      <c r="N79" s="563">
        <f>$L$79*N90</f>
        <v>23.310997539324006</v>
      </c>
      <c r="O79" s="563">
        <f>$L$79*O90</f>
        <v>37.84813934750121</v>
      </c>
      <c r="P79" s="563">
        <f>$L$79*P90</f>
        <v>245.62333637873132</v>
      </c>
      <c r="Q79" s="563">
        <f>$L$79*Q90</f>
        <v>12.294874800741852</v>
      </c>
      <c r="R79" s="562"/>
      <c r="S79" s="562"/>
      <c r="T79" s="559">
        <v>319.07734806629838</v>
      </c>
      <c r="U79" s="560">
        <f t="shared" ref="U79:U93" si="54">V79+W79</f>
        <v>71.139076394680913</v>
      </c>
      <c r="V79" s="563">
        <v>29.903284322286265</v>
      </c>
      <c r="W79" s="563">
        <v>41.235792072394652</v>
      </c>
      <c r="X79" s="559">
        <f t="shared" si="47"/>
        <v>235.64339687087562</v>
      </c>
      <c r="Y79" s="563">
        <v>12.294874800741852</v>
      </c>
    </row>
    <row r="80" spans="1:33" s="551" customFormat="1" ht="39" customHeight="1">
      <c r="A80" s="553"/>
      <c r="B80" s="558" t="s">
        <v>156</v>
      </c>
      <c r="C80" s="549" t="s">
        <v>9</v>
      </c>
      <c r="D80" s="559">
        <f t="shared" si="51"/>
        <v>53.805714285714274</v>
      </c>
      <c r="E80" s="560">
        <f t="shared" si="52"/>
        <v>27.907105406090263</v>
      </c>
      <c r="F80" s="563">
        <v>11.235504977027016</v>
      </c>
      <c r="G80" s="563">
        <v>16.671600429063247</v>
      </c>
      <c r="H80" s="563">
        <v>23.871063043464844</v>
      </c>
      <c r="I80" s="564">
        <v>2.0275458361591667</v>
      </c>
      <c r="J80" s="562"/>
      <c r="K80" s="562"/>
      <c r="L80" s="559">
        <f t="shared" ref="L80:L93" si="55">SUM(N80:Q80)</f>
        <v>53.805714285714281</v>
      </c>
      <c r="M80" s="560">
        <f t="shared" si="53"/>
        <v>26.955688752378286</v>
      </c>
      <c r="N80" s="563">
        <f>[54]СводПЗ!$E$80</f>
        <v>10.6070431084537</v>
      </c>
      <c r="O80" s="563">
        <f>[54]СводПЗ!$F$80</f>
        <v>16.348645643924584</v>
      </c>
      <c r="P80" s="559">
        <f>[54]СводПЗ!$L$80</f>
        <v>25.677919366608041</v>
      </c>
      <c r="Q80" s="564">
        <f>[54]СводПЗ!$J$80</f>
        <v>1.17210616672795</v>
      </c>
      <c r="R80" s="562"/>
      <c r="S80" s="562"/>
      <c r="T80" s="559">
        <v>53.805714285714281</v>
      </c>
      <c r="U80" s="560">
        <f t="shared" si="54"/>
        <v>27.907105406090263</v>
      </c>
      <c r="V80" s="563">
        <v>11.235504977027016</v>
      </c>
      <c r="W80" s="563">
        <v>16.671600429063247</v>
      </c>
      <c r="X80" s="559">
        <f t="shared" si="47"/>
        <v>24.726502712896071</v>
      </c>
      <c r="Y80" s="564">
        <v>1.17210616672795</v>
      </c>
      <c r="AB80" s="240"/>
      <c r="AC80" s="240"/>
      <c r="AD80" s="240"/>
      <c r="AE80" s="240"/>
      <c r="AF80" s="240"/>
      <c r="AG80" s="240"/>
    </row>
    <row r="81" spans="1:37" s="551" customFormat="1" ht="19.5" customHeight="1">
      <c r="A81" s="553"/>
      <c r="B81" s="558" t="s">
        <v>128</v>
      </c>
      <c r="C81" s="549" t="s">
        <v>9</v>
      </c>
      <c r="D81" s="559">
        <f t="shared" si="51"/>
        <v>3363.9782603333329</v>
      </c>
      <c r="E81" s="560">
        <f t="shared" si="52"/>
        <v>750.00719387380195</v>
      </c>
      <c r="F81" s="563">
        <v>315.26524519012867</v>
      </c>
      <c r="G81" s="563">
        <v>434.74194868367323</v>
      </c>
      <c r="H81" s="563">
        <v>2389.7455425658491</v>
      </c>
      <c r="I81" s="564">
        <v>224.22552389368172</v>
      </c>
      <c r="J81" s="562"/>
      <c r="K81" s="562"/>
      <c r="L81" s="559">
        <f>[54]СводПЗ!$C$81</f>
        <v>3363.9782603333329</v>
      </c>
      <c r="M81" s="560">
        <f t="shared" si="53"/>
        <v>644.79038751845803</v>
      </c>
      <c r="N81" s="563">
        <f>$L$81*N90</f>
        <v>245.76388585464869</v>
      </c>
      <c r="O81" s="563">
        <f>$L$81*O90</f>
        <v>399.02650166380931</v>
      </c>
      <c r="P81" s="563">
        <f>$L$81*P90</f>
        <v>2589.5650970400743</v>
      </c>
      <c r="Q81" s="563">
        <f>$L$81*Q90</f>
        <v>129.62277577480029</v>
      </c>
      <c r="R81" s="562"/>
      <c r="S81" s="562"/>
      <c r="T81" s="559">
        <v>3363.9782603333329</v>
      </c>
      <c r="U81" s="560">
        <f t="shared" si="54"/>
        <v>750.00719387380195</v>
      </c>
      <c r="V81" s="563">
        <v>315.26524519012867</v>
      </c>
      <c r="W81" s="563">
        <v>434.74194868367323</v>
      </c>
      <c r="X81" s="559">
        <f t="shared" si="47"/>
        <v>2484.3482906847307</v>
      </c>
      <c r="Y81" s="563">
        <v>129.62277577480029</v>
      </c>
      <c r="AB81" s="575"/>
      <c r="AC81" s="575"/>
      <c r="AD81" s="575"/>
      <c r="AE81" s="575"/>
      <c r="AF81" s="575"/>
      <c r="AG81" s="575"/>
    </row>
    <row r="82" spans="1:37" s="551" customFormat="1" ht="19.5" customHeight="1">
      <c r="A82" s="553"/>
      <c r="B82" s="558" t="s">
        <v>121</v>
      </c>
      <c r="C82" s="549" t="s">
        <v>9</v>
      </c>
      <c r="D82" s="559">
        <f t="shared" si="51"/>
        <v>5638.1569999999992</v>
      </c>
      <c r="E82" s="560">
        <f t="shared" si="52"/>
        <v>1257.0409149347238</v>
      </c>
      <c r="F82" s="559">
        <v>528.39668138916818</v>
      </c>
      <c r="G82" s="559">
        <v>728.64423354555561</v>
      </c>
      <c r="H82" s="563">
        <v>4005.3054795013268</v>
      </c>
      <c r="I82" s="561">
        <v>375.8106055639488</v>
      </c>
      <c r="J82" s="562"/>
      <c r="K82" s="562"/>
      <c r="L82" s="559">
        <f>[54]СводПЗ!$C$82</f>
        <v>5638.1570000000002</v>
      </c>
      <c r="M82" s="560">
        <f t="shared" si="53"/>
        <v>1080.693499059556</v>
      </c>
      <c r="N82" s="559">
        <f>$L$82*N90</f>
        <v>411.90972894137718</v>
      </c>
      <c r="O82" s="559">
        <f>$L$82*O90</f>
        <v>668.78377011817872</v>
      </c>
      <c r="P82" s="559">
        <f>$L$82*P90</f>
        <v>4340.2107412505811</v>
      </c>
      <c r="Q82" s="559">
        <f>$L$82*Q90</f>
        <v>217.25275968986293</v>
      </c>
      <c r="R82" s="562"/>
      <c r="S82" s="562"/>
      <c r="T82" s="559">
        <v>5638.1570000000002</v>
      </c>
      <c r="U82" s="560">
        <f t="shared" si="54"/>
        <v>1257.0409149347238</v>
      </c>
      <c r="V82" s="559">
        <v>528.39668138916818</v>
      </c>
      <c r="W82" s="559">
        <v>728.64423354555561</v>
      </c>
      <c r="X82" s="559">
        <f t="shared" si="47"/>
        <v>4163.8633253754133</v>
      </c>
      <c r="Y82" s="559">
        <v>217.25275968986293</v>
      </c>
    </row>
    <row r="83" spans="1:37" s="551" customFormat="1" ht="19.5" customHeight="1">
      <c r="A83" s="553"/>
      <c r="B83" s="558" t="s">
        <v>114</v>
      </c>
      <c r="C83" s="549" t="s">
        <v>9</v>
      </c>
      <c r="D83" s="559">
        <f t="shared" si="51"/>
        <v>0</v>
      </c>
      <c r="E83" s="560">
        <f t="shared" si="52"/>
        <v>0</v>
      </c>
      <c r="F83" s="559">
        <v>0</v>
      </c>
      <c r="G83" s="559">
        <v>0</v>
      </c>
      <c r="H83" s="563">
        <v>0</v>
      </c>
      <c r="I83" s="561">
        <v>0</v>
      </c>
      <c r="J83" s="562"/>
      <c r="K83" s="562"/>
      <c r="L83" s="559">
        <f t="shared" si="55"/>
        <v>0</v>
      </c>
      <c r="M83" s="560">
        <f t="shared" si="53"/>
        <v>0</v>
      </c>
      <c r="N83" s="559">
        <v>0</v>
      </c>
      <c r="O83" s="559">
        <v>0</v>
      </c>
      <c r="P83" s="559">
        <v>0</v>
      </c>
      <c r="Q83" s="561">
        <v>0</v>
      </c>
      <c r="R83" s="562"/>
      <c r="S83" s="562"/>
      <c r="T83" s="559">
        <v>0</v>
      </c>
      <c r="U83" s="560">
        <f t="shared" si="54"/>
        <v>0</v>
      </c>
      <c r="V83" s="559">
        <v>0</v>
      </c>
      <c r="W83" s="559">
        <v>0</v>
      </c>
      <c r="X83" s="559">
        <f t="shared" si="47"/>
        <v>0</v>
      </c>
      <c r="Y83" s="561">
        <v>0</v>
      </c>
    </row>
    <row r="84" spans="1:37" s="551" customFormat="1" ht="19.5" customHeight="1">
      <c r="A84" s="553"/>
      <c r="B84" s="558" t="s">
        <v>119</v>
      </c>
      <c r="C84" s="549" t="s">
        <v>9</v>
      </c>
      <c r="D84" s="559">
        <f t="shared" si="51"/>
        <v>7555.9349999999995</v>
      </c>
      <c r="E84" s="560">
        <f t="shared" si="52"/>
        <v>1684.6142180126062</v>
      </c>
      <c r="F84" s="559">
        <v>708.12696042204288</v>
      </c>
      <c r="G84" s="559">
        <v>976.48725759056322</v>
      </c>
      <c r="H84" s="563">
        <v>5367.6809386925306</v>
      </c>
      <c r="I84" s="561">
        <v>503.63984329486311</v>
      </c>
      <c r="J84" s="562"/>
      <c r="K84" s="562"/>
      <c r="L84" s="559">
        <f>[54]СводПЗ!$C$84</f>
        <v>7555.9349999999995</v>
      </c>
      <c r="M84" s="560">
        <f t="shared" si="53"/>
        <v>1448.2835142434956</v>
      </c>
      <c r="N84" s="559">
        <f>$L$84*N90</f>
        <v>552.01782031764355</v>
      </c>
      <c r="O84" s="559">
        <f>$L$84*O90</f>
        <v>896.26569392585202</v>
      </c>
      <c r="P84" s="559">
        <f>$L$84*P90</f>
        <v>5816.501783684138</v>
      </c>
      <c r="Q84" s="559">
        <f>$L$84*Q90</f>
        <v>291.14970207236593</v>
      </c>
      <c r="R84" s="562"/>
      <c r="S84" s="562"/>
      <c r="T84" s="559">
        <v>7555.9349999999995</v>
      </c>
      <c r="U84" s="560">
        <f t="shared" si="54"/>
        <v>1684.6142180126062</v>
      </c>
      <c r="V84" s="559">
        <v>708.12696042204288</v>
      </c>
      <c r="W84" s="559">
        <v>976.48725759056322</v>
      </c>
      <c r="X84" s="559">
        <f t="shared" si="47"/>
        <v>5580.1710799150278</v>
      </c>
      <c r="Y84" s="559">
        <v>291.14970207236593</v>
      </c>
    </row>
    <row r="85" spans="1:37" s="551" customFormat="1" ht="19.5" customHeight="1">
      <c r="A85" s="553"/>
      <c r="B85" s="558" t="s">
        <v>176</v>
      </c>
      <c r="C85" s="549"/>
      <c r="D85" s="559">
        <f t="shared" si="51"/>
        <v>10333.674999999999</v>
      </c>
      <c r="E85" s="560">
        <f t="shared" si="52"/>
        <v>2303.9181556381068</v>
      </c>
      <c r="F85" s="559">
        <v>968.45114042659895</v>
      </c>
      <c r="G85" s="559">
        <v>1335.4670152115077</v>
      </c>
      <c r="H85" s="563">
        <v>7340.9671105089619</v>
      </c>
      <c r="I85" s="561">
        <v>688.78973385293079</v>
      </c>
      <c r="J85" s="562"/>
      <c r="K85" s="562"/>
      <c r="L85" s="559">
        <f>[54]СводПЗ!$C$85</f>
        <v>8757.2819999999992</v>
      </c>
      <c r="M85" s="560">
        <f t="shared" si="53"/>
        <v>1678.551648496355</v>
      </c>
      <c r="N85" s="559">
        <f>$L$85*N90</f>
        <v>639.78524451929957</v>
      </c>
      <c r="O85" s="559">
        <f>$L$85*O90</f>
        <v>1038.7664039770555</v>
      </c>
      <c r="P85" s="559">
        <f>$L$85*P90</f>
        <v>6741.2896449248165</v>
      </c>
      <c r="Q85" s="559">
        <f>$L$85*Q90</f>
        <v>337.44070657882747</v>
      </c>
      <c r="R85" s="562"/>
      <c r="S85" s="562"/>
      <c r="T85" s="559">
        <v>8757.2819999999992</v>
      </c>
      <c r="U85" s="560">
        <f t="shared" si="54"/>
        <v>1680.1664039770553</v>
      </c>
      <c r="V85" s="559">
        <v>641.4</v>
      </c>
      <c r="W85" s="559">
        <v>1038.7664039770555</v>
      </c>
      <c r="X85" s="559">
        <f t="shared" si="47"/>
        <v>6739.6748894441171</v>
      </c>
      <c r="Y85" s="559">
        <v>337.44070657882747</v>
      </c>
    </row>
    <row r="86" spans="1:37" s="551" customFormat="1" ht="19.5" customHeight="1">
      <c r="A86" s="553"/>
      <c r="B86" s="558" t="s">
        <v>167</v>
      </c>
      <c r="C86" s="549"/>
      <c r="D86" s="559">
        <f t="shared" si="51"/>
        <v>871.19999999999982</v>
      </c>
      <c r="E86" s="560">
        <f t="shared" si="52"/>
        <v>194.23617417732981</v>
      </c>
      <c r="F86" s="559">
        <v>81.647103623798216</v>
      </c>
      <c r="G86" s="559">
        <v>112.5890705535316</v>
      </c>
      <c r="H86" s="563">
        <v>618.89410559896714</v>
      </c>
      <c r="I86" s="561">
        <v>58.069720223702923</v>
      </c>
      <c r="J86" s="562"/>
      <c r="K86" s="562"/>
      <c r="L86" s="559">
        <f>[54]СводПЗ!$C$86</f>
        <v>871.2</v>
      </c>
      <c r="M86" s="560">
        <f t="shared" si="53"/>
        <v>166.9872223105325</v>
      </c>
      <c r="N86" s="559">
        <f>$L$86*N90</f>
        <v>63.647705421067165</v>
      </c>
      <c r="O86" s="559">
        <f>$L$86*O90</f>
        <v>103.33951688946534</v>
      </c>
      <c r="P86" s="559">
        <f>$L$86*P90</f>
        <v>670.64319027964393</v>
      </c>
      <c r="Q86" s="559">
        <f>$L$86*Q90</f>
        <v>33.569587409823562</v>
      </c>
      <c r="R86" s="562"/>
      <c r="S86" s="562"/>
      <c r="T86" s="559">
        <v>871.2</v>
      </c>
      <c r="U86" s="560">
        <f t="shared" si="54"/>
        <v>194.23617417732981</v>
      </c>
      <c r="V86" s="559">
        <v>81.647103623798216</v>
      </c>
      <c r="W86" s="559">
        <v>112.5890705535316</v>
      </c>
      <c r="X86" s="559">
        <f t="shared" si="47"/>
        <v>643.39423841284668</v>
      </c>
      <c r="Y86" s="559">
        <v>33.569587409823562</v>
      </c>
    </row>
    <row r="87" spans="1:37" s="551" customFormat="1" ht="19.5" customHeight="1">
      <c r="A87" s="553"/>
      <c r="B87" s="558" t="s">
        <v>94</v>
      </c>
      <c r="C87" s="549" t="s">
        <v>9</v>
      </c>
      <c r="D87" s="559">
        <f t="shared" si="51"/>
        <v>3605.5003167014129</v>
      </c>
      <c r="E87" s="560">
        <f t="shared" si="52"/>
        <v>803.85512799728349</v>
      </c>
      <c r="F87" s="563">
        <v>337.90020428530477</v>
      </c>
      <c r="G87" s="563">
        <v>465.95492371197872</v>
      </c>
      <c r="H87" s="563">
        <v>2561.3210442398004</v>
      </c>
      <c r="I87" s="576">
        <v>240.3241444643289</v>
      </c>
      <c r="J87" s="562"/>
      <c r="K87" s="562"/>
      <c r="L87" s="559">
        <f>[54]СводПЗ!$C$87</f>
        <v>3605.5003167014129</v>
      </c>
      <c r="M87" s="560">
        <f t="shared" si="53"/>
        <v>691.08411722418987</v>
      </c>
      <c r="N87" s="563">
        <f>$L$87*N90</f>
        <v>263.40888665401275</v>
      </c>
      <c r="O87" s="563">
        <f>$L$87*O90</f>
        <v>427.67523057017712</v>
      </c>
      <c r="P87" s="563">
        <f>$L$87*P90</f>
        <v>2775.4869547140747</v>
      </c>
      <c r="Q87" s="563">
        <f>$L$87*Q90</f>
        <v>138.92924476314809</v>
      </c>
      <c r="R87" s="562"/>
      <c r="S87" s="562"/>
      <c r="T87" s="559">
        <v>3605.5003167014129</v>
      </c>
      <c r="U87" s="560">
        <f t="shared" si="54"/>
        <v>803.85512799728349</v>
      </c>
      <c r="V87" s="563">
        <v>337.90020428530477</v>
      </c>
      <c r="W87" s="563">
        <v>465.95492371197872</v>
      </c>
      <c r="X87" s="559">
        <f t="shared" si="47"/>
        <v>2662.7159439409811</v>
      </c>
      <c r="Y87" s="563">
        <v>138.92924476314809</v>
      </c>
    </row>
    <row r="88" spans="1:37" s="551" customFormat="1" ht="25.5" customHeight="1">
      <c r="A88" s="553"/>
      <c r="B88" s="558" t="s">
        <v>157</v>
      </c>
      <c r="C88" s="549" t="s">
        <v>9</v>
      </c>
      <c r="D88" s="559">
        <f t="shared" si="51"/>
        <v>6382.8595199999991</v>
      </c>
      <c r="E88" s="560">
        <f t="shared" si="52"/>
        <v>1423.0741660653671</v>
      </c>
      <c r="F88" s="563">
        <v>598.18869679245518</v>
      </c>
      <c r="G88" s="563">
        <v>824.88546927291179</v>
      </c>
      <c r="H88" s="563">
        <v>4534.3367008657633</v>
      </c>
      <c r="I88" s="564">
        <v>425.44865306886902</v>
      </c>
      <c r="J88" s="562"/>
      <c r="K88" s="562"/>
      <c r="L88" s="559">
        <f>[54]СводПЗ!$C$88</f>
        <v>6382.8595199999982</v>
      </c>
      <c r="M88" s="560">
        <f t="shared" si="53"/>
        <v>1223.4343223635658</v>
      </c>
      <c r="N88" s="563">
        <f>$L$88*N90</f>
        <v>466.31584305901521</v>
      </c>
      <c r="O88" s="563">
        <f>$L$88*O90</f>
        <v>757.11847930455053</v>
      </c>
      <c r="P88" s="563">
        <f>$L$88*P90</f>
        <v>4913.4771253438885</v>
      </c>
      <c r="Q88" s="563">
        <f>$L$88*Q90</f>
        <v>245.94807229254408</v>
      </c>
      <c r="R88" s="562"/>
      <c r="S88" s="562"/>
      <c r="T88" s="559">
        <v>6382.8595199999982</v>
      </c>
      <c r="U88" s="560">
        <f t="shared" si="54"/>
        <v>1423.0741660653671</v>
      </c>
      <c r="V88" s="563">
        <v>598.18869679245518</v>
      </c>
      <c r="W88" s="563">
        <v>824.88546927291179</v>
      </c>
      <c r="X88" s="559">
        <f t="shared" si="47"/>
        <v>4713.8372816420879</v>
      </c>
      <c r="Y88" s="563">
        <v>245.94807229254408</v>
      </c>
    </row>
    <row r="89" spans="1:37" s="551" customFormat="1" ht="19.5" customHeight="1">
      <c r="A89" s="553"/>
      <c r="B89" s="558" t="s">
        <v>158</v>
      </c>
      <c r="C89" s="549" t="s">
        <v>9</v>
      </c>
      <c r="D89" s="559">
        <f t="shared" si="51"/>
        <v>312.42857142857139</v>
      </c>
      <c r="E89" s="560">
        <f t="shared" si="52"/>
        <v>69.656715355801566</v>
      </c>
      <c r="F89" s="563">
        <v>29.280174410541569</v>
      </c>
      <c r="G89" s="563">
        <v>40.376540945260004</v>
      </c>
      <c r="H89" s="563">
        <v>221.94697116373825</v>
      </c>
      <c r="I89" s="564">
        <v>20.824884909031599</v>
      </c>
      <c r="J89" s="562"/>
      <c r="K89" s="562"/>
      <c r="L89" s="559">
        <f>[54]СводПЗ!$C$89</f>
        <v>312.42857142857144</v>
      </c>
      <c r="M89" s="560">
        <f t="shared" si="53"/>
        <v>59.884732912425321</v>
      </c>
      <c r="N89" s="563">
        <f>$L$89*N90</f>
        <v>22.825254452950592</v>
      </c>
      <c r="O89" s="563">
        <f>$L$89*O90</f>
        <v>37.059478459474732</v>
      </c>
      <c r="P89" s="563">
        <f>$L$89*P90</f>
        <v>240.50515826144255</v>
      </c>
      <c r="Q89" s="563">
        <f>$L$89*Q90</f>
        <v>12.03868025470355</v>
      </c>
      <c r="R89" s="562"/>
      <c r="S89" s="562"/>
      <c r="T89" s="559">
        <v>312.42857142857144</v>
      </c>
      <c r="U89" s="560">
        <f t="shared" si="54"/>
        <v>69.656715355801566</v>
      </c>
      <c r="V89" s="563">
        <v>29.280174410541569</v>
      </c>
      <c r="W89" s="563">
        <v>40.376540945260004</v>
      </c>
      <c r="X89" s="559">
        <f t="shared" si="47"/>
        <v>230.73317581806634</v>
      </c>
      <c r="Y89" s="563">
        <v>12.03868025470355</v>
      </c>
    </row>
    <row r="90" spans="1:37" s="551" customFormat="1" ht="27.75" customHeight="1">
      <c r="A90" s="577"/>
      <c r="B90" s="578" t="s">
        <v>184</v>
      </c>
      <c r="C90" s="579"/>
      <c r="D90" s="579">
        <f t="shared" si="51"/>
        <v>1</v>
      </c>
      <c r="E90" s="579">
        <f t="shared" si="52"/>
        <v>0.22295244969849612</v>
      </c>
      <c r="F90" s="580">
        <f>F28/$D$28</f>
        <v>9.3717979366159582E-2</v>
      </c>
      <c r="G90" s="580">
        <f t="shared" ref="G90:I90" si="56">G28/$D$28</f>
        <v>0.12923447033233654</v>
      </c>
      <c r="H90" s="580">
        <f t="shared" si="56"/>
        <v>0.71039268319440685</v>
      </c>
      <c r="I90" s="580">
        <f t="shared" si="56"/>
        <v>6.6654867107097018E-2</v>
      </c>
      <c r="J90" s="581"/>
      <c r="K90" s="581"/>
      <c r="L90" s="579">
        <f t="shared" si="55"/>
        <v>0.99999999999999989</v>
      </c>
      <c r="M90" s="579">
        <f t="shared" si="53"/>
        <v>0.19167495673844409</v>
      </c>
      <c r="N90" s="580">
        <f>[54]СводПЗ!$E$90</f>
        <v>7.3057513109581224E-2</v>
      </c>
      <c r="O90" s="580">
        <f>[54]СводПЗ!$F$90</f>
        <v>0.11861744362886288</v>
      </c>
      <c r="P90" s="580">
        <f>[54]СводПЗ!$G$90+[54]СводПЗ!$H$90+[54]СводПЗ!$I$90</f>
        <v>0.76979245899867299</v>
      </c>
      <c r="Q90" s="580">
        <f>[54]СводПЗ!$J$90</f>
        <v>3.8532584262882877E-2</v>
      </c>
      <c r="R90" s="581"/>
      <c r="S90" s="581"/>
      <c r="T90" s="579">
        <f>SUM(V90:Y90)</f>
        <v>1</v>
      </c>
      <c r="U90" s="579">
        <f t="shared" si="54"/>
        <v>5.1323603871689119E-2</v>
      </c>
      <c r="V90" s="580">
        <f>V28/$T$28</f>
        <v>2.052117273962184E-2</v>
      </c>
      <c r="W90" s="580">
        <f t="shared" ref="W90:Y90" si="57">W28/$T$28</f>
        <v>3.0802431132067279E-2</v>
      </c>
      <c r="X90" s="580">
        <f t="shared" si="57"/>
        <v>0.88792333082756625</v>
      </c>
      <c r="Y90" s="580">
        <f t="shared" si="57"/>
        <v>6.0753065300744626E-2</v>
      </c>
      <c r="AA90" s="582"/>
      <c r="AB90" s="240"/>
      <c r="AC90" s="240"/>
      <c r="AD90" s="240"/>
      <c r="AE90" s="240"/>
      <c r="AH90" s="583"/>
      <c r="AI90" s="583"/>
      <c r="AJ90" s="583"/>
      <c r="AK90" s="583"/>
    </row>
    <row r="91" spans="1:37" s="551" customFormat="1" ht="27.75" customHeight="1">
      <c r="A91" s="577"/>
      <c r="B91" s="578" t="s">
        <v>185</v>
      </c>
      <c r="C91" s="579"/>
      <c r="D91" s="579">
        <f t="shared" si="51"/>
        <v>1</v>
      </c>
      <c r="E91" s="579">
        <f t="shared" si="52"/>
        <v>0.60707309444406565</v>
      </c>
      <c r="F91" s="580">
        <f>(F8+F33+F34+F32)/($D$8+$D$33+$D$34+$D$32)</f>
        <v>0.33776521423698236</v>
      </c>
      <c r="G91" s="580">
        <f t="shared" ref="G91:I91" si="58">(G8+G33+G34+G32)/($D$8+$D$33+$D$34+$D$32)</f>
        <v>0.26930788020708329</v>
      </c>
      <c r="H91" s="580">
        <f t="shared" si="58"/>
        <v>0.37136520503222031</v>
      </c>
      <c r="I91" s="580">
        <f t="shared" si="58"/>
        <v>2.1561700523714051E-2</v>
      </c>
      <c r="J91" s="581"/>
      <c r="K91" s="581"/>
      <c r="L91" s="579">
        <f t="shared" si="55"/>
        <v>1</v>
      </c>
      <c r="M91" s="579">
        <f t="shared" si="53"/>
        <v>0.27550259683408868</v>
      </c>
      <c r="N91" s="580">
        <f>(N8+N33+N34)/($L$8+$L$33+$L$34)</f>
        <v>0.1441540075696161</v>
      </c>
      <c r="O91" s="580">
        <f>(O8+O33+O34)/($L$8+$L$33+$L$34)</f>
        <v>0.13134858926447257</v>
      </c>
      <c r="P91" s="580">
        <f>(P8+P33+P34)/($L$8+$L$33+$L$34)</f>
        <v>0.71306336489061084</v>
      </c>
      <c r="Q91" s="580">
        <f>(Q8+Q33+Q34)/($L$8+$L$33+$L$34)</f>
        <v>1.1434038275300462E-2</v>
      </c>
      <c r="R91" s="581"/>
      <c r="S91" s="581"/>
      <c r="T91" s="579">
        <f>SUM(V91:Y91)</f>
        <v>1</v>
      </c>
      <c r="U91" s="579">
        <f t="shared" si="54"/>
        <v>0.28753895830259329</v>
      </c>
      <c r="V91" s="584">
        <f>(V8+V33+V34)/($T$8+$T$33+$T$34)</f>
        <v>0.14656798787301509</v>
      </c>
      <c r="W91" s="584">
        <f t="shared" ref="W91:Y91" si="59">(W8+W33+W34)/($T$8+$T$33+$T$34)</f>
        <v>0.14097097042957821</v>
      </c>
      <c r="X91" s="584">
        <f t="shared" si="59"/>
        <v>0.7010270034221</v>
      </c>
      <c r="Y91" s="584">
        <f t="shared" si="59"/>
        <v>1.1434038275306684E-2</v>
      </c>
      <c r="AA91" s="585"/>
      <c r="AB91" s="585"/>
      <c r="AC91" s="585"/>
      <c r="AD91" s="585"/>
      <c r="AE91" s="585"/>
      <c r="AF91" s="240"/>
      <c r="AH91" s="583"/>
      <c r="AI91" s="583"/>
      <c r="AJ91" s="583"/>
      <c r="AK91" s="583"/>
    </row>
    <row r="92" spans="1:37" s="551" customFormat="1" ht="27.75" customHeight="1">
      <c r="A92" s="577"/>
      <c r="B92" s="586" t="s">
        <v>186</v>
      </c>
      <c r="C92" s="579"/>
      <c r="D92" s="579">
        <f t="shared" si="51"/>
        <v>1</v>
      </c>
      <c r="E92" s="579">
        <f t="shared" si="52"/>
        <v>0.77818673393708737</v>
      </c>
      <c r="F92" s="580">
        <f>F32/$D$32</f>
        <v>0.44185279533405847</v>
      </c>
      <c r="G92" s="580">
        <f>G32/$D$32</f>
        <v>0.33633393860302885</v>
      </c>
      <c r="H92" s="580">
        <f>H32/$D$32</f>
        <v>0.20118077713725555</v>
      </c>
      <c r="I92" s="580">
        <f>I32/$D$32</f>
        <v>2.0632488925657149E-2</v>
      </c>
      <c r="J92" s="581"/>
      <c r="K92" s="581"/>
      <c r="L92" s="579">
        <f t="shared" si="55"/>
        <v>1</v>
      </c>
      <c r="M92" s="579">
        <f t="shared" si="53"/>
        <v>0.7563223091113116</v>
      </c>
      <c r="N92" s="580">
        <f>[54]СводПЗ!$E$92</f>
        <v>0.44306471617732801</v>
      </c>
      <c r="O92" s="580">
        <f>[54]СводПЗ!$F$92</f>
        <v>0.31325759293398353</v>
      </c>
      <c r="P92" s="580">
        <f>[54]СводПЗ!$G$92+[54]СводПЗ!$H$92+[54]СводПЗ!$I$92</f>
        <v>0.2399248319148011</v>
      </c>
      <c r="Q92" s="587">
        <f>[54]СводПЗ!$J$92</f>
        <v>3.7528589738874203E-3</v>
      </c>
      <c r="R92" s="581"/>
      <c r="S92" s="581"/>
      <c r="T92" s="579">
        <f>SUM(V92:Y92)</f>
        <v>0.99999999999999689</v>
      </c>
      <c r="U92" s="579">
        <f t="shared" si="54"/>
        <v>0.76465284868736805</v>
      </c>
      <c r="V92" s="580">
        <v>0.43947659590678745</v>
      </c>
      <c r="W92" s="580">
        <v>0.32517625278058054</v>
      </c>
      <c r="X92" s="580">
        <v>0.23159429233874138</v>
      </c>
      <c r="Y92" s="587">
        <v>3.7528589738874125E-3</v>
      </c>
      <c r="AA92" s="588"/>
      <c r="AB92" s="588"/>
      <c r="AC92" s="240"/>
      <c r="AD92" s="240"/>
      <c r="AE92" s="240"/>
      <c r="AF92" s="240"/>
      <c r="AH92" s="583"/>
      <c r="AI92" s="583"/>
      <c r="AJ92" s="583"/>
      <c r="AK92" s="583"/>
    </row>
    <row r="93" spans="1:37" s="551" customFormat="1" ht="27.75" customHeight="1">
      <c r="A93" s="577"/>
      <c r="B93" s="586" t="s">
        <v>202</v>
      </c>
      <c r="C93" s="579"/>
      <c r="D93" s="579">
        <f t="shared" si="51"/>
        <v>1</v>
      </c>
      <c r="E93" s="579">
        <f t="shared" si="52"/>
        <v>0.90328307817684383</v>
      </c>
      <c r="F93" s="580">
        <v>0.3585191221840619</v>
      </c>
      <c r="G93" s="580">
        <v>0.54476395599278193</v>
      </c>
      <c r="H93" s="580">
        <v>9.6716921823156166E-2</v>
      </c>
      <c r="I93" s="580">
        <v>0</v>
      </c>
      <c r="J93" s="581"/>
      <c r="K93" s="581"/>
      <c r="L93" s="579">
        <f t="shared" si="55"/>
        <v>1</v>
      </c>
      <c r="M93" s="579">
        <f t="shared" si="53"/>
        <v>0.90328307817684383</v>
      </c>
      <c r="N93" s="580">
        <f>[54]Вед.пути!$H$3</f>
        <v>0.3585191221840619</v>
      </c>
      <c r="O93" s="580">
        <f>[54]Вед.пути!$I$3</f>
        <v>0.54476395599278193</v>
      </c>
      <c r="P93" s="580">
        <f>[54]Вед.пути!$J$3+[54]Вед.пути!$K$3+[54]Вед.пути!$L$3</f>
        <v>9.6716921823156166E-2</v>
      </c>
      <c r="Q93" s="587">
        <f>[54]Вед.пути!$M$3</f>
        <v>0</v>
      </c>
      <c r="R93" s="581"/>
      <c r="S93" s="581"/>
      <c r="T93" s="579">
        <f>SUM(V93:Y93)</f>
        <v>1</v>
      </c>
      <c r="U93" s="579">
        <f t="shared" si="54"/>
        <v>0.90328307817684383</v>
      </c>
      <c r="V93" s="580">
        <v>0.3585191221840619</v>
      </c>
      <c r="W93" s="580">
        <v>0.54476395599278193</v>
      </c>
      <c r="X93" s="580">
        <v>9.6716921823156166E-2</v>
      </c>
      <c r="Y93" s="587">
        <v>0</v>
      </c>
      <c r="AA93" s="575"/>
      <c r="AC93" s="240"/>
      <c r="AD93" s="240"/>
      <c r="AE93" s="240"/>
      <c r="AF93" s="240"/>
      <c r="AH93" s="583"/>
      <c r="AI93" s="583"/>
      <c r="AJ93" s="583"/>
      <c r="AK93" s="583"/>
    </row>
    <row r="94" spans="1:37" s="551" customFormat="1" ht="39.75" customHeight="1">
      <c r="A94" s="547" t="s">
        <v>45</v>
      </c>
      <c r="B94" s="548" t="s">
        <v>274</v>
      </c>
      <c r="C94" s="539" t="s">
        <v>9</v>
      </c>
      <c r="D94" s="550">
        <f>D95+D135</f>
        <v>3278689.6052555027</v>
      </c>
      <c r="E94" s="550">
        <f>F94+G94</f>
        <v>2433207.8870612094</v>
      </c>
      <c r="F94" s="550">
        <f>F95+F135</f>
        <v>1374586.8400986097</v>
      </c>
      <c r="G94" s="550">
        <f>G95+G135</f>
        <v>1058621.0469626</v>
      </c>
      <c r="H94" s="550">
        <f>H95+H135</f>
        <v>768102.16992851906</v>
      </c>
      <c r="I94" s="550">
        <f>I95+I135</f>
        <v>77379.548265773759</v>
      </c>
      <c r="J94" s="556"/>
      <c r="K94" s="556"/>
      <c r="L94" s="550">
        <f>L95+L135</f>
        <v>3265785.47149661</v>
      </c>
      <c r="M94" s="550">
        <f>N94+O94</f>
        <v>2357127.8528250582</v>
      </c>
      <c r="N94" s="550">
        <f>N95+N135</f>
        <v>1373029.7971164046</v>
      </c>
      <c r="O94" s="550">
        <f>O95+O135</f>
        <v>984098.05570865341</v>
      </c>
      <c r="P94" s="550">
        <f>P95+P135</f>
        <v>889491.33523575694</v>
      </c>
      <c r="Q94" s="550">
        <f>Q95+Q135</f>
        <v>19202.161895654004</v>
      </c>
      <c r="R94" s="556"/>
      <c r="S94" s="556"/>
      <c r="T94" s="550">
        <f>T95+T135</f>
        <v>3265785.471496609</v>
      </c>
      <c r="U94" s="550">
        <f>V94+W94</f>
        <v>1760405.7694853465</v>
      </c>
      <c r="V94" s="550">
        <f>V95+V135</f>
        <v>957474.9034175683</v>
      </c>
      <c r="W94" s="550">
        <f>W95+W135</f>
        <v>802930.86606777809</v>
      </c>
      <c r="X94" s="550">
        <f>X95+X135</f>
        <v>1486213.4185753881</v>
      </c>
      <c r="Y94" s="550">
        <f>Y95+Y135</f>
        <v>19166.283435874579</v>
      </c>
      <c r="AA94" s="552"/>
    </row>
    <row r="95" spans="1:37" s="551" customFormat="1" ht="33" customHeight="1">
      <c r="A95" s="547" t="s">
        <v>46</v>
      </c>
      <c r="B95" s="548" t="s">
        <v>47</v>
      </c>
      <c r="C95" s="539" t="s">
        <v>9</v>
      </c>
      <c r="D95" s="550">
        <f>D97+D98+D99+D100+D101+D107+D108+D109+D112+D113+D114+D117</f>
        <v>218490.58824175212</v>
      </c>
      <c r="E95" s="550">
        <f>F95+G95</f>
        <v>51801.608813794148</v>
      </c>
      <c r="F95" s="550">
        <f>F97+F98+F99+F100+F101+F107+F108+F109+F112+F113+F114+F117</f>
        <v>22429.350152546129</v>
      </c>
      <c r="G95" s="550">
        <f>G97+G98+G99+G100+G101+G107+G108+G109+G112+G113+G114+G117</f>
        <v>29372.258661248019</v>
      </c>
      <c r="H95" s="550">
        <f>H97+H98+H99+H100+H101+H107+H108+H109+H112+H113+H114+H117</f>
        <v>152448.95349102729</v>
      </c>
      <c r="I95" s="550">
        <f>I97+I98+I99+I100+I101+I107+I108+I109+I112+I113+I114+I117</f>
        <v>14240.025936930659</v>
      </c>
      <c r="J95" s="556"/>
      <c r="K95" s="556"/>
      <c r="L95" s="550">
        <f>L97+L98+L99+L100+L101+L107+L108+L109+L112+L113+L114+L117</f>
        <v>205400.59825860927</v>
      </c>
      <c r="M95" s="550">
        <f>N95+O95</f>
        <v>42490.498728364837</v>
      </c>
      <c r="N95" s="550">
        <f>N97+N98+N99+N100+N101+N107+N108+N109+N112+N113+N114+N117</f>
        <v>17081.241861821803</v>
      </c>
      <c r="O95" s="550">
        <f>O97+O98+O99+O100+O101+O107+O108+O109+O112+O113+O114+O117</f>
        <v>25409.256866543037</v>
      </c>
      <c r="P95" s="550">
        <f>P97+P98+P99+P100+P101+P107+P108+P109+P112+P113+P114+P117</f>
        <v>155229.00892952981</v>
      </c>
      <c r="Q95" s="550">
        <f>Q97+Q98+Q99+Q100+Q101+Q107+Q108+Q109+Q112+Q113+Q114+Q117</f>
        <v>7716.9690605734568</v>
      </c>
      <c r="R95" s="556"/>
      <c r="S95" s="556"/>
      <c r="T95" s="550">
        <f>T97+T98+T99+T100+T101+T107+T108+T109+T112+T113+T114+T117</f>
        <v>205400.59825860927</v>
      </c>
      <c r="U95" s="550">
        <f>V95+W95</f>
        <v>26002.369485346317</v>
      </c>
      <c r="V95" s="550">
        <f>V97+V98+V99+V100+V101+V107+V109+V113+V114+V117</f>
        <v>13279.903417568295</v>
      </c>
      <c r="W95" s="550">
        <f>W97+W98+W99+W100+W101+W107+W108+W109+W112+W113+W114+W117</f>
        <v>12722.466067778021</v>
      </c>
      <c r="X95" s="550">
        <f>X97+X98+X99+X100+X101+X107+X108+X109+X112+X113+X114+X117</f>
        <v>171717.13817254818</v>
      </c>
      <c r="Y95" s="550">
        <f>Y97+Y98+Y99+Y100+Y101+Y107+Y108+Y109+Y112+Y113+Y114+Y117</f>
        <v>7681.0906007147496</v>
      </c>
      <c r="AA95" s="552"/>
    </row>
    <row r="96" spans="1:37" s="551" customFormat="1">
      <c r="A96" s="553"/>
      <c r="B96" s="554" t="s">
        <v>7</v>
      </c>
      <c r="C96" s="539"/>
      <c r="D96" s="555"/>
      <c r="E96" s="555"/>
      <c r="F96" s="555"/>
      <c r="G96" s="555"/>
      <c r="H96" s="555"/>
      <c r="I96" s="570"/>
      <c r="L96" s="555"/>
      <c r="M96" s="555"/>
      <c r="N96" s="555"/>
      <c r="O96" s="555"/>
      <c r="P96" s="555"/>
      <c r="Q96" s="570"/>
      <c r="T96" s="555"/>
      <c r="U96" s="555"/>
      <c r="V96" s="555"/>
      <c r="W96" s="555"/>
      <c r="X96" s="555"/>
      <c r="Y96" s="570"/>
      <c r="AA96" s="552"/>
    </row>
    <row r="97" spans="1:27" s="551" customFormat="1" ht="39.75" customHeight="1">
      <c r="A97" s="553" t="s">
        <v>49</v>
      </c>
      <c r="B97" s="554" t="s">
        <v>48</v>
      </c>
      <c r="C97" s="539" t="s">
        <v>9</v>
      </c>
      <c r="D97" s="555">
        <f>SUM(F97:I97)</f>
        <v>131547.80799999999</v>
      </c>
      <c r="E97" s="557">
        <f>F97+G97</f>
        <v>29328.906046067423</v>
      </c>
      <c r="F97" s="555">
        <v>12328.394755807522</v>
      </c>
      <c r="G97" s="555">
        <v>17000.511290259903</v>
      </c>
      <c r="H97" s="570">
        <v>93450.600293462659</v>
      </c>
      <c r="I97" s="570">
        <v>8768.3016604699133</v>
      </c>
      <c r="L97" s="555">
        <f>N97+O97+P97+Q97</f>
        <v>131541.34399999998</v>
      </c>
      <c r="M97" s="557">
        <f>N97+O97</f>
        <v>25213.18142051679</v>
      </c>
      <c r="N97" s="555">
        <f>'[55]Свод АУП'!$E$12</f>
        <v>9610.0834637319331</v>
      </c>
      <c r="O97" s="555">
        <f>'[55]Свод АУП'!$F$12</f>
        <v>15603.097956784859</v>
      </c>
      <c r="P97" s="555">
        <v>101259.53465775032</v>
      </c>
      <c r="Q97" s="555">
        <v>5068.627921732862</v>
      </c>
      <c r="T97" s="555">
        <v>131541.34399999998</v>
      </c>
      <c r="U97" s="557">
        <f>V97+W97</f>
        <v>7694</v>
      </c>
      <c r="V97" s="555">
        <v>5495.6</v>
      </c>
      <c r="W97" s="555">
        <v>2198.4</v>
      </c>
      <c r="X97" s="555">
        <f>T97-V97-W97-Y97</f>
        <v>118778.71607826713</v>
      </c>
      <c r="Y97" s="555">
        <v>5068.627921732862</v>
      </c>
      <c r="AA97" s="552"/>
    </row>
    <row r="98" spans="1:27" s="551" customFormat="1" ht="24.75" customHeight="1">
      <c r="A98" s="553" t="s">
        <v>50</v>
      </c>
      <c r="B98" s="554" t="s">
        <v>20</v>
      </c>
      <c r="C98" s="539" t="s">
        <v>9</v>
      </c>
      <c r="D98" s="555">
        <f>SUM(F98:I98)</f>
        <v>13023.232991999999</v>
      </c>
      <c r="E98" s="557">
        <f t="shared" ref="E98:E101" si="60">F98+G98</f>
        <v>2903.5616985606748</v>
      </c>
      <c r="F98" s="555">
        <v>1220.5110808249447</v>
      </c>
      <c r="G98" s="555">
        <v>1683.0506177357304</v>
      </c>
      <c r="H98" s="570">
        <v>9251.6094290528017</v>
      </c>
      <c r="I98" s="570">
        <v>868.06186438652139</v>
      </c>
      <c r="L98" s="555">
        <f>N98+O98+P98+Q98</f>
        <v>13022.593055999998</v>
      </c>
      <c r="M98" s="557">
        <f t="shared" ref="M98:M101" si="61">N98+O98</f>
        <v>2496.1049606311626</v>
      </c>
      <c r="N98" s="555">
        <f>'[55]Свод АУП'!$E$13</f>
        <v>951.39826290946155</v>
      </c>
      <c r="O98" s="555">
        <f>'[55]Свод АУП'!$F$13</f>
        <v>1544.7066977217012</v>
      </c>
      <c r="P98" s="555">
        <v>10024.693931117283</v>
      </c>
      <c r="Q98" s="555">
        <v>501.79416425155341</v>
      </c>
      <c r="T98" s="555">
        <v>13022.593056</v>
      </c>
      <c r="U98" s="557">
        <f t="shared" ref="U98:U101" si="62">V98+W98</f>
        <v>2227.3000000000002</v>
      </c>
      <c r="V98" s="555">
        <v>544</v>
      </c>
      <c r="W98" s="555">
        <v>1683.3</v>
      </c>
      <c r="X98" s="555">
        <f>T98-V98-W98-Y98</f>
        <v>10293.498891748448</v>
      </c>
      <c r="Y98" s="555">
        <v>501.79416425155341</v>
      </c>
      <c r="AA98" s="552"/>
    </row>
    <row r="99" spans="1:27" s="551" customFormat="1" ht="25.5" customHeight="1">
      <c r="A99" s="553" t="s">
        <v>51</v>
      </c>
      <c r="B99" s="554" t="s">
        <v>161</v>
      </c>
      <c r="C99" s="539"/>
      <c r="D99" s="555">
        <f>SUM(F99:I99)</f>
        <v>1246.3063199999999</v>
      </c>
      <c r="E99" s="557">
        <f t="shared" si="60"/>
        <v>277.86704711871778</v>
      </c>
      <c r="F99" s="555">
        <v>116.80130998167428</v>
      </c>
      <c r="G99" s="555">
        <v>161.06573713704353</v>
      </c>
      <c r="H99" s="570">
        <v>885.36689074694698</v>
      </c>
      <c r="I99" s="570">
        <v>83.072382134335129</v>
      </c>
      <c r="L99" s="555">
        <f>'[55]Свод АУП'!$C$14</f>
        <v>623.15316000000007</v>
      </c>
      <c r="M99" s="557">
        <f t="shared" si="61"/>
        <v>119.44285498442474</v>
      </c>
      <c r="N99" s="555">
        <f>$L$99*N90</f>
        <v>45.526020155976973</v>
      </c>
      <c r="O99" s="555">
        <f>$L$99*O90</f>
        <v>73.916834828447776</v>
      </c>
      <c r="P99" s="555">
        <f>$L$99*P90</f>
        <v>479.69860336919356</v>
      </c>
      <c r="Q99" s="555">
        <f>$L$99*Q90</f>
        <v>24.011701646381738</v>
      </c>
      <c r="T99" s="555">
        <v>623.15316000000007</v>
      </c>
      <c r="U99" s="557">
        <f t="shared" si="62"/>
        <v>110</v>
      </c>
      <c r="V99" s="555">
        <v>42</v>
      </c>
      <c r="W99" s="555">
        <v>68</v>
      </c>
      <c r="X99" s="555">
        <f>T99-V99-W99-Y99</f>
        <v>489.1414583536183</v>
      </c>
      <c r="Y99" s="555">
        <v>24.011701646381738</v>
      </c>
      <c r="AA99" s="552"/>
    </row>
    <row r="100" spans="1:27" s="551" customFormat="1" ht="39.75" customHeight="1">
      <c r="A100" s="553" t="s">
        <v>51</v>
      </c>
      <c r="B100" s="554" t="s">
        <v>22</v>
      </c>
      <c r="C100" s="549" t="s">
        <v>9</v>
      </c>
      <c r="D100" s="555">
        <f>SUM(F100:I100)</f>
        <v>5232.0325734999969</v>
      </c>
      <c r="E100" s="557">
        <f t="shared" si="60"/>
        <v>4071.4983402244161</v>
      </c>
      <c r="F100" s="557">
        <v>2311.7882178798213</v>
      </c>
      <c r="G100" s="557">
        <v>1759.710122344595</v>
      </c>
      <c r="H100" s="570">
        <v>1052.5843791441646</v>
      </c>
      <c r="I100" s="557">
        <v>107.94985413141616</v>
      </c>
      <c r="L100" s="555">
        <f>'[55]Свод АУП'!$C$15</f>
        <v>5232.0325435000004</v>
      </c>
      <c r="M100" s="557">
        <f t="shared" si="61"/>
        <v>3957.1029346454488</v>
      </c>
      <c r="N100" s="557">
        <f>$L$100*N92</f>
        <v>2318.1290139163712</v>
      </c>
      <c r="O100" s="557">
        <f>$L$100*O92</f>
        <v>1638.9739207290777</v>
      </c>
      <c r="P100" s="557">
        <f>$L$100*P92</f>
        <v>1255.2945285720068</v>
      </c>
      <c r="Q100" s="557">
        <f>$L$100*Q92</f>
        <v>19.635080282545001</v>
      </c>
      <c r="T100" s="555">
        <v>5232.0325435000004</v>
      </c>
      <c r="U100" s="557">
        <f t="shared" si="62"/>
        <v>4100</v>
      </c>
      <c r="V100" s="557">
        <v>2291</v>
      </c>
      <c r="W100" s="557">
        <v>1809</v>
      </c>
      <c r="X100" s="555">
        <f>T100-V100-W100-Y100</f>
        <v>1112.3974632173199</v>
      </c>
      <c r="Y100" s="557">
        <v>19.635080282680551</v>
      </c>
      <c r="AA100" s="552"/>
    </row>
    <row r="101" spans="1:27" s="551" customFormat="1" ht="30.75" customHeight="1">
      <c r="A101" s="553" t="s">
        <v>54</v>
      </c>
      <c r="B101" s="554" t="s">
        <v>39</v>
      </c>
      <c r="C101" s="539" t="s">
        <v>9</v>
      </c>
      <c r="D101" s="555">
        <f>SUM(D103:D106)</f>
        <v>25588.812061714285</v>
      </c>
      <c r="E101" s="557">
        <f t="shared" si="60"/>
        <v>5705.0883340336259</v>
      </c>
      <c r="F101" s="555">
        <f t="shared" ref="F101:Y101" si="63">SUM(F103:F106)</f>
        <v>2398.131760804275</v>
      </c>
      <c r="G101" s="555">
        <f t="shared" si="63"/>
        <v>3306.9565732293504</v>
      </c>
      <c r="H101" s="555">
        <f t="shared" si="63"/>
        <v>18178.104860278614</v>
      </c>
      <c r="I101" s="555">
        <f t="shared" si="63"/>
        <v>1705.618867402047</v>
      </c>
      <c r="L101" s="555">
        <f>SUM(L103:L106)</f>
        <v>25588.812061714285</v>
      </c>
      <c r="M101" s="557">
        <f t="shared" si="61"/>
        <v>4904.7344449172633</v>
      </c>
      <c r="N101" s="555">
        <f t="shared" ref="N101:Q101" si="64">SUM(N103:N106)</f>
        <v>1869.4549726573016</v>
      </c>
      <c r="O101" s="555">
        <f t="shared" si="64"/>
        <v>3035.2794722599615</v>
      </c>
      <c r="P101" s="555">
        <f t="shared" si="64"/>
        <v>19698.074559841945</v>
      </c>
      <c r="Q101" s="555">
        <f t="shared" si="64"/>
        <v>986.0030569550795</v>
      </c>
      <c r="T101" s="555">
        <f>SUM(T103:T106)</f>
        <v>25588.812061714285</v>
      </c>
      <c r="U101" s="557">
        <f t="shared" si="62"/>
        <v>5705.0883340336259</v>
      </c>
      <c r="V101" s="555">
        <f t="shared" si="63"/>
        <v>2398.131760804275</v>
      </c>
      <c r="W101" s="555">
        <f t="shared" si="63"/>
        <v>3306.9565732293504</v>
      </c>
      <c r="X101" s="555">
        <f t="shared" si="63"/>
        <v>18897.720670725583</v>
      </c>
      <c r="Y101" s="555">
        <f t="shared" si="63"/>
        <v>986.0030569550795</v>
      </c>
      <c r="AA101" s="552"/>
    </row>
    <row r="102" spans="1:27" s="551" customFormat="1">
      <c r="A102" s="553"/>
      <c r="B102" s="554" t="s">
        <v>7</v>
      </c>
      <c r="C102" s="539"/>
      <c r="D102" s="555"/>
      <c r="E102" s="555"/>
      <c r="F102" s="555"/>
      <c r="G102" s="555"/>
      <c r="H102" s="555"/>
      <c r="I102" s="570"/>
      <c r="L102" s="555"/>
      <c r="M102" s="555"/>
      <c r="N102" s="555"/>
      <c r="O102" s="555"/>
      <c r="P102" s="555"/>
      <c r="Q102" s="570"/>
      <c r="T102" s="555"/>
      <c r="U102" s="555"/>
      <c r="V102" s="555"/>
      <c r="W102" s="555"/>
      <c r="X102" s="555"/>
      <c r="Y102" s="570"/>
      <c r="AA102" s="552"/>
    </row>
    <row r="103" spans="1:27" s="551" customFormat="1" ht="36" customHeight="1">
      <c r="A103" s="565"/>
      <c r="B103" s="558" t="s">
        <v>52</v>
      </c>
      <c r="C103" s="565" t="s">
        <v>9</v>
      </c>
      <c r="D103" s="559">
        <f t="shared" ref="D103:D113" si="65">SUM(F103:I103)</f>
        <v>18023.565714285716</v>
      </c>
      <c r="E103" s="559">
        <f>F103+G103</f>
        <v>4018.3981283018252</v>
      </c>
      <c r="F103" s="559">
        <v>1689.13215971605</v>
      </c>
      <c r="G103" s="559">
        <v>2329.2659685857752</v>
      </c>
      <c r="H103" s="561">
        <v>12803.809208502145</v>
      </c>
      <c r="I103" s="561">
        <v>1201.3583774817446</v>
      </c>
      <c r="J103" s="562"/>
      <c r="K103" s="562"/>
      <c r="L103" s="559">
        <f>'[55]Свод АУП'!$C$18</f>
        <v>18023.565714285716</v>
      </c>
      <c r="M103" s="559">
        <f>N103+O103</f>
        <v>3454.6661785582191</v>
      </c>
      <c r="N103" s="559">
        <f>$L$103*N90</f>
        <v>1316.7568884528273</v>
      </c>
      <c r="O103" s="559">
        <f>$L$103*O90</f>
        <v>2137.9092901053918</v>
      </c>
      <c r="P103" s="559">
        <f>$L$103*P90</f>
        <v>13874.404971124175</v>
      </c>
      <c r="Q103" s="559">
        <f>$L$103*Q90</f>
        <v>694.49456460332112</v>
      </c>
      <c r="R103" s="562"/>
      <c r="S103" s="562"/>
      <c r="T103" s="559">
        <v>18023.565714285716</v>
      </c>
      <c r="U103" s="559">
        <f>V103+W103</f>
        <v>4018.3981283018252</v>
      </c>
      <c r="V103" s="559">
        <v>1689.13215971605</v>
      </c>
      <c r="W103" s="559">
        <v>2329.2659685857752</v>
      </c>
      <c r="X103" s="559">
        <f>T103-V103-W103-Y103</f>
        <v>13310.673021380569</v>
      </c>
      <c r="Y103" s="559">
        <v>694.49456460332112</v>
      </c>
      <c r="AA103" s="552"/>
    </row>
    <row r="104" spans="1:27" s="551" customFormat="1" ht="20.25" customHeight="1">
      <c r="A104" s="565"/>
      <c r="B104" s="558" t="s">
        <v>53</v>
      </c>
      <c r="C104" s="565" t="s">
        <v>9</v>
      </c>
      <c r="D104" s="559">
        <f t="shared" si="65"/>
        <v>4719.9199999999992</v>
      </c>
      <c r="E104" s="559">
        <f t="shared" ref="E104:E107" si="66">F104+G104</f>
        <v>1052.3177263809257</v>
      </c>
      <c r="F104" s="559">
        <v>442.34136516992385</v>
      </c>
      <c r="G104" s="559">
        <v>609.97636121100174</v>
      </c>
      <c r="H104" s="561">
        <v>3352.9966332629438</v>
      </c>
      <c r="I104" s="561">
        <v>314.6056403561293</v>
      </c>
      <c r="J104" s="562"/>
      <c r="K104" s="562"/>
      <c r="L104" s="559">
        <f>'[55]Свод АУП'!$C$19</f>
        <v>4719.92</v>
      </c>
      <c r="M104" s="559">
        <f t="shared" ref="M104:M107" si="67">N104+O104</f>
        <v>904.69046180891712</v>
      </c>
      <c r="N104" s="559">
        <f>$L$104*N90</f>
        <v>344.82561727617463</v>
      </c>
      <c r="O104" s="559">
        <f>$L$104*O90</f>
        <v>559.8648445327425</v>
      </c>
      <c r="P104" s="559">
        <f>$L$104*P90</f>
        <v>3633.3588230770165</v>
      </c>
      <c r="Q104" s="559">
        <f>$L$104*Q90</f>
        <v>181.87071511406614</v>
      </c>
      <c r="R104" s="562"/>
      <c r="S104" s="562"/>
      <c r="T104" s="559">
        <v>4719.92</v>
      </c>
      <c r="U104" s="559">
        <f t="shared" ref="U104:U107" si="68">V104+W104</f>
        <v>1052.3177263809257</v>
      </c>
      <c r="V104" s="559">
        <v>442.34136516992385</v>
      </c>
      <c r="W104" s="559">
        <v>609.97636121100174</v>
      </c>
      <c r="X104" s="559">
        <f>T104-V104-W104-Y104</f>
        <v>3485.7315585050083</v>
      </c>
      <c r="Y104" s="559">
        <v>181.87071511406614</v>
      </c>
      <c r="AA104" s="552"/>
    </row>
    <row r="105" spans="1:27" s="551" customFormat="1" ht="20.25" hidden="1" customHeight="1">
      <c r="A105" s="565"/>
      <c r="B105" s="558" t="s">
        <v>42</v>
      </c>
      <c r="C105" s="565" t="s">
        <v>9</v>
      </c>
      <c r="D105" s="559">
        <f t="shared" si="65"/>
        <v>0</v>
      </c>
      <c r="E105" s="559">
        <f t="shared" si="66"/>
        <v>0</v>
      </c>
      <c r="F105" s="559">
        <v>0</v>
      </c>
      <c r="G105" s="559">
        <v>0</v>
      </c>
      <c r="H105" s="561">
        <v>0</v>
      </c>
      <c r="I105" s="561">
        <v>0</v>
      </c>
      <c r="J105" s="562"/>
      <c r="K105" s="562"/>
      <c r="L105" s="559">
        <v>0</v>
      </c>
      <c r="M105" s="559">
        <f t="shared" si="67"/>
        <v>0</v>
      </c>
      <c r="N105" s="559"/>
      <c r="O105" s="559"/>
      <c r="P105" s="559"/>
      <c r="Q105" s="561"/>
      <c r="R105" s="562"/>
      <c r="S105" s="562"/>
      <c r="T105" s="559">
        <v>0</v>
      </c>
      <c r="U105" s="559">
        <f t="shared" si="68"/>
        <v>0</v>
      </c>
      <c r="V105" s="559">
        <v>0</v>
      </c>
      <c r="W105" s="559">
        <v>0</v>
      </c>
      <c r="X105" s="559">
        <f>T105-V105-W105-Y105</f>
        <v>0</v>
      </c>
      <c r="Y105" s="561"/>
      <c r="AA105" s="552"/>
    </row>
    <row r="106" spans="1:27" s="551" customFormat="1" ht="20.25" customHeight="1">
      <c r="A106" s="565"/>
      <c r="B106" s="558" t="s">
        <v>28</v>
      </c>
      <c r="C106" s="565" t="s">
        <v>9</v>
      </c>
      <c r="D106" s="559">
        <f t="shared" si="65"/>
        <v>2845.3263474285718</v>
      </c>
      <c r="E106" s="559">
        <f t="shared" si="66"/>
        <v>634.3724793508743</v>
      </c>
      <c r="F106" s="589">
        <v>266.65823591830105</v>
      </c>
      <c r="G106" s="559">
        <v>367.7142434325732</v>
      </c>
      <c r="H106" s="561">
        <v>2021.2990185135241</v>
      </c>
      <c r="I106" s="561">
        <v>189.65484956417319</v>
      </c>
      <c r="J106" s="562"/>
      <c r="K106" s="562"/>
      <c r="L106" s="559">
        <f>'[55]Свод АУП'!$C$21</f>
        <v>2845.3263474285718</v>
      </c>
      <c r="M106" s="559">
        <f t="shared" si="67"/>
        <v>545.37780455012671</v>
      </c>
      <c r="N106" s="559">
        <f>$L$106*N90</f>
        <v>207.87246692829976</v>
      </c>
      <c r="O106" s="559">
        <f>$L$106*O90</f>
        <v>337.50533762182692</v>
      </c>
      <c r="P106" s="559">
        <f>$L$106*P90</f>
        <v>2190.3107656407528</v>
      </c>
      <c r="Q106" s="559">
        <f>$L$106*Q90</f>
        <v>109.63777723769221</v>
      </c>
      <c r="R106" s="562"/>
      <c r="S106" s="562"/>
      <c r="T106" s="559">
        <v>2845.3263474285718</v>
      </c>
      <c r="U106" s="559">
        <f t="shared" si="68"/>
        <v>634.3724793508743</v>
      </c>
      <c r="V106" s="559">
        <v>266.65823591830105</v>
      </c>
      <c r="W106" s="559">
        <v>367.7142434325732</v>
      </c>
      <c r="X106" s="559">
        <f>T106-V106-W106-Y106</f>
        <v>2101.316090840005</v>
      </c>
      <c r="Y106" s="559">
        <v>109.63777723769221</v>
      </c>
      <c r="AA106" s="552"/>
    </row>
    <row r="107" spans="1:27" s="551" customFormat="1" ht="25.5" customHeight="1">
      <c r="A107" s="553" t="s">
        <v>55</v>
      </c>
      <c r="B107" s="554" t="s">
        <v>32</v>
      </c>
      <c r="C107" s="539" t="s">
        <v>9</v>
      </c>
      <c r="D107" s="555">
        <f t="shared" si="65"/>
        <v>22641.260000000002</v>
      </c>
      <c r="E107" s="557">
        <f t="shared" si="66"/>
        <v>5047.9243812605728</v>
      </c>
      <c r="F107" s="555">
        <v>2121.8931375038546</v>
      </c>
      <c r="G107" s="555">
        <v>2926.0312437567181</v>
      </c>
      <c r="H107" s="570">
        <v>16084.185442302198</v>
      </c>
      <c r="I107" s="570">
        <v>1509.1501764372315</v>
      </c>
      <c r="L107" s="555">
        <f>'[55]Свод АУП'!$C$22</f>
        <v>11410.545</v>
      </c>
      <c r="M107" s="557">
        <f t="shared" si="67"/>
        <v>2187.1157192370697</v>
      </c>
      <c r="N107" s="555">
        <f>$L$107*N90</f>
        <v>833.62604092496645</v>
      </c>
      <c r="O107" s="555">
        <f>$L$107*O90</f>
        <v>1353.4896783121033</v>
      </c>
      <c r="P107" s="555">
        <f>$L$107*P90</f>
        <v>8783.7514940650126</v>
      </c>
      <c r="Q107" s="555">
        <f>$L$107*Q90</f>
        <v>439.67778669791687</v>
      </c>
      <c r="T107" s="555">
        <v>11410.545</v>
      </c>
      <c r="U107" s="557">
        <f t="shared" si="68"/>
        <v>2189</v>
      </c>
      <c r="V107" s="555">
        <v>835</v>
      </c>
      <c r="W107" s="555">
        <v>1354</v>
      </c>
      <c r="X107" s="555">
        <f>T107-V107-W107-Y107</f>
        <v>8781.8672133020827</v>
      </c>
      <c r="Y107" s="555">
        <v>439.67778669791687</v>
      </c>
      <c r="AA107" s="552"/>
    </row>
    <row r="108" spans="1:27" s="551" customFormat="1" ht="25.5" hidden="1" customHeight="1">
      <c r="A108" s="553" t="s">
        <v>57</v>
      </c>
      <c r="B108" s="554" t="s">
        <v>56</v>
      </c>
      <c r="C108" s="539" t="s">
        <v>9</v>
      </c>
      <c r="D108" s="555">
        <f t="shared" si="65"/>
        <v>0</v>
      </c>
      <c r="E108" s="555"/>
      <c r="F108" s="555">
        <v>0</v>
      </c>
      <c r="G108" s="555">
        <v>0</v>
      </c>
      <c r="H108" s="555">
        <v>0</v>
      </c>
      <c r="I108" s="570">
        <v>0</v>
      </c>
      <c r="L108" s="555">
        <f>'[55]Свод АУП'!$C$23</f>
        <v>0</v>
      </c>
      <c r="M108" s="555"/>
      <c r="N108" s="555">
        <v>0</v>
      </c>
      <c r="O108" s="555">
        <v>0</v>
      </c>
      <c r="P108" s="555">
        <v>0</v>
      </c>
      <c r="Q108" s="570">
        <v>0</v>
      </c>
      <c r="T108" s="555">
        <f>'[55]Свод АУП'!$C$23</f>
        <v>0</v>
      </c>
      <c r="U108" s="555"/>
      <c r="V108" s="555">
        <v>0</v>
      </c>
      <c r="W108" s="555">
        <v>0</v>
      </c>
      <c r="X108" s="555">
        <v>0</v>
      </c>
      <c r="Y108" s="570">
        <v>0</v>
      </c>
      <c r="AA108" s="552"/>
    </row>
    <row r="109" spans="1:27" s="551" customFormat="1" ht="25.5" customHeight="1">
      <c r="A109" s="553" t="s">
        <v>109</v>
      </c>
      <c r="B109" s="554" t="s">
        <v>34</v>
      </c>
      <c r="C109" s="539" t="s">
        <v>9</v>
      </c>
      <c r="D109" s="555">
        <f t="shared" si="65"/>
        <v>14.456618799999996</v>
      </c>
      <c r="E109" s="557">
        <f t="shared" ref="E109:E111" si="69">F109+G109</f>
        <v>11.249948967745491</v>
      </c>
      <c r="F109" s="555">
        <f>SUM(F110:F111)</f>
        <v>6.3876974278588996</v>
      </c>
      <c r="G109" s="555">
        <f>SUM(G110:G111)</f>
        <v>4.8622515398865911</v>
      </c>
      <c r="H109" s="555">
        <f>SUM(H110:H111)</f>
        <v>2.9083938049610576</v>
      </c>
      <c r="I109" s="590">
        <f>SUM(I110:I111)</f>
        <v>0.29827602729344682</v>
      </c>
      <c r="L109" s="555">
        <f>SUM(N109:Q109)</f>
        <v>14.456618799999999</v>
      </c>
      <c r="M109" s="557">
        <f t="shared" ref="M109:M111" si="70">N109+O109</f>
        <v>10.933863312757996</v>
      </c>
      <c r="N109" s="555">
        <f>N110+N111</f>
        <v>6.405217705505823</v>
      </c>
      <c r="O109" s="555">
        <f t="shared" ref="O109:Q109" si="71">O110+O111</f>
        <v>4.528645607252173</v>
      </c>
      <c r="P109" s="555">
        <f t="shared" si="71"/>
        <v>3.4685018356463533</v>
      </c>
      <c r="Q109" s="590">
        <f t="shared" si="71"/>
        <v>5.4253651595649585E-2</v>
      </c>
      <c r="T109" s="555">
        <f>V109+W109+X109+Y109</f>
        <v>14.456618799999999</v>
      </c>
      <c r="U109" s="557">
        <f t="shared" ref="U109:U111" si="72">V109+W109</f>
        <v>11.142687388222775</v>
      </c>
      <c r="V109" s="555">
        <f>V110+V111</f>
        <v>6.3876974278588996</v>
      </c>
      <c r="W109" s="555">
        <f t="shared" ref="W109:Y109" si="73">W110+W111</f>
        <v>4.7549899603638757</v>
      </c>
      <c r="X109" s="555">
        <f t="shared" si="73"/>
        <v>3.2596777601811997</v>
      </c>
      <c r="Y109" s="590">
        <f t="shared" si="73"/>
        <v>5.4253651596024126E-2</v>
      </c>
      <c r="AA109" s="552"/>
    </row>
    <row r="110" spans="1:27" s="551" customFormat="1" ht="21" customHeight="1" outlineLevel="1">
      <c r="A110" s="553"/>
      <c r="B110" s="558" t="s">
        <v>112</v>
      </c>
      <c r="C110" s="549" t="s">
        <v>9</v>
      </c>
      <c r="D110" s="559">
        <f t="shared" si="65"/>
        <v>6.319618799999998</v>
      </c>
      <c r="E110" s="559">
        <f t="shared" si="69"/>
        <v>4.9178435136994132</v>
      </c>
      <c r="F110" s="591">
        <v>2.7923412322256671</v>
      </c>
      <c r="G110" s="591">
        <v>2.1255022814737456</v>
      </c>
      <c r="H110" s="561">
        <v>1.2713858213952098</v>
      </c>
      <c r="I110" s="592">
        <v>0.13038946490537465</v>
      </c>
      <c r="J110" s="562"/>
      <c r="K110" s="562"/>
      <c r="L110" s="559">
        <f>'[55]Свод АУП'!$C$25</f>
        <v>6.3196187999999998</v>
      </c>
      <c r="M110" s="559">
        <f t="shared" si="70"/>
        <v>4.7796686835192554</v>
      </c>
      <c r="N110" s="591">
        <f>$L$110*N92</f>
        <v>2.800000109970906</v>
      </c>
      <c r="O110" s="591">
        <f>$L$110*O92</f>
        <v>1.9796685735483495</v>
      </c>
      <c r="P110" s="591">
        <f>$L$110*P92</f>
        <v>1.5162334783556171</v>
      </c>
      <c r="Q110" s="591">
        <f>$L$110*Q92</f>
        <v>2.371663812512765E-2</v>
      </c>
      <c r="R110" s="562"/>
      <c r="S110" s="562"/>
      <c r="T110" s="559">
        <v>6.3196188000000006</v>
      </c>
      <c r="U110" s="559">
        <f t="shared" si="72"/>
        <v>4.8473311925895421</v>
      </c>
      <c r="V110" s="591">
        <v>2.7923412322256671</v>
      </c>
      <c r="W110" s="591">
        <v>2.054989960363875</v>
      </c>
      <c r="X110" s="559">
        <f>T110-V110-W110-Y110</f>
        <v>1.4485709692851672</v>
      </c>
      <c r="Y110" s="591">
        <v>2.371663812529138E-2</v>
      </c>
      <c r="AA110" s="552"/>
    </row>
    <row r="111" spans="1:27" s="551" customFormat="1" ht="21" customHeight="1" outlineLevel="1">
      <c r="A111" s="553"/>
      <c r="B111" s="558" t="s">
        <v>96</v>
      </c>
      <c r="C111" s="549" t="s">
        <v>9</v>
      </c>
      <c r="D111" s="559">
        <f t="shared" si="65"/>
        <v>8.1369999999999969</v>
      </c>
      <c r="E111" s="559">
        <f t="shared" si="69"/>
        <v>6.3321054540460775</v>
      </c>
      <c r="F111" s="591">
        <v>3.5953561956332325</v>
      </c>
      <c r="G111" s="591">
        <v>2.736749258412845</v>
      </c>
      <c r="H111" s="561">
        <v>1.6370079835658478</v>
      </c>
      <c r="I111" s="592">
        <v>0.16788656238807217</v>
      </c>
      <c r="J111" s="562"/>
      <c r="K111" s="562"/>
      <c r="L111" s="559">
        <f>'[55]Свод АУП'!$C$26</f>
        <v>8.1369999999999987</v>
      </c>
      <c r="M111" s="559">
        <f t="shared" si="70"/>
        <v>6.1541946292387415</v>
      </c>
      <c r="N111" s="591">
        <f>$L$111*N92</f>
        <v>3.6052175955349175</v>
      </c>
      <c r="O111" s="591">
        <f>$L$111*O92</f>
        <v>2.5489770337038236</v>
      </c>
      <c r="P111" s="591">
        <f>$L$111*P92</f>
        <v>1.9522683572907362</v>
      </c>
      <c r="Q111" s="591">
        <f>$L$111*Q92</f>
        <v>3.0537013470521936E-2</v>
      </c>
      <c r="R111" s="562"/>
      <c r="S111" s="562"/>
      <c r="T111" s="559">
        <v>8.1369999999999987</v>
      </c>
      <c r="U111" s="559">
        <f t="shared" si="72"/>
        <v>6.2953561956332322</v>
      </c>
      <c r="V111" s="591">
        <v>3.5953561956332325</v>
      </c>
      <c r="W111" s="591">
        <v>2.7</v>
      </c>
      <c r="X111" s="559">
        <f>T111-V111-W111-Y111</f>
        <v>1.8111067908960328</v>
      </c>
      <c r="Y111" s="591">
        <v>3.0537013470732746E-2</v>
      </c>
      <c r="AA111" s="552"/>
    </row>
    <row r="112" spans="1:27" s="551" customFormat="1" ht="24.75" hidden="1" customHeight="1">
      <c r="A112" s="553" t="s">
        <v>58</v>
      </c>
      <c r="B112" s="554" t="s">
        <v>59</v>
      </c>
      <c r="C112" s="539" t="s">
        <v>9</v>
      </c>
      <c r="D112" s="555">
        <f t="shared" si="65"/>
        <v>0</v>
      </c>
      <c r="E112" s="555"/>
      <c r="F112" s="555"/>
      <c r="G112" s="555"/>
      <c r="H112" s="555"/>
      <c r="I112" s="570"/>
      <c r="L112" s="555">
        <f>'[55]Свод АУП'!$C$27</f>
        <v>0</v>
      </c>
      <c r="M112" s="555"/>
      <c r="N112" s="555"/>
      <c r="O112" s="555"/>
      <c r="P112" s="555"/>
      <c r="Q112" s="570"/>
      <c r="T112" s="555">
        <v>0</v>
      </c>
      <c r="U112" s="555"/>
      <c r="V112" s="555"/>
      <c r="W112" s="555"/>
      <c r="X112" s="555"/>
      <c r="Y112" s="570"/>
      <c r="AA112" s="552"/>
    </row>
    <row r="113" spans="1:27" s="551" customFormat="1" ht="25.5" customHeight="1">
      <c r="A113" s="553" t="s">
        <v>60</v>
      </c>
      <c r="B113" s="554" t="s">
        <v>30</v>
      </c>
      <c r="C113" s="539" t="s">
        <v>9</v>
      </c>
      <c r="D113" s="555">
        <f t="shared" si="65"/>
        <v>1730.3571428571427</v>
      </c>
      <c r="E113" s="557">
        <f t="shared" ref="E113:E132" si="74">F113+G113</f>
        <v>385.78736385329057</v>
      </c>
      <c r="F113" s="555">
        <v>162.16557501037255</v>
      </c>
      <c r="G113" s="555">
        <v>223.62178884291802</v>
      </c>
      <c r="H113" s="570">
        <v>1229.2330535988931</v>
      </c>
      <c r="I113" s="570">
        <v>115.33672540495894</v>
      </c>
      <c r="L113" s="555">
        <f>'[55]Свод АУП'!$C$28</f>
        <v>903.125</v>
      </c>
      <c r="M113" s="557">
        <f t="shared" ref="M113:M132" si="75">N113+O113</f>
        <v>173.10644530440732</v>
      </c>
      <c r="N113" s="555">
        <f>$L$113*N90</f>
        <v>65.980066527090543</v>
      </c>
      <c r="O113" s="555">
        <f>$L$113*O90</f>
        <v>107.12637877731679</v>
      </c>
      <c r="P113" s="555">
        <f>$L$113*P90</f>
        <v>695.21881453317656</v>
      </c>
      <c r="Q113" s="555">
        <f>$L$113*Q90</f>
        <v>34.7997401624161</v>
      </c>
      <c r="T113" s="555">
        <v>903.125</v>
      </c>
      <c r="U113" s="557">
        <f t="shared" ref="U113:U132" si="76">V113+W113</f>
        <v>173.18006652709056</v>
      </c>
      <c r="V113" s="555">
        <v>65.980066527090543</v>
      </c>
      <c r="W113" s="555">
        <v>107.2</v>
      </c>
      <c r="X113" s="555">
        <f>T113-V113-W113-Y113</f>
        <v>695.14519331049326</v>
      </c>
      <c r="Y113" s="555">
        <v>34.7997401624161</v>
      </c>
      <c r="AA113" s="552"/>
    </row>
    <row r="114" spans="1:27" s="551" customFormat="1" ht="26.25" customHeight="1">
      <c r="A114" s="553" t="s">
        <v>61</v>
      </c>
      <c r="B114" s="554" t="s">
        <v>62</v>
      </c>
      <c r="C114" s="539" t="s">
        <v>9</v>
      </c>
      <c r="D114" s="555">
        <f>SUM(D115:D116)</f>
        <v>296.57707597199999</v>
      </c>
      <c r="E114" s="557">
        <f t="shared" si="74"/>
        <v>66.122585612374394</v>
      </c>
      <c r="F114" s="555">
        <f>SUM(F115:F116)</f>
        <v>27.794604286419837</v>
      </c>
      <c r="G114" s="555">
        <f>SUM(G115:G116)</f>
        <v>38.327981325954553</v>
      </c>
      <c r="H114" s="555">
        <f>SUM(H115:H116)</f>
        <v>210.68618477370052</v>
      </c>
      <c r="I114" s="555">
        <f>SUM(I115:I116)</f>
        <v>19.768305585925077</v>
      </c>
      <c r="L114" s="555">
        <f>SUM(L115:L116)</f>
        <v>296.57707597200005</v>
      </c>
      <c r="M114" s="557">
        <f t="shared" si="75"/>
        <v>56.846398206547363</v>
      </c>
      <c r="N114" s="555">
        <f>SUM(N115:N116)</f>
        <v>21.66718361582566</v>
      </c>
      <c r="O114" s="555">
        <f>SUM(O115:O116)</f>
        <v>35.179214590721699</v>
      </c>
      <c r="P114" s="555">
        <f>SUM(P115:P116)</f>
        <v>228.30279659512217</v>
      </c>
      <c r="Q114" s="555">
        <f>SUM(Q115:Q116)</f>
        <v>11.427881170330508</v>
      </c>
      <c r="T114" s="555">
        <f>SUM(T115:T116)</f>
        <v>296.57707597200005</v>
      </c>
      <c r="U114" s="557">
        <f t="shared" si="76"/>
        <v>66.122585612374394</v>
      </c>
      <c r="V114" s="555">
        <f>SUM(V115:V116)</f>
        <v>27.794604286419837</v>
      </c>
      <c r="W114" s="555">
        <f>SUM(W115:W116)</f>
        <v>38.327981325954553</v>
      </c>
      <c r="X114" s="555">
        <f>SUM(X115:X116)</f>
        <v>219.02660918929516</v>
      </c>
      <c r="Y114" s="555">
        <f>SUM(Y115:Y116)</f>
        <v>11.427881170330508</v>
      </c>
      <c r="AA114" s="552"/>
    </row>
    <row r="115" spans="1:27" s="551" customFormat="1" ht="20.25" customHeight="1" outlineLevel="1">
      <c r="A115" s="553"/>
      <c r="B115" s="558" t="s">
        <v>63</v>
      </c>
      <c r="C115" s="549" t="s">
        <v>9</v>
      </c>
      <c r="D115" s="559">
        <f>SUM(F115:I115)</f>
        <v>29.084922371999994</v>
      </c>
      <c r="E115" s="559">
        <f t="shared" si="74"/>
        <v>6.4845546921279933</v>
      </c>
      <c r="F115" s="559">
        <v>2.7257801547254488</v>
      </c>
      <c r="G115" s="559">
        <v>3.7587745374025445</v>
      </c>
      <c r="H115" s="561">
        <v>20.661716044346107</v>
      </c>
      <c r="I115" s="561">
        <v>1.9386516355258927</v>
      </c>
      <c r="J115" s="562"/>
      <c r="K115" s="562"/>
      <c r="L115" s="559">
        <f>'[55]Свод АУП'!$C$30</f>
        <v>29.084922371999994</v>
      </c>
      <c r="M115" s="559">
        <f t="shared" si="75"/>
        <v>5.5748512373941042</v>
      </c>
      <c r="N115" s="559">
        <f>$L$115*N90</f>
        <v>2.124872097483542</v>
      </c>
      <c r="O115" s="559">
        <f>$L$115*O90</f>
        <v>3.4499791399105622</v>
      </c>
      <c r="P115" s="559">
        <f>$L$115*P90</f>
        <v>22.389353912527394</v>
      </c>
      <c r="Q115" s="559">
        <f>$L$115*Q90</f>
        <v>1.1207172220784971</v>
      </c>
      <c r="R115" s="562"/>
      <c r="S115" s="562"/>
      <c r="T115" s="559">
        <v>29.084922371999994</v>
      </c>
      <c r="U115" s="559">
        <f t="shared" si="76"/>
        <v>6.4845546921279933</v>
      </c>
      <c r="V115" s="559">
        <v>2.7257801547254488</v>
      </c>
      <c r="W115" s="559">
        <v>3.7587745374025445</v>
      </c>
      <c r="X115" s="559">
        <f>T115-V115-W115-Y115</f>
        <v>21.479650457793504</v>
      </c>
      <c r="Y115" s="559">
        <v>1.1207172220784971</v>
      </c>
      <c r="AA115" s="552"/>
    </row>
    <row r="116" spans="1:27" s="551" customFormat="1" ht="20.25" customHeight="1" outlineLevel="1">
      <c r="A116" s="553"/>
      <c r="B116" s="558" t="s">
        <v>64</v>
      </c>
      <c r="C116" s="549" t="s">
        <v>9</v>
      </c>
      <c r="D116" s="559">
        <f>SUM(F116:I116)</f>
        <v>267.49215359999999</v>
      </c>
      <c r="E116" s="559">
        <f t="shared" si="74"/>
        <v>59.638030920246393</v>
      </c>
      <c r="F116" s="559">
        <v>25.068824131694388</v>
      </c>
      <c r="G116" s="559">
        <v>34.569206788552009</v>
      </c>
      <c r="H116" s="561">
        <v>190.0244687293544</v>
      </c>
      <c r="I116" s="561">
        <v>17.829653950399184</v>
      </c>
      <c r="J116" s="562"/>
      <c r="K116" s="562"/>
      <c r="L116" s="559">
        <f>'[55]Свод АУП'!$C$31</f>
        <v>267.49215360000005</v>
      </c>
      <c r="M116" s="559">
        <f t="shared" si="75"/>
        <v>51.271546969153256</v>
      </c>
      <c r="N116" s="559">
        <f>$L$116*N90</f>
        <v>19.542311518342117</v>
      </c>
      <c r="O116" s="559">
        <f>$L$116*O90</f>
        <v>31.729235450811139</v>
      </c>
      <c r="P116" s="559">
        <f>$L$116*P90</f>
        <v>205.91344268259479</v>
      </c>
      <c r="Q116" s="559">
        <f>$L$116*Q90</f>
        <v>10.307163948252011</v>
      </c>
      <c r="R116" s="562"/>
      <c r="S116" s="562"/>
      <c r="T116" s="559">
        <v>267.49215360000005</v>
      </c>
      <c r="U116" s="559">
        <f t="shared" si="76"/>
        <v>59.638030920246393</v>
      </c>
      <c r="V116" s="559">
        <v>25.068824131694388</v>
      </c>
      <c r="W116" s="559">
        <v>34.569206788552009</v>
      </c>
      <c r="X116" s="559">
        <f>T116-V116-W116-Y116</f>
        <v>197.54695873150166</v>
      </c>
      <c r="Y116" s="559">
        <v>10.307163948252011</v>
      </c>
      <c r="AA116" s="552"/>
    </row>
    <row r="117" spans="1:27" s="551" customFormat="1" ht="27" customHeight="1">
      <c r="A117" s="553" t="s">
        <v>120</v>
      </c>
      <c r="B117" s="554" t="s">
        <v>65</v>
      </c>
      <c r="C117" s="549" t="s">
        <v>9</v>
      </c>
      <c r="D117" s="555">
        <f>SUM(D118:D134)</f>
        <v>17169.74545690868</v>
      </c>
      <c r="E117" s="557">
        <f t="shared" si="74"/>
        <v>4003.6030680953136</v>
      </c>
      <c r="F117" s="555">
        <f>SUM(F118:F134)</f>
        <v>1735.4820130193887</v>
      </c>
      <c r="G117" s="555">
        <f>SUM(G118:G134)</f>
        <v>2268.1210550759251</v>
      </c>
      <c r="H117" s="555">
        <f>SUM(H118:H134)</f>
        <v>12103.674563862352</v>
      </c>
      <c r="I117" s="555">
        <f>SUM(I118:I134)</f>
        <v>1062.4678249510157</v>
      </c>
      <c r="L117" s="555">
        <f>SUM(L118:L134)</f>
        <v>16767.959742622967</v>
      </c>
      <c r="M117" s="557">
        <f t="shared" si="75"/>
        <v>3371.9296866089676</v>
      </c>
      <c r="N117" s="555">
        <f>SUM(N118:N134)</f>
        <v>1358.9716196773682</v>
      </c>
      <c r="O117" s="555">
        <f>SUM(O118:O134)</f>
        <v>2012.9580669315994</v>
      </c>
      <c r="P117" s="555">
        <f>SUM(P118:P134)</f>
        <v>12800.97104185008</v>
      </c>
      <c r="Q117" s="555">
        <f>SUM(Q118:Q134)</f>
        <v>630.93747402277529</v>
      </c>
      <c r="T117" s="555">
        <f>SUM(T118:T134)</f>
        <v>16767.959742622967</v>
      </c>
      <c r="U117" s="557">
        <f t="shared" si="76"/>
        <v>3726.5358117850019</v>
      </c>
      <c r="V117" s="555">
        <f>SUM(V118:V134)</f>
        <v>1574.0092885226488</v>
      </c>
      <c r="W117" s="555">
        <f>SUM(W118:W134)</f>
        <v>2152.5265232623533</v>
      </c>
      <c r="X117" s="555">
        <f>SUM(X118:X134)</f>
        <v>12446.364916674036</v>
      </c>
      <c r="Y117" s="555">
        <f>SUM(Y118:Y134)</f>
        <v>595.05901416393147</v>
      </c>
      <c r="AA117" s="552"/>
    </row>
    <row r="118" spans="1:27" s="551" customFormat="1" ht="19.5" customHeight="1" outlineLevel="1">
      <c r="A118" s="553"/>
      <c r="B118" s="558" t="s">
        <v>297</v>
      </c>
      <c r="C118" s="549" t="s">
        <v>9</v>
      </c>
      <c r="D118" s="559">
        <f t="shared" ref="D118:D135" si="77">SUM(F118:I118)</f>
        <v>1089.1199999999999</v>
      </c>
      <c r="E118" s="559">
        <f t="shared" si="74"/>
        <v>242.82197201562607</v>
      </c>
      <c r="F118" s="559">
        <v>102.07012568727171</v>
      </c>
      <c r="G118" s="559">
        <v>140.75184632835436</v>
      </c>
      <c r="H118" s="561">
        <v>773.70287912069227</v>
      </c>
      <c r="I118" s="561">
        <v>72.595148863681501</v>
      </c>
      <c r="J118" s="562"/>
      <c r="K118" s="562"/>
      <c r="L118" s="559">
        <f>'[55]Свод АУП'!$C$34</f>
        <v>1089.1200000000001</v>
      </c>
      <c r="M118" s="559">
        <f t="shared" si="75"/>
        <v>208.75702888297425</v>
      </c>
      <c r="N118" s="559">
        <f>$L$118*N90</f>
        <v>79.568398677907112</v>
      </c>
      <c r="O118" s="559">
        <f>$L$118*O90</f>
        <v>129.18863020506714</v>
      </c>
      <c r="P118" s="559">
        <f>$L$118*P90</f>
        <v>838.3963629446348</v>
      </c>
      <c r="Q118" s="559">
        <f>$L$118*Q90</f>
        <v>41.966608172391005</v>
      </c>
      <c r="R118" s="562"/>
      <c r="S118" s="562"/>
      <c r="T118" s="559">
        <v>1089.1200000000001</v>
      </c>
      <c r="U118" s="559">
        <f t="shared" si="76"/>
        <v>242.82197201562607</v>
      </c>
      <c r="V118" s="559">
        <v>102.07012568727171</v>
      </c>
      <c r="W118" s="559">
        <v>140.75184632835436</v>
      </c>
      <c r="X118" s="559">
        <f t="shared" ref="X118:X132" si="78">T118-V118-W118-Y118</f>
        <v>804.3314198119831</v>
      </c>
      <c r="Y118" s="559">
        <v>41.966608172391005</v>
      </c>
      <c r="AA118" s="552"/>
    </row>
    <row r="119" spans="1:27" s="551" customFormat="1" ht="22.5" customHeight="1" outlineLevel="1">
      <c r="A119" s="553"/>
      <c r="B119" s="558" t="s">
        <v>402</v>
      </c>
      <c r="C119" s="549" t="s">
        <v>9</v>
      </c>
      <c r="D119" s="559">
        <f t="shared" si="77"/>
        <v>158.00000000000003</v>
      </c>
      <c r="E119" s="559">
        <f t="shared" si="74"/>
        <v>35.226487052362387</v>
      </c>
      <c r="F119" s="559">
        <v>14.807440739853213</v>
      </c>
      <c r="G119" s="559">
        <v>20.419046312509174</v>
      </c>
      <c r="H119" s="561">
        <v>112.24204394471629</v>
      </c>
      <c r="I119" s="561">
        <v>10.531469002921328</v>
      </c>
      <c r="J119" s="562"/>
      <c r="K119" s="562"/>
      <c r="L119" s="559">
        <f>'[55]Свод АУП'!$C$35</f>
        <v>158</v>
      </c>
      <c r="M119" s="559">
        <f t="shared" si="75"/>
        <v>30.284643164674165</v>
      </c>
      <c r="N119" s="559">
        <f>$L$119*N90</f>
        <v>11.543087071313833</v>
      </c>
      <c r="O119" s="559">
        <f>$L$119*O90</f>
        <v>18.741556093360334</v>
      </c>
      <c r="P119" s="559">
        <f>$L$119*P90</f>
        <v>121.62720852179034</v>
      </c>
      <c r="Q119" s="559">
        <f>$D$118*Q90</f>
        <v>41.966608172390991</v>
      </c>
      <c r="R119" s="562"/>
      <c r="S119" s="562"/>
      <c r="T119" s="559">
        <v>158</v>
      </c>
      <c r="U119" s="559">
        <f t="shared" si="76"/>
        <v>35.226487052362387</v>
      </c>
      <c r="V119" s="559">
        <v>14.807440739853213</v>
      </c>
      <c r="W119" s="559">
        <v>20.419046312509174</v>
      </c>
      <c r="X119" s="559">
        <f t="shared" si="78"/>
        <v>116.68536463410211</v>
      </c>
      <c r="Y119" s="559">
        <v>6.0881483135354957</v>
      </c>
      <c r="AA119" s="552"/>
    </row>
    <row r="120" spans="1:27" s="551" customFormat="1" ht="19.5" customHeight="1" outlineLevel="1">
      <c r="A120" s="553"/>
      <c r="B120" s="558" t="s">
        <v>162</v>
      </c>
      <c r="C120" s="549" t="s">
        <v>9</v>
      </c>
      <c r="D120" s="559">
        <f t="shared" si="77"/>
        <v>463.51600000000008</v>
      </c>
      <c r="E120" s="559">
        <f t="shared" si="74"/>
        <v>103.34202767444813</v>
      </c>
      <c r="F120" s="559">
        <v>43.439782923884827</v>
      </c>
      <c r="G120" s="559">
        <v>59.902244750563305</v>
      </c>
      <c r="H120" s="561">
        <v>329.27837494353872</v>
      </c>
      <c r="I120" s="561">
        <v>30.895597382013182</v>
      </c>
      <c r="J120" s="562"/>
      <c r="K120" s="562"/>
      <c r="L120" s="559">
        <f>'[55]Свод АУП'!$C$36</f>
        <v>463.51599999999996</v>
      </c>
      <c r="M120" s="559">
        <f t="shared" si="75"/>
        <v>88.84440924757665</v>
      </c>
      <c r="N120" s="559">
        <f>$L$120*N90</f>
        <v>33.863326246500648</v>
      </c>
      <c r="O120" s="559">
        <f>$L$120*O90</f>
        <v>54.981083001076001</v>
      </c>
      <c r="P120" s="559">
        <f>$L$120*P90</f>
        <v>356.81112142522886</v>
      </c>
      <c r="Q120" s="559">
        <f>$L$120*Q90</f>
        <v>17.860469327194419</v>
      </c>
      <c r="R120" s="562"/>
      <c r="S120" s="562"/>
      <c r="T120" s="559">
        <v>463.51599999999996</v>
      </c>
      <c r="U120" s="559">
        <f t="shared" si="76"/>
        <v>103.34202767444813</v>
      </c>
      <c r="V120" s="559">
        <v>43.439782923884827</v>
      </c>
      <c r="W120" s="559">
        <v>59.902244750563305</v>
      </c>
      <c r="X120" s="559">
        <f t="shared" si="78"/>
        <v>342.31350299835742</v>
      </c>
      <c r="Y120" s="559">
        <v>17.860469327194419</v>
      </c>
      <c r="AA120" s="552"/>
    </row>
    <row r="121" spans="1:27" s="551" customFormat="1" ht="21" customHeight="1" outlineLevel="1">
      <c r="A121" s="553"/>
      <c r="B121" s="558" t="s">
        <v>403</v>
      </c>
      <c r="C121" s="549" t="s">
        <v>9</v>
      </c>
      <c r="D121" s="559">
        <f t="shared" si="77"/>
        <v>2749.6089285714284</v>
      </c>
      <c r="E121" s="559">
        <f t="shared" si="74"/>
        <v>613.0320463378572</v>
      </c>
      <c r="F121" s="559">
        <v>257.68779283286528</v>
      </c>
      <c r="G121" s="559">
        <v>355.34425350499191</v>
      </c>
      <c r="H121" s="561">
        <v>1953.3020645031552</v>
      </c>
      <c r="I121" s="561">
        <v>183.27481773041598</v>
      </c>
      <c r="J121" s="562"/>
      <c r="K121" s="562"/>
      <c r="L121" s="559">
        <f>'[55]Свод АУП'!$C$37</f>
        <v>2749.6089285714284</v>
      </c>
      <c r="M121" s="559">
        <f t="shared" si="75"/>
        <v>527.03117243156817</v>
      </c>
      <c r="N121" s="559">
        <f>$L$121*N90</f>
        <v>200.87959034532872</v>
      </c>
      <c r="O121" s="559">
        <f>$L$121*O90</f>
        <v>326.15158208623944</v>
      </c>
      <c r="P121" s="559">
        <f>$L$121*P90</f>
        <v>2116.6282184097063</v>
      </c>
      <c r="Q121" s="559">
        <f>$L$121*Q90</f>
        <v>105.94953773015366</v>
      </c>
      <c r="R121" s="562"/>
      <c r="S121" s="562"/>
      <c r="T121" s="559">
        <v>2749.6089285714284</v>
      </c>
      <c r="U121" s="559">
        <f t="shared" si="76"/>
        <v>613.0320463378572</v>
      </c>
      <c r="V121" s="559">
        <v>257.68779283286528</v>
      </c>
      <c r="W121" s="559">
        <v>355.34425350499191</v>
      </c>
      <c r="X121" s="559">
        <f t="shared" si="78"/>
        <v>2030.6273445034176</v>
      </c>
      <c r="Y121" s="559">
        <v>105.94953773015366</v>
      </c>
      <c r="AA121" s="552"/>
    </row>
    <row r="122" spans="1:27" s="551" customFormat="1" ht="19.5" customHeight="1" outlineLevel="1">
      <c r="A122" s="553"/>
      <c r="B122" s="558" t="s">
        <v>95</v>
      </c>
      <c r="C122" s="549" t="s">
        <v>9</v>
      </c>
      <c r="D122" s="559">
        <f t="shared" si="77"/>
        <v>69.40000000000002</v>
      </c>
      <c r="E122" s="559">
        <f t="shared" si="74"/>
        <v>21.940131024190826</v>
      </c>
      <c r="F122" s="559">
        <v>11.158977475419155</v>
      </c>
      <c r="G122" s="559">
        <v>10.781153548771671</v>
      </c>
      <c r="H122" s="561">
        <v>45.853843616918184</v>
      </c>
      <c r="I122" s="561">
        <v>1.6060253588910109</v>
      </c>
      <c r="J122" s="562"/>
      <c r="K122" s="562"/>
      <c r="L122" s="559">
        <f>'[55]Свод АУП'!$C$38</f>
        <v>69.399999999999977</v>
      </c>
      <c r="M122" s="559">
        <f t="shared" si="75"/>
        <v>19.119880220285751</v>
      </c>
      <c r="N122" s="559">
        <f>$L$122*N91</f>
        <v>10.004288125331355</v>
      </c>
      <c r="O122" s="559">
        <f>$L$122*O91</f>
        <v>9.115592094954394</v>
      </c>
      <c r="P122" s="559">
        <f>$L$122*P91</f>
        <v>49.486597523408378</v>
      </c>
      <c r="Q122" s="559">
        <f>$L$122*Q91</f>
        <v>0.79352225630585183</v>
      </c>
      <c r="R122" s="562"/>
      <c r="S122" s="562"/>
      <c r="T122" s="559">
        <v>69.399999999999991</v>
      </c>
      <c r="U122" s="559">
        <f t="shared" si="76"/>
        <v>21.940131024190826</v>
      </c>
      <c r="V122" s="559">
        <v>11.158977475419155</v>
      </c>
      <c r="W122" s="559">
        <v>10.781153548771671</v>
      </c>
      <c r="X122" s="559">
        <f t="shared" si="78"/>
        <v>46.666346719502883</v>
      </c>
      <c r="Y122" s="559">
        <v>0.79352225630628381</v>
      </c>
      <c r="AA122" s="552"/>
    </row>
    <row r="123" spans="1:27" s="551" customFormat="1" ht="19.5" customHeight="1" outlineLevel="1">
      <c r="A123" s="553"/>
      <c r="B123" s="558" t="s">
        <v>121</v>
      </c>
      <c r="C123" s="549" t="s">
        <v>9</v>
      </c>
      <c r="D123" s="559">
        <f t="shared" si="77"/>
        <v>1457.6375</v>
      </c>
      <c r="E123" s="559">
        <f t="shared" si="74"/>
        <v>324.98385139739162</v>
      </c>
      <c r="F123" s="559">
        <v>136.60684114834044</v>
      </c>
      <c r="G123" s="559">
        <v>188.37701024905121</v>
      </c>
      <c r="H123" s="561">
        <v>1035.4950147497873</v>
      </c>
      <c r="I123" s="561">
        <v>97.15863385282114</v>
      </c>
      <c r="J123" s="562"/>
      <c r="K123" s="562"/>
      <c r="L123" s="559">
        <f>'[55]Свод АУП'!$C$39</f>
        <v>1457.6374999999998</v>
      </c>
      <c r="M123" s="559">
        <f t="shared" si="75"/>
        <v>279.39260475283379</v>
      </c>
      <c r="N123" s="559">
        <f>$L$123*N90</f>
        <v>106.49137076526719</v>
      </c>
      <c r="O123" s="559">
        <f>$L$123*O90</f>
        <v>172.9012339875666</v>
      </c>
      <c r="P123" s="559">
        <f>$L$123*P90</f>
        <v>1122.0783554536781</v>
      </c>
      <c r="Q123" s="559">
        <f>$L$123*Q90</f>
        <v>56.166539793487935</v>
      </c>
      <c r="R123" s="562"/>
      <c r="S123" s="562"/>
      <c r="T123" s="559">
        <v>1457.6374999999998</v>
      </c>
      <c r="U123" s="559">
        <f t="shared" si="76"/>
        <v>324.98385139739162</v>
      </c>
      <c r="V123" s="559">
        <v>136.60684114834044</v>
      </c>
      <c r="W123" s="559">
        <v>188.37701024905121</v>
      </c>
      <c r="X123" s="559">
        <f t="shared" si="78"/>
        <v>1076.4871088091202</v>
      </c>
      <c r="Y123" s="559">
        <v>56.166539793487935</v>
      </c>
      <c r="AA123" s="552"/>
    </row>
    <row r="124" spans="1:27" s="551" customFormat="1" ht="19.5" customHeight="1" outlineLevel="1">
      <c r="A124" s="553"/>
      <c r="B124" s="558" t="s">
        <v>101</v>
      </c>
      <c r="C124" s="549" t="s">
        <v>9</v>
      </c>
      <c r="D124" s="559">
        <f t="shared" si="77"/>
        <v>438.87040000000002</v>
      </c>
      <c r="E124" s="559">
        <f t="shared" si="74"/>
        <v>97.847230780158867</v>
      </c>
      <c r="F124" s="559">
        <v>41.130047091618202</v>
      </c>
      <c r="G124" s="559">
        <v>56.717183688540672</v>
      </c>
      <c r="H124" s="561">
        <v>311.77032103060264</v>
      </c>
      <c r="I124" s="561">
        <v>29.252848189238513</v>
      </c>
      <c r="J124" s="562"/>
      <c r="K124" s="562"/>
      <c r="L124" s="559">
        <f>'[55]Свод АУП'!$C$40</f>
        <v>438.8703999999999</v>
      </c>
      <c r="M124" s="559">
        <f t="shared" si="75"/>
        <v>84.120464933783637</v>
      </c>
      <c r="N124" s="559">
        <f>$L$124*N90</f>
        <v>32.062780001407148</v>
      </c>
      <c r="O124" s="559">
        <f>$L$124*O90</f>
        <v>52.057684932376496</v>
      </c>
      <c r="P124" s="559">
        <f>$L$124*P90</f>
        <v>337.83912439773115</v>
      </c>
      <c r="Q124" s="559">
        <f>$L$124*Q90</f>
        <v>16.910810668485109</v>
      </c>
      <c r="R124" s="562"/>
      <c r="S124" s="562"/>
      <c r="T124" s="559">
        <v>438.8703999999999</v>
      </c>
      <c r="U124" s="559">
        <f t="shared" si="76"/>
        <v>97.847230780158867</v>
      </c>
      <c r="V124" s="559">
        <v>41.130047091618202</v>
      </c>
      <c r="W124" s="559">
        <v>56.717183688540672</v>
      </c>
      <c r="X124" s="559">
        <f t="shared" si="78"/>
        <v>324.1123585513559</v>
      </c>
      <c r="Y124" s="559">
        <v>16.910810668485109</v>
      </c>
      <c r="AA124" s="552"/>
    </row>
    <row r="125" spans="1:27" s="551" customFormat="1" ht="19.5" customHeight="1" outlineLevel="1">
      <c r="A125" s="553"/>
      <c r="B125" s="558" t="s">
        <v>102</v>
      </c>
      <c r="C125" s="549" t="s">
        <v>9</v>
      </c>
      <c r="D125" s="559">
        <f t="shared" si="77"/>
        <v>1899.8759999999995</v>
      </c>
      <c r="E125" s="559">
        <f t="shared" si="74"/>
        <v>423.58200832337997</v>
      </c>
      <c r="F125" s="559">
        <v>178.05253976626179</v>
      </c>
      <c r="G125" s="559">
        <v>245.52946855711818</v>
      </c>
      <c r="H125" s="561">
        <v>1349.6580093766565</v>
      </c>
      <c r="I125" s="561">
        <v>126.63598229996303</v>
      </c>
      <c r="J125" s="562"/>
      <c r="K125" s="562"/>
      <c r="L125" s="559">
        <f>'[55]Свод АУП'!$C$41</f>
        <v>1899.876</v>
      </c>
      <c r="M125" s="559">
        <f t="shared" si="75"/>
        <v>364.15865010840821</v>
      </c>
      <c r="N125" s="559">
        <f>$L$125*N90</f>
        <v>138.80021577657874</v>
      </c>
      <c r="O125" s="559">
        <f>$L$125*O90</f>
        <v>225.3584343318295</v>
      </c>
      <c r="P125" s="559">
        <f>$L$125*P90</f>
        <v>1462.5102178325628</v>
      </c>
      <c r="Q125" s="559">
        <f>$L$125*Q90</f>
        <v>73.207132059028865</v>
      </c>
      <c r="R125" s="562"/>
      <c r="S125" s="562"/>
      <c r="T125" s="559">
        <v>1899.876</v>
      </c>
      <c r="U125" s="559">
        <f t="shared" si="76"/>
        <v>423.58200832337997</v>
      </c>
      <c r="V125" s="559">
        <v>178.05253976626179</v>
      </c>
      <c r="W125" s="559">
        <v>245.52946855711818</v>
      </c>
      <c r="X125" s="559">
        <f t="shared" si="78"/>
        <v>1403.086859617591</v>
      </c>
      <c r="Y125" s="559">
        <v>73.207132059028865</v>
      </c>
      <c r="AA125" s="552"/>
    </row>
    <row r="126" spans="1:27" s="551" customFormat="1" ht="19.5" customHeight="1" outlineLevel="1">
      <c r="A126" s="553"/>
      <c r="B126" s="558" t="s">
        <v>103</v>
      </c>
      <c r="C126" s="549" t="s">
        <v>9</v>
      </c>
      <c r="D126" s="559">
        <f t="shared" si="77"/>
        <v>6428.5714285714266</v>
      </c>
      <c r="E126" s="559">
        <f t="shared" si="74"/>
        <v>1433.2657480617604</v>
      </c>
      <c r="F126" s="559">
        <v>602.47272449673994</v>
      </c>
      <c r="G126" s="559">
        <v>830.79302356502035</v>
      </c>
      <c r="H126" s="561">
        <v>4566.8101062497572</v>
      </c>
      <c r="I126" s="561">
        <v>428.49557425990929</v>
      </c>
      <c r="J126" s="562"/>
      <c r="K126" s="562"/>
      <c r="L126" s="559">
        <f>'[55]Свод АУП'!$C$42</f>
        <v>6026.7857142857138</v>
      </c>
      <c r="M126" s="559">
        <f t="shared" si="75"/>
        <v>1155.1838910575871</v>
      </c>
      <c r="N126" s="559">
        <f>$L$126*N90</f>
        <v>440.30197633006537</v>
      </c>
      <c r="O126" s="559">
        <f>$L$126*O90</f>
        <v>714.8819147275218</v>
      </c>
      <c r="P126" s="559">
        <f>$L$126*P90</f>
        <v>4639.3741948580737</v>
      </c>
      <c r="Q126" s="559">
        <f>$L$126*Q90</f>
        <v>232.22762837005303</v>
      </c>
      <c r="R126" s="562"/>
      <c r="S126" s="562"/>
      <c r="T126" s="559">
        <v>6026.7857142857138</v>
      </c>
      <c r="U126" s="559">
        <f t="shared" si="76"/>
        <v>1155.8819147275217</v>
      </c>
      <c r="V126" s="559">
        <v>441</v>
      </c>
      <c r="W126" s="559">
        <v>714.8819147275218</v>
      </c>
      <c r="X126" s="559">
        <f t="shared" si="78"/>
        <v>4638.6761711881391</v>
      </c>
      <c r="Y126" s="559">
        <v>232.22762837005303</v>
      </c>
      <c r="AA126" s="552"/>
    </row>
    <row r="127" spans="1:27" s="551" customFormat="1" ht="19.5" customHeight="1" outlineLevel="1">
      <c r="A127" s="553"/>
      <c r="B127" s="558" t="s">
        <v>106</v>
      </c>
      <c r="C127" s="549" t="s">
        <v>9</v>
      </c>
      <c r="D127" s="559">
        <f t="shared" si="77"/>
        <v>281.31712707182322</v>
      </c>
      <c r="E127" s="559">
        <f t="shared" si="74"/>
        <v>62.720342622806108</v>
      </c>
      <c r="F127" s="559">
        <v>26.364472710264423</v>
      </c>
      <c r="G127" s="559">
        <v>36.355869912541685</v>
      </c>
      <c r="H127" s="561">
        <v>199.84562872909441</v>
      </c>
      <c r="I127" s="561">
        <v>18.751155719922703</v>
      </c>
      <c r="J127" s="562"/>
      <c r="K127" s="562"/>
      <c r="L127" s="559">
        <f>'[55]Свод АУП'!$C$43</f>
        <v>281.31712707182322</v>
      </c>
      <c r="M127" s="559">
        <f t="shared" si="75"/>
        <v>53.921448161275094</v>
      </c>
      <c r="N127" s="559">
        <f>$L$127*N90</f>
        <v>20.552329698999451</v>
      </c>
      <c r="O127" s="559">
        <f>$L$127*O90</f>
        <v>33.369118462275644</v>
      </c>
      <c r="P127" s="559">
        <f>$L$127*P90</f>
        <v>216.55580300706094</v>
      </c>
      <c r="Q127" s="559">
        <f>$L$127*Q90</f>
        <v>10.839875903487158</v>
      </c>
      <c r="R127" s="562"/>
      <c r="S127" s="562"/>
      <c r="T127" s="559">
        <v>281.31712707182322</v>
      </c>
      <c r="U127" s="559">
        <f t="shared" si="76"/>
        <v>62.720342622806108</v>
      </c>
      <c r="V127" s="559">
        <v>26.364472710264423</v>
      </c>
      <c r="W127" s="559">
        <v>36.355869912541685</v>
      </c>
      <c r="X127" s="559">
        <f t="shared" si="78"/>
        <v>207.75690854552997</v>
      </c>
      <c r="Y127" s="559">
        <v>10.839875903487158</v>
      </c>
      <c r="AA127" s="552"/>
    </row>
    <row r="128" spans="1:27" s="551" customFormat="1" ht="19.5" customHeight="1">
      <c r="A128" s="553"/>
      <c r="B128" s="558" t="s">
        <v>163</v>
      </c>
      <c r="C128" s="549" t="s">
        <v>9</v>
      </c>
      <c r="D128" s="559">
        <f t="shared" si="77"/>
        <v>15.722651933701655</v>
      </c>
      <c r="E128" s="559">
        <f t="shared" si="74"/>
        <v>3.5054037643755813</v>
      </c>
      <c r="F128" s="559">
        <v>1.4734951695039609</v>
      </c>
      <c r="G128" s="559">
        <v>2.0319085948716205</v>
      </c>
      <c r="H128" s="561">
        <v>11.169256894114049</v>
      </c>
      <c r="I128" s="561">
        <v>1.047991275212026</v>
      </c>
      <c r="J128" s="562"/>
      <c r="K128" s="562"/>
      <c r="L128" s="559">
        <f>'[55]Свод АУП'!$C$44</f>
        <v>15.722651933701659</v>
      </c>
      <c r="M128" s="559">
        <f t="shared" si="75"/>
        <v>3.0136386292058801</v>
      </c>
      <c r="N128" s="559">
        <f>$L$128*N90</f>
        <v>1.1486578497637916</v>
      </c>
      <c r="O128" s="559">
        <f>$L$128*O90</f>
        <v>1.8649807794420885</v>
      </c>
      <c r="P128" s="559">
        <f>$L$128*P90</f>
        <v>12.103178894024442</v>
      </c>
      <c r="Q128" s="559">
        <f>$L$128*Q90</f>
        <v>0.60583441047133757</v>
      </c>
      <c r="R128" s="562"/>
      <c r="S128" s="562"/>
      <c r="T128" s="559">
        <v>15.722651933701659</v>
      </c>
      <c r="U128" s="559">
        <f t="shared" si="76"/>
        <v>3.5054037643755813</v>
      </c>
      <c r="V128" s="559">
        <v>1.4734951695039609</v>
      </c>
      <c r="W128" s="559">
        <v>2.0319085948716205</v>
      </c>
      <c r="X128" s="559">
        <f t="shared" si="78"/>
        <v>11.611413758854741</v>
      </c>
      <c r="Y128" s="559">
        <v>0.60583441047133757</v>
      </c>
      <c r="AA128" s="552"/>
    </row>
    <row r="129" spans="1:27" s="551" customFormat="1" ht="34.5" customHeight="1" outlineLevel="1">
      <c r="A129" s="553"/>
      <c r="B129" s="558" t="s">
        <v>110</v>
      </c>
      <c r="C129" s="549" t="s">
        <v>9</v>
      </c>
      <c r="D129" s="559">
        <f t="shared" si="77"/>
        <v>1606.6637374617146</v>
      </c>
      <c r="E129" s="559">
        <f t="shared" si="74"/>
        <v>507.93102178279742</v>
      </c>
      <c r="F129" s="559">
        <v>258.33896911971215</v>
      </c>
      <c r="G129" s="559">
        <v>249.59205266308524</v>
      </c>
      <c r="H129" s="561">
        <v>1061.551985051048</v>
      </c>
      <c r="I129" s="561">
        <v>37.180730627869195</v>
      </c>
      <c r="J129" s="562"/>
      <c r="K129" s="562"/>
      <c r="L129" s="559">
        <f>'[55]Свод АУП'!$C$45</f>
        <v>1606.6637374617144</v>
      </c>
      <c r="M129" s="559">
        <f t="shared" si="75"/>
        <v>442.64003190986477</v>
      </c>
      <c r="N129" s="559">
        <f>$L$129*N91</f>
        <v>231.60701657188369</v>
      </c>
      <c r="O129" s="559">
        <f>$L$129*O91</f>
        <v>211.03301533798111</v>
      </c>
      <c r="P129" s="559">
        <f>$L$129*P91</f>
        <v>1145.653050882175</v>
      </c>
      <c r="Q129" s="559">
        <f>$L$129*Q91</f>
        <v>18.370654669674536</v>
      </c>
      <c r="R129" s="562"/>
      <c r="S129" s="562"/>
      <c r="T129" s="559">
        <v>1606.6637374617142</v>
      </c>
      <c r="U129" s="559">
        <f t="shared" si="76"/>
        <v>507.93102178279742</v>
      </c>
      <c r="V129" s="559">
        <v>258.33896911971215</v>
      </c>
      <c r="W129" s="559">
        <v>249.59205266308524</v>
      </c>
      <c r="X129" s="559">
        <f t="shared" si="78"/>
        <v>1080.3620610092323</v>
      </c>
      <c r="Y129" s="559">
        <v>18.37065466968453</v>
      </c>
      <c r="AA129" s="552"/>
    </row>
    <row r="130" spans="1:27" s="551" customFormat="1" ht="24" customHeight="1" outlineLevel="1">
      <c r="A130" s="553"/>
      <c r="B130" s="558" t="s">
        <v>164</v>
      </c>
      <c r="C130" s="549" t="s">
        <v>9</v>
      </c>
      <c r="D130" s="559">
        <f t="shared" si="77"/>
        <v>210</v>
      </c>
      <c r="E130" s="559">
        <f t="shared" si="74"/>
        <v>46.82001443668419</v>
      </c>
      <c r="F130" s="559">
        <v>19.680775666893513</v>
      </c>
      <c r="G130" s="559">
        <v>27.139238769790673</v>
      </c>
      <c r="H130" s="561">
        <v>149.18246347082544</v>
      </c>
      <c r="I130" s="561">
        <v>13.997522092490374</v>
      </c>
      <c r="J130" s="562"/>
      <c r="K130" s="562"/>
      <c r="L130" s="559">
        <f>'[55]Свод АУП'!$C$49</f>
        <v>210</v>
      </c>
      <c r="M130" s="559">
        <f t="shared" si="75"/>
        <v>40.251740915073263</v>
      </c>
      <c r="N130" s="559">
        <f>$L$130*N90</f>
        <v>15.342077753012058</v>
      </c>
      <c r="O130" s="559">
        <f>$L$130*O90</f>
        <v>24.909663162061204</v>
      </c>
      <c r="P130" s="559">
        <f>$L$130*P90</f>
        <v>161.65641638972133</v>
      </c>
      <c r="Q130" s="559">
        <f>$L$130*Q90</f>
        <v>8.0918426952054041</v>
      </c>
      <c r="R130" s="562"/>
      <c r="S130" s="562"/>
      <c r="T130" s="559">
        <v>210</v>
      </c>
      <c r="U130" s="559">
        <f t="shared" si="76"/>
        <v>46.82001443668419</v>
      </c>
      <c r="V130" s="559">
        <v>19.680775666893513</v>
      </c>
      <c r="W130" s="559">
        <v>27.139238769790673</v>
      </c>
      <c r="X130" s="559">
        <f t="shared" si="78"/>
        <v>155.08814286811042</v>
      </c>
      <c r="Y130" s="559">
        <v>8.0918426952054041</v>
      </c>
      <c r="AA130" s="552"/>
    </row>
    <row r="131" spans="1:27" s="551" customFormat="1" outlineLevel="1">
      <c r="A131" s="553"/>
      <c r="B131" s="558" t="s">
        <v>130</v>
      </c>
      <c r="C131" s="549"/>
      <c r="D131" s="559">
        <f t="shared" si="77"/>
        <v>93.499999999999986</v>
      </c>
      <c r="E131" s="559">
        <f t="shared" si="74"/>
        <v>20.846054046809385</v>
      </c>
      <c r="F131" s="559">
        <v>8.7626310707359192</v>
      </c>
      <c r="G131" s="559">
        <v>12.083422976073464</v>
      </c>
      <c r="H131" s="561">
        <v>66.421715878677034</v>
      </c>
      <c r="I131" s="561">
        <v>6.2322300745135699</v>
      </c>
      <c r="J131" s="562"/>
      <c r="K131" s="562"/>
      <c r="L131" s="559">
        <f>'[55]Свод АУП'!$C$50</f>
        <v>93.500000000000014</v>
      </c>
      <c r="M131" s="559">
        <f t="shared" si="75"/>
        <v>17.921608455044527</v>
      </c>
      <c r="N131" s="559">
        <f>$L$131*N90</f>
        <v>6.8308774757458455</v>
      </c>
      <c r="O131" s="559">
        <f>$L$131*O90</f>
        <v>11.090730979298682</v>
      </c>
      <c r="P131" s="559">
        <f>$L$131*P90</f>
        <v>71.97559491637594</v>
      </c>
      <c r="Q131" s="559">
        <f>$L$131*Q90</f>
        <v>3.6027966285795494</v>
      </c>
      <c r="R131" s="562"/>
      <c r="S131" s="562"/>
      <c r="T131" s="559">
        <v>93.500000000000014</v>
      </c>
      <c r="U131" s="559">
        <f t="shared" si="76"/>
        <v>21.16263107073592</v>
      </c>
      <c r="V131" s="559">
        <v>8.7626310707359192</v>
      </c>
      <c r="W131" s="559">
        <v>12.4</v>
      </c>
      <c r="X131" s="559">
        <f t="shared" si="78"/>
        <v>68.734572300684533</v>
      </c>
      <c r="Y131" s="559">
        <v>3.6027966285795494</v>
      </c>
      <c r="AA131" s="552"/>
    </row>
    <row r="132" spans="1:27" s="551" customFormat="1" ht="20.25" customHeight="1" outlineLevel="1">
      <c r="A132" s="553"/>
      <c r="B132" s="558" t="s">
        <v>94</v>
      </c>
      <c r="C132" s="549"/>
      <c r="D132" s="559">
        <f t="shared" si="77"/>
        <v>207.94168329858704</v>
      </c>
      <c r="E132" s="559">
        <f t="shared" si="74"/>
        <v>65.738728774665589</v>
      </c>
      <c r="F132" s="559">
        <v>33.435397120024142</v>
      </c>
      <c r="G132" s="559">
        <v>32.30333165464144</v>
      </c>
      <c r="H132" s="561">
        <v>137.3908563027685</v>
      </c>
      <c r="I132" s="561">
        <v>4.8120982211529402</v>
      </c>
      <c r="J132" s="562"/>
      <c r="K132" s="562"/>
      <c r="L132" s="559">
        <f>'[55]Свод АУП'!$C$51</f>
        <v>207.94168329858695</v>
      </c>
      <c r="M132" s="559">
        <f t="shared" si="75"/>
        <v>57.288473738812357</v>
      </c>
      <c r="N132" s="559">
        <f>$L$132*N91</f>
        <v>29.975626988263219</v>
      </c>
      <c r="O132" s="559">
        <f>$L$132*O91</f>
        <v>27.312846750549134</v>
      </c>
      <c r="P132" s="559">
        <f>$L$132*P91</f>
        <v>148.27559639390816</v>
      </c>
      <c r="Q132" s="559">
        <f>$L$132*Q91</f>
        <v>2.3776131658664501</v>
      </c>
      <c r="R132" s="562"/>
      <c r="S132" s="562"/>
      <c r="T132" s="559">
        <v>207.94168329858695</v>
      </c>
      <c r="U132" s="559">
        <f t="shared" si="76"/>
        <v>65.738728774665589</v>
      </c>
      <c r="V132" s="559">
        <v>33.435397120024142</v>
      </c>
      <c r="W132" s="559">
        <v>32.30333165464144</v>
      </c>
      <c r="X132" s="559">
        <f t="shared" si="78"/>
        <v>139.82534135805363</v>
      </c>
      <c r="Y132" s="559">
        <v>2.3776131658677437</v>
      </c>
      <c r="AA132" s="552"/>
    </row>
    <row r="133" spans="1:27" s="551" customFormat="1" hidden="1" outlineLevel="1">
      <c r="A133" s="553"/>
      <c r="B133" s="558" t="s">
        <v>165</v>
      </c>
      <c r="C133" s="549"/>
      <c r="D133" s="559">
        <f t="shared" si="77"/>
        <v>0</v>
      </c>
      <c r="E133" s="559"/>
      <c r="F133" s="559">
        <v>0</v>
      </c>
      <c r="G133" s="559">
        <v>0</v>
      </c>
      <c r="H133" s="559">
        <v>0</v>
      </c>
      <c r="I133" s="561">
        <v>0</v>
      </c>
      <c r="L133" s="559">
        <v>0</v>
      </c>
      <c r="M133" s="559"/>
      <c r="N133" s="559">
        <v>0</v>
      </c>
      <c r="O133" s="559">
        <v>0</v>
      </c>
      <c r="P133" s="559">
        <v>0</v>
      </c>
      <c r="Q133" s="561">
        <v>0</v>
      </c>
      <c r="T133" s="559">
        <v>0</v>
      </c>
      <c r="U133" s="559"/>
      <c r="V133" s="559">
        <v>0</v>
      </c>
      <c r="W133" s="559">
        <v>0</v>
      </c>
      <c r="X133" s="559">
        <v>0</v>
      </c>
      <c r="Y133" s="561">
        <v>0</v>
      </c>
      <c r="AA133" s="552"/>
    </row>
    <row r="134" spans="1:27" s="551" customFormat="1" hidden="1" outlineLevel="1">
      <c r="A134" s="553"/>
      <c r="B134" s="558" t="s">
        <v>114</v>
      </c>
      <c r="C134" s="549"/>
      <c r="D134" s="559">
        <f t="shared" si="77"/>
        <v>0</v>
      </c>
      <c r="E134" s="559"/>
      <c r="F134" s="559">
        <v>0</v>
      </c>
      <c r="G134" s="559">
        <v>0</v>
      </c>
      <c r="H134" s="559">
        <v>0</v>
      </c>
      <c r="I134" s="561">
        <v>0</v>
      </c>
      <c r="L134" s="559">
        <v>0</v>
      </c>
      <c r="M134" s="559"/>
      <c r="N134" s="559">
        <v>0</v>
      </c>
      <c r="O134" s="559">
        <v>0</v>
      </c>
      <c r="P134" s="559">
        <v>0</v>
      </c>
      <c r="Q134" s="561">
        <v>0</v>
      </c>
      <c r="T134" s="559">
        <v>0</v>
      </c>
      <c r="U134" s="559"/>
      <c r="V134" s="559">
        <v>0</v>
      </c>
      <c r="W134" s="559">
        <v>0</v>
      </c>
      <c r="X134" s="559">
        <v>0</v>
      </c>
      <c r="Y134" s="561">
        <v>0</v>
      </c>
      <c r="AA134" s="552"/>
    </row>
    <row r="135" spans="1:27" s="551" customFormat="1" ht="32.25" customHeight="1" collapsed="1">
      <c r="A135" s="553">
        <v>7</v>
      </c>
      <c r="B135" s="554" t="s">
        <v>66</v>
      </c>
      <c r="C135" s="549" t="s">
        <v>9</v>
      </c>
      <c r="D135" s="555">
        <f t="shared" si="77"/>
        <v>3060199.0170137505</v>
      </c>
      <c r="E135" s="555">
        <f t="shared" ref="E135:E140" si="79">F135+G135</f>
        <v>2381406.2782474156</v>
      </c>
      <c r="F135" s="557">
        <v>1352157.4899460636</v>
      </c>
      <c r="G135" s="557">
        <v>1029248.7883013519</v>
      </c>
      <c r="H135" s="570">
        <v>615653.21643749182</v>
      </c>
      <c r="I135" s="557">
        <v>63139.522328843101</v>
      </c>
      <c r="L135" s="555">
        <f>'[55]Свод АУП'!$C$54</f>
        <v>3060384.8732380006</v>
      </c>
      <c r="M135" s="555">
        <f t="shared" ref="M135:M140" si="80">N135+O135</f>
        <v>2314637.354096693</v>
      </c>
      <c r="N135" s="557">
        <f>$L$135*N92</f>
        <v>1355948.5552545828</v>
      </c>
      <c r="O135" s="557">
        <f>$L$135*O92</f>
        <v>958688.79884211032</v>
      </c>
      <c r="P135" s="557">
        <f>$L$135*P92</f>
        <v>734262.32630622713</v>
      </c>
      <c r="Q135" s="557">
        <f>$L$135*Q92</f>
        <v>11485.192835080547</v>
      </c>
      <c r="T135" s="555">
        <v>3060384.8732379996</v>
      </c>
      <c r="U135" s="555">
        <f t="shared" ref="U135:U140" si="81">V135+W135</f>
        <v>1734403.4</v>
      </c>
      <c r="V135" s="557">
        <v>944195</v>
      </c>
      <c r="W135" s="557">
        <v>790208.4</v>
      </c>
      <c r="X135" s="555">
        <f>T135-V135-W135-Y135</f>
        <v>1314496.2804028399</v>
      </c>
      <c r="Y135" s="557">
        <v>11485.192835159829</v>
      </c>
      <c r="AA135" s="569"/>
    </row>
    <row r="136" spans="1:27" s="556" customFormat="1" ht="27.75" customHeight="1">
      <c r="A136" s="547" t="s">
        <v>67</v>
      </c>
      <c r="B136" s="548" t="s">
        <v>68</v>
      </c>
      <c r="C136" s="549" t="s">
        <v>9</v>
      </c>
      <c r="D136" s="550">
        <f>D6+D94</f>
        <v>8437981.3526431881</v>
      </c>
      <c r="E136" s="550">
        <f t="shared" si="79"/>
        <v>5100124.0679911599</v>
      </c>
      <c r="F136" s="550">
        <f>F6+F94</f>
        <v>2822085.1497539203</v>
      </c>
      <c r="G136" s="550">
        <f>G6+G94</f>
        <v>2278038.9182372401</v>
      </c>
      <c r="H136" s="550">
        <f>H6+H94</f>
        <v>3095071.4001153111</v>
      </c>
      <c r="I136" s="550">
        <f>I6+I94</f>
        <v>242785.88453671784</v>
      </c>
      <c r="L136" s="550">
        <v>8026666.6214488028</v>
      </c>
      <c r="M136" s="550">
        <f t="shared" si="80"/>
        <v>4616047.272805756</v>
      </c>
      <c r="N136" s="550">
        <v>2568223.8985880394</v>
      </c>
      <c r="O136" s="550">
        <v>2047823.3742177165</v>
      </c>
      <c r="P136" s="550">
        <v>3294362.7730457988</v>
      </c>
      <c r="Q136" s="550">
        <v>116256.57559724881</v>
      </c>
      <c r="T136" s="550">
        <f>T6+T94</f>
        <v>8026666.6214488018</v>
      </c>
      <c r="U136" s="550">
        <f t="shared" si="81"/>
        <v>3869877.1844098233</v>
      </c>
      <c r="V136" s="550">
        <f>V6+V94</f>
        <v>2072062.4219599902</v>
      </c>
      <c r="W136" s="550">
        <f>W6+W94</f>
        <v>1797814.7624498331</v>
      </c>
      <c r="X136" s="550">
        <f>X6+X94</f>
        <v>4040532.861441642</v>
      </c>
      <c r="Y136" s="550">
        <f>Y6+Y94</f>
        <v>116256.57559733659</v>
      </c>
      <c r="AA136" s="593"/>
    </row>
    <row r="137" spans="1:27" s="551" customFormat="1" ht="29.25" customHeight="1">
      <c r="A137" s="547" t="s">
        <v>69</v>
      </c>
      <c r="B137" s="548" t="s">
        <v>70</v>
      </c>
      <c r="C137" s="549" t="s">
        <v>9</v>
      </c>
      <c r="D137" s="550">
        <f>SUM(F137:I137)</f>
        <v>5005696.2419580091</v>
      </c>
      <c r="E137" s="550">
        <f t="shared" si="79"/>
        <v>3928212.4869124419</v>
      </c>
      <c r="F137" s="550">
        <v>2230430.8109019222</v>
      </c>
      <c r="G137" s="550">
        <v>1697781.6760105197</v>
      </c>
      <c r="H137" s="550">
        <v>999110.76775652147</v>
      </c>
      <c r="I137" s="550">
        <v>78372.987289045748</v>
      </c>
      <c r="J137" s="556"/>
      <c r="K137" s="556"/>
      <c r="L137" s="550">
        <v>3839720.8073484786</v>
      </c>
      <c r="M137" s="550">
        <f t="shared" si="80"/>
        <v>2738748.9474356356</v>
      </c>
      <c r="N137" s="550">
        <v>1604399.355219783</v>
      </c>
      <c r="O137" s="550">
        <v>1134349.5922158526</v>
      </c>
      <c r="P137" s="550">
        <v>1063443.421474433</v>
      </c>
      <c r="Q137" s="550">
        <v>37528.438438410136</v>
      </c>
      <c r="R137" s="556"/>
      <c r="S137" s="556"/>
      <c r="T137" s="550">
        <f>SUM(V137:Y137)</f>
        <v>5225927.8007283723</v>
      </c>
      <c r="U137" s="550">
        <f t="shared" si="81"/>
        <v>3884087</v>
      </c>
      <c r="V137" s="550">
        <v>2230431</v>
      </c>
      <c r="W137" s="550">
        <v>1653656</v>
      </c>
      <c r="X137" s="550">
        <f t="shared" ref="X137:Y137" si="82">X139-X138</f>
        <v>1304312.362289933</v>
      </c>
      <c r="Y137" s="550">
        <f t="shared" si="82"/>
        <v>37528.438438438476</v>
      </c>
    </row>
    <row r="138" spans="1:27" s="551" customFormat="1" ht="26.25" customHeight="1">
      <c r="A138" s="553"/>
      <c r="B138" s="554" t="s">
        <v>71</v>
      </c>
      <c r="C138" s="549" t="s">
        <v>9</v>
      </c>
      <c r="D138" s="557">
        <f>D139-D137</f>
        <v>1251424.0604895018</v>
      </c>
      <c r="E138" s="557">
        <f t="shared" si="79"/>
        <v>982053.12172811013</v>
      </c>
      <c r="F138" s="557">
        <f>F139-F137</f>
        <v>557607.70272548031</v>
      </c>
      <c r="G138" s="557">
        <f>G139-G137</f>
        <v>424445.41900262982</v>
      </c>
      <c r="H138" s="557">
        <f t="shared" ref="H138:I138" si="83">H139-H137</f>
        <v>249777.69193913043</v>
      </c>
      <c r="I138" s="557">
        <f t="shared" si="83"/>
        <v>19593.246822261441</v>
      </c>
      <c r="L138" s="557">
        <v>959930.20183711965</v>
      </c>
      <c r="M138" s="557">
        <f t="shared" si="80"/>
        <v>684687.23685890902</v>
      </c>
      <c r="N138" s="557">
        <v>401099.83880494582</v>
      </c>
      <c r="O138" s="557">
        <v>283587.3980539632</v>
      </c>
      <c r="P138" s="557">
        <v>265860.85536860826</v>
      </c>
      <c r="Q138" s="557">
        <v>9382.109609602534</v>
      </c>
      <c r="T138" s="557">
        <f>SUM(V138:Y138)</f>
        <v>1317512.9501820931</v>
      </c>
      <c r="U138" s="557">
        <f t="shared" si="81"/>
        <v>982052.75</v>
      </c>
      <c r="V138" s="557">
        <f>V139-V137</f>
        <v>557607.75</v>
      </c>
      <c r="W138" s="557">
        <v>424445</v>
      </c>
      <c r="X138" s="557">
        <f t="shared" ref="X138:Y138" si="84">X139*0.2</f>
        <v>326078.09057248331</v>
      </c>
      <c r="Y138" s="557">
        <f t="shared" si="84"/>
        <v>9382.1096096096189</v>
      </c>
    </row>
    <row r="139" spans="1:27" s="551" customFormat="1" ht="26.25" customHeight="1">
      <c r="A139" s="553"/>
      <c r="B139" s="554" t="s">
        <v>72</v>
      </c>
      <c r="C139" s="549" t="s">
        <v>9</v>
      </c>
      <c r="D139" s="238">
        <f>D137/8*10</f>
        <v>6257120.3024475109</v>
      </c>
      <c r="E139" s="557">
        <f t="shared" si="79"/>
        <v>4910265.6086405516</v>
      </c>
      <c r="F139" s="238">
        <f t="shared" ref="F139:I139" si="85">F137/8*10</f>
        <v>2788038.5136274025</v>
      </c>
      <c r="G139" s="238">
        <f t="shared" si="85"/>
        <v>2122227.0950131495</v>
      </c>
      <c r="H139" s="238">
        <f t="shared" si="85"/>
        <v>1248888.4596956519</v>
      </c>
      <c r="I139" s="238">
        <f t="shared" si="85"/>
        <v>97966.234111307189</v>
      </c>
      <c r="L139" s="238">
        <v>4799651.0091855982</v>
      </c>
      <c r="M139" s="557">
        <f t="shared" si="80"/>
        <v>3423436.1842945446</v>
      </c>
      <c r="N139" s="238">
        <v>2005499.1940247288</v>
      </c>
      <c r="O139" s="238">
        <v>1417936.9902698158</v>
      </c>
      <c r="P139" s="238">
        <v>1329304.2768430412</v>
      </c>
      <c r="Q139" s="238">
        <v>46910.548048012672</v>
      </c>
      <c r="T139" s="238">
        <f>SUM(V139:Y139)</f>
        <v>6543440.7509104647</v>
      </c>
      <c r="U139" s="557">
        <f t="shared" si="81"/>
        <v>4866139.75</v>
      </c>
      <c r="V139" s="238">
        <f t="shared" ref="V139" si="86">V137/8*10</f>
        <v>2788038.75</v>
      </c>
      <c r="W139" s="238">
        <f>W137+W138</f>
        <v>2078101</v>
      </c>
      <c r="X139" s="238">
        <f t="shared" ref="X139:Y139" si="87">X140-X136</f>
        <v>1630390.4528624164</v>
      </c>
      <c r="Y139" s="238">
        <f t="shared" si="87"/>
        <v>46910.548048048091</v>
      </c>
    </row>
    <row r="140" spans="1:27" s="551" customFormat="1" ht="34.5" customHeight="1">
      <c r="A140" s="547" t="s">
        <v>73</v>
      </c>
      <c r="B140" s="548" t="s">
        <v>74</v>
      </c>
      <c r="C140" s="549" t="s">
        <v>9</v>
      </c>
      <c r="D140" s="568">
        <f>D136+D139</f>
        <v>14695101.655090699</v>
      </c>
      <c r="E140" s="568">
        <f t="shared" si="79"/>
        <v>10010389.676631713</v>
      </c>
      <c r="F140" s="568">
        <f>F136+F139</f>
        <v>5610123.6633813232</v>
      </c>
      <c r="G140" s="568">
        <f t="shared" ref="G140:I140" si="88">G136+G139</f>
        <v>4400266.0132503901</v>
      </c>
      <c r="H140" s="568">
        <f t="shared" si="88"/>
        <v>4343959.8598109633</v>
      </c>
      <c r="I140" s="568">
        <f t="shared" si="88"/>
        <v>340752.11864802503</v>
      </c>
      <c r="L140" s="568">
        <v>12826317.630634401</v>
      </c>
      <c r="M140" s="568">
        <f t="shared" si="80"/>
        <v>8039483.457100301</v>
      </c>
      <c r="N140" s="568">
        <v>4573723.0926127685</v>
      </c>
      <c r="O140" s="568">
        <v>3465760.3644875325</v>
      </c>
      <c r="P140" s="568">
        <v>4623667.0498888399</v>
      </c>
      <c r="Q140" s="568">
        <v>163167.12364526148</v>
      </c>
      <c r="T140" s="568">
        <f>SUM(V140:Y140)</f>
        <v>14570107.372359265</v>
      </c>
      <c r="U140" s="568">
        <f t="shared" si="81"/>
        <v>8736016.9344098233</v>
      </c>
      <c r="V140" s="568">
        <f>V136+V139</f>
        <v>4860101.1719599906</v>
      </c>
      <c r="W140" s="568">
        <f>W136+W139</f>
        <v>3875915.7624498331</v>
      </c>
      <c r="X140" s="568">
        <f t="shared" ref="X140:Y140" si="89">X136*0.8/(0.8-23%)</f>
        <v>5670923.3143040584</v>
      </c>
      <c r="Y140" s="568">
        <f t="shared" si="89"/>
        <v>163167.12364538468</v>
      </c>
    </row>
    <row r="141" spans="1:27" s="551" customFormat="1" ht="27.75" customHeight="1">
      <c r="A141" s="832" t="s">
        <v>75</v>
      </c>
      <c r="B141" s="835" t="s">
        <v>76</v>
      </c>
      <c r="C141" s="594" t="s">
        <v>77</v>
      </c>
      <c r="D141" s="555" t="s">
        <v>133</v>
      </c>
      <c r="E141" s="555"/>
      <c r="F141" s="555">
        <v>1559287</v>
      </c>
      <c r="G141" s="555"/>
      <c r="I141" s="555"/>
      <c r="L141" s="595" t="s">
        <v>133</v>
      </c>
      <c r="M141" s="555"/>
      <c r="N141" s="555">
        <v>1598380.6459999995</v>
      </c>
      <c r="O141" s="555"/>
      <c r="Q141" s="555"/>
      <c r="T141" s="595" t="s">
        <v>133</v>
      </c>
      <c r="U141" s="555"/>
      <c r="V141" s="555">
        <v>1632149</v>
      </c>
      <c r="W141" s="555"/>
      <c r="Y141" s="555"/>
    </row>
    <row r="142" spans="1:27" s="551" customFormat="1" ht="27.75" customHeight="1">
      <c r="A142" s="833"/>
      <c r="B142" s="836"/>
      <c r="C142" s="594" t="s">
        <v>131</v>
      </c>
      <c r="D142" s="555" t="s">
        <v>134</v>
      </c>
      <c r="E142" s="555"/>
      <c r="F142" s="555"/>
      <c r="G142" s="555">
        <v>687793</v>
      </c>
      <c r="H142" s="555"/>
      <c r="I142" s="555"/>
      <c r="L142" s="595" t="s">
        <v>134</v>
      </c>
      <c r="M142" s="555"/>
      <c r="N142" s="555"/>
      <c r="O142" s="555">
        <v>715907.70000000007</v>
      </c>
      <c r="P142" s="555"/>
      <c r="Q142" s="555"/>
      <c r="T142" s="595" t="s">
        <v>134</v>
      </c>
      <c r="U142" s="555"/>
      <c r="V142" s="555"/>
      <c r="W142" s="555">
        <v>750083</v>
      </c>
      <c r="X142" s="555"/>
      <c r="Y142" s="555"/>
    </row>
    <row r="143" spans="1:27" s="551" customFormat="1" ht="27.75" customHeight="1">
      <c r="A143" s="833"/>
      <c r="B143" s="836"/>
      <c r="C143" s="594"/>
      <c r="D143" s="555" t="s">
        <v>133</v>
      </c>
      <c r="E143" s="555"/>
      <c r="F143" s="555"/>
      <c r="G143" s="555"/>
      <c r="H143" s="555">
        <f>1676445+484720</f>
        <v>2161165</v>
      </c>
      <c r="I143" s="555"/>
      <c r="L143" s="595" t="s">
        <v>133</v>
      </c>
      <c r="M143" s="555"/>
      <c r="N143" s="555"/>
      <c r="O143" s="555"/>
      <c r="P143" s="555">
        <v>2351928.0980000002</v>
      </c>
      <c r="Q143" s="555"/>
      <c r="T143" s="595" t="s">
        <v>133</v>
      </c>
      <c r="U143" s="555"/>
      <c r="V143" s="555"/>
      <c r="W143" s="555"/>
      <c r="X143" s="555">
        <v>2358421.7479999997</v>
      </c>
      <c r="Y143" s="555"/>
    </row>
    <row r="144" spans="1:27" s="551" customFormat="1" ht="27.75" customHeight="1">
      <c r="A144" s="834"/>
      <c r="B144" s="837"/>
      <c r="C144" s="594"/>
      <c r="D144" s="555" t="s">
        <v>137</v>
      </c>
      <c r="E144" s="555"/>
      <c r="F144" s="555"/>
      <c r="G144" s="555"/>
      <c r="H144" s="555"/>
      <c r="I144" s="555">
        <v>2190</v>
      </c>
      <c r="L144" s="595" t="s">
        <v>137</v>
      </c>
      <c r="M144" s="555"/>
      <c r="N144" s="555"/>
      <c r="O144" s="555"/>
      <c r="P144" s="555"/>
      <c r="Q144" s="555">
        <v>2190</v>
      </c>
      <c r="T144" s="595" t="s">
        <v>137</v>
      </c>
      <c r="U144" s="555"/>
      <c r="V144" s="555"/>
      <c r="W144" s="555"/>
      <c r="X144" s="555"/>
      <c r="Y144" s="555">
        <v>2190</v>
      </c>
    </row>
    <row r="145" spans="1:26" s="596" customFormat="1" ht="27.75" customHeight="1">
      <c r="A145" s="832" t="s">
        <v>78</v>
      </c>
      <c r="B145" s="835" t="s">
        <v>79</v>
      </c>
      <c r="C145" s="594" t="s">
        <v>80</v>
      </c>
      <c r="D145" s="555" t="s">
        <v>169</v>
      </c>
      <c r="E145" s="555"/>
      <c r="F145" s="568">
        <f>(F140*1000)/F141</f>
        <v>3597.8775320908358</v>
      </c>
      <c r="G145" s="568"/>
      <c r="I145" s="568"/>
      <c r="L145" s="595" t="s">
        <v>169</v>
      </c>
      <c r="M145" s="555"/>
      <c r="N145" s="568">
        <v>2861.4730189949819</v>
      </c>
      <c r="O145" s="568"/>
      <c r="Q145" s="568"/>
      <c r="T145" s="595" t="s">
        <v>169</v>
      </c>
      <c r="U145" s="555"/>
      <c r="V145" s="568">
        <f>(V140*1000)/V141</f>
        <v>2977.7313051443161</v>
      </c>
      <c r="W145" s="568"/>
      <c r="Y145" s="568"/>
    </row>
    <row r="146" spans="1:26" s="551" customFormat="1" ht="27.75" customHeight="1">
      <c r="A146" s="833"/>
      <c r="B146" s="836"/>
      <c r="C146" s="594" t="s">
        <v>89</v>
      </c>
      <c r="D146" s="555" t="s">
        <v>170</v>
      </c>
      <c r="E146" s="555"/>
      <c r="F146" s="571"/>
      <c r="G146" s="568">
        <f>(G140*1000)/G142</f>
        <v>6397.6603618390855</v>
      </c>
      <c r="H146" s="571"/>
      <c r="I146" s="571"/>
      <c r="L146" s="595" t="s">
        <v>170</v>
      </c>
      <c r="M146" s="555"/>
      <c r="N146" s="571"/>
      <c r="O146" s="568">
        <v>4841.0715019373756</v>
      </c>
      <c r="P146" s="571"/>
      <c r="Q146" s="571"/>
      <c r="T146" s="595" t="s">
        <v>170</v>
      </c>
      <c r="U146" s="555"/>
      <c r="V146" s="571"/>
      <c r="W146" s="568">
        <f>(W140*1000)/W142</f>
        <v>5167.3158336475199</v>
      </c>
      <c r="X146" s="571"/>
      <c r="Y146" s="571"/>
    </row>
    <row r="147" spans="1:26" s="551" customFormat="1" ht="27.75" customHeight="1">
      <c r="A147" s="833"/>
      <c r="B147" s="836"/>
      <c r="C147" s="594"/>
      <c r="D147" s="555" t="s">
        <v>169</v>
      </c>
      <c r="E147" s="555"/>
      <c r="F147" s="571"/>
      <c r="G147" s="568"/>
      <c r="H147" s="568">
        <f>(H140*1000)/H143</f>
        <v>2010.0084259235014</v>
      </c>
      <c r="I147" s="571"/>
      <c r="L147" s="595" t="s">
        <v>169</v>
      </c>
      <c r="M147" s="555"/>
      <c r="N147" s="571"/>
      <c r="O147" s="568"/>
      <c r="P147" s="568">
        <v>1965.9049329869604</v>
      </c>
      <c r="Q147" s="571"/>
      <c r="T147" s="595" t="s">
        <v>169</v>
      </c>
      <c r="U147" s="555"/>
      <c r="V147" s="571"/>
      <c r="W147" s="568"/>
      <c r="X147" s="568">
        <v>2152</v>
      </c>
      <c r="Y147" s="571"/>
    </row>
    <row r="148" spans="1:26" s="551" customFormat="1" ht="27.75" customHeight="1">
      <c r="A148" s="834"/>
      <c r="B148" s="837"/>
      <c r="C148" s="594"/>
      <c r="D148" s="555" t="s">
        <v>172</v>
      </c>
      <c r="E148" s="555"/>
      <c r="F148" s="570"/>
      <c r="G148" s="555"/>
      <c r="H148" s="570"/>
      <c r="I148" s="571">
        <f>(I140*1000)/I144</f>
        <v>155594.5747251256</v>
      </c>
      <c r="L148" s="595" t="s">
        <v>172</v>
      </c>
      <c r="M148" s="555"/>
      <c r="N148" s="570"/>
      <c r="O148" s="555"/>
      <c r="P148" s="570"/>
      <c r="Q148" s="571">
        <v>74505.535911078303</v>
      </c>
      <c r="T148" s="595" t="s">
        <v>172</v>
      </c>
      <c r="U148" s="555"/>
      <c r="V148" s="570"/>
      <c r="W148" s="555"/>
      <c r="X148" s="570"/>
      <c r="Y148" s="571">
        <f>(Y140*1000)/Y144</f>
        <v>74505.535911134546</v>
      </c>
    </row>
    <row r="149" spans="1:26" ht="15.75" customHeight="1">
      <c r="A149" s="597"/>
      <c r="B149" s="598"/>
      <c r="D149" s="599"/>
      <c r="E149" s="599"/>
      <c r="T149" s="599"/>
      <c r="U149" s="599"/>
    </row>
    <row r="150" spans="1:26" ht="22.5" hidden="1" customHeight="1">
      <c r="B150" s="602" t="s">
        <v>283</v>
      </c>
      <c r="C150" s="603"/>
      <c r="D150" s="568">
        <f>[55]ДУП!$F$5</f>
        <v>3621139974.9052768</v>
      </c>
      <c r="E150" s="604"/>
      <c r="F150" s="605"/>
      <c r="G150" s="605"/>
      <c r="H150" s="605"/>
      <c r="L150" s="606"/>
      <c r="M150" s="606"/>
      <c r="N150" s="605"/>
      <c r="O150" s="605"/>
      <c r="P150" s="605"/>
      <c r="T150" s="607"/>
      <c r="U150" s="607"/>
      <c r="V150" s="605"/>
      <c r="W150" s="605"/>
      <c r="X150" s="605"/>
    </row>
    <row r="151" spans="1:26" ht="22.5" hidden="1" customHeight="1">
      <c r="B151" s="534"/>
      <c r="C151" s="603"/>
      <c r="D151" s="604"/>
      <c r="E151" s="604"/>
      <c r="F151" s="605"/>
      <c r="G151" s="605"/>
      <c r="H151" s="605"/>
      <c r="L151" s="606"/>
      <c r="M151" s="606"/>
      <c r="N151" s="605"/>
      <c r="O151" s="605"/>
      <c r="P151" s="605"/>
      <c r="T151" s="607"/>
      <c r="U151" s="607"/>
      <c r="V151" s="605"/>
      <c r="W151" s="605"/>
      <c r="X151" s="605"/>
    </row>
    <row r="152" spans="1:26" ht="22.5" hidden="1" customHeight="1">
      <c r="B152" s="534"/>
      <c r="C152" s="603"/>
      <c r="D152" s="604"/>
      <c r="E152" s="604"/>
      <c r="F152" s="605"/>
      <c r="G152" s="605"/>
      <c r="H152" s="605"/>
      <c r="L152" s="606"/>
      <c r="M152" s="606"/>
      <c r="N152" s="605"/>
      <c r="O152" s="605"/>
      <c r="P152" s="605"/>
      <c r="T152" s="607"/>
      <c r="U152" s="607"/>
      <c r="V152" s="605"/>
      <c r="W152" s="605"/>
      <c r="X152" s="605"/>
    </row>
    <row r="153" spans="1:26" ht="22.5" hidden="1" customHeight="1">
      <c r="B153" s="534"/>
      <c r="C153" s="603"/>
      <c r="D153" s="604"/>
      <c r="E153" s="604"/>
      <c r="F153" s="605"/>
      <c r="G153" s="605"/>
      <c r="H153" s="605"/>
      <c r="L153" s="606"/>
      <c r="M153" s="606"/>
      <c r="N153" s="605"/>
      <c r="O153" s="605"/>
      <c r="P153" s="605"/>
      <c r="T153" s="607"/>
      <c r="U153" s="607"/>
      <c r="V153" s="605"/>
      <c r="W153" s="605"/>
      <c r="X153" s="605"/>
    </row>
    <row r="154" spans="1:26" ht="22.5" hidden="1" customHeight="1">
      <c r="B154" s="534"/>
      <c r="C154" s="603"/>
      <c r="D154" s="604"/>
      <c r="E154" s="604"/>
      <c r="F154" s="605"/>
      <c r="G154" s="605"/>
      <c r="H154" s="605"/>
      <c r="L154" s="606"/>
      <c r="M154" s="606"/>
      <c r="N154" s="605"/>
      <c r="O154" s="605"/>
      <c r="P154" s="605"/>
      <c r="T154" s="607"/>
      <c r="U154" s="607"/>
      <c r="V154" s="605"/>
      <c r="W154" s="605"/>
      <c r="X154" s="605"/>
    </row>
    <row r="155" spans="1:26" ht="22.5" hidden="1" customHeight="1">
      <c r="B155" s="534"/>
      <c r="C155" s="603"/>
      <c r="D155" s="604"/>
      <c r="E155" s="604"/>
      <c r="F155" s="605"/>
      <c r="G155" s="605"/>
      <c r="H155" s="605"/>
      <c r="L155" s="606"/>
      <c r="M155" s="606"/>
      <c r="N155" s="608"/>
      <c r="O155" s="608"/>
      <c r="P155" s="605"/>
      <c r="T155" s="607"/>
      <c r="U155" s="607"/>
      <c r="V155" s="605"/>
      <c r="W155" s="605"/>
      <c r="X155" s="605"/>
    </row>
    <row r="156" spans="1:26" ht="22.5" hidden="1" customHeight="1">
      <c r="B156" s="534"/>
      <c r="C156" s="603"/>
      <c r="D156" s="604"/>
      <c r="E156" s="604"/>
      <c r="F156" s="605"/>
      <c r="G156" s="605"/>
      <c r="H156" s="605"/>
      <c r="L156" s="606"/>
      <c r="M156" s="606"/>
      <c r="N156" s="605"/>
      <c r="O156" s="605"/>
      <c r="P156" s="605"/>
      <c r="T156" s="607"/>
      <c r="U156" s="607"/>
      <c r="V156" s="605"/>
      <c r="W156" s="605"/>
      <c r="X156" s="605"/>
    </row>
    <row r="157" spans="1:26" ht="25.5" customHeight="1">
      <c r="B157" s="609" t="s">
        <v>199</v>
      </c>
      <c r="C157" s="610"/>
      <c r="D157" s="611">
        <f>71*3*365*58</f>
        <v>4509210</v>
      </c>
      <c r="E157" s="611"/>
      <c r="F157" s="610"/>
      <c r="G157" s="610"/>
      <c r="H157" s="610"/>
      <c r="L157" s="611">
        <f>71*3*365*58</f>
        <v>4509210</v>
      </c>
      <c r="M157" s="611"/>
      <c r="N157" s="600"/>
      <c r="O157" s="600"/>
      <c r="P157" s="600"/>
      <c r="T157" s="611">
        <f>71*3*365*58</f>
        <v>4509210</v>
      </c>
      <c r="U157" s="611"/>
      <c r="V157" s="610"/>
      <c r="W157" s="610"/>
      <c r="X157" s="612"/>
    </row>
    <row r="158" spans="1:26">
      <c r="B158" s="613" t="s">
        <v>200</v>
      </c>
      <c r="D158" s="614">
        <f>D140*1000/D157</f>
        <v>3258.9082466974701</v>
      </c>
      <c r="E158" s="614"/>
      <c r="L158" s="614">
        <f>L140*1000/L157</f>
        <v>2844.471122576771</v>
      </c>
      <c r="M158" s="614"/>
      <c r="N158" s="615"/>
      <c r="O158" s="615"/>
      <c r="P158" s="615"/>
      <c r="Q158" s="546"/>
      <c r="T158" s="614">
        <f>T140*1000/T157</f>
        <v>3231.1884725615496</v>
      </c>
      <c r="U158" s="614"/>
    </row>
    <row r="159" spans="1:26">
      <c r="D159" s="607"/>
      <c r="E159" s="607"/>
      <c r="L159" s="616">
        <f>(N159+O159+P159)/58</f>
        <v>2847.0434344128048</v>
      </c>
      <c r="M159" s="616"/>
      <c r="N159" s="616">
        <f>N145*(8.61+2.371)*2</f>
        <v>62843.670443167794</v>
      </c>
      <c r="O159" s="616">
        <f>O146*9.46</f>
        <v>45796.536408327578</v>
      </c>
      <c r="P159" s="616">
        <f>P147*(22.232+6.502)</f>
        <v>56488.312344447317</v>
      </c>
      <c r="Q159" s="616"/>
      <c r="T159" s="616">
        <f>(V159+W159+X159)/58</f>
        <v>3036.4708743083625</v>
      </c>
      <c r="U159" s="615"/>
      <c r="V159" s="616">
        <f>V145*(8.61+2.371)*2</f>
        <v>65396.934923579473</v>
      </c>
      <c r="W159" s="616">
        <f>W146*9.46</f>
        <v>48882.807786305544</v>
      </c>
      <c r="X159" s="616">
        <f>X147*(22.232+6.502)</f>
        <v>61835.567999999999</v>
      </c>
      <c r="Y159" s="546"/>
      <c r="Z159" s="546"/>
    </row>
    <row r="160" spans="1:26">
      <c r="I160" s="600"/>
      <c r="L160" s="617"/>
      <c r="M160" s="617"/>
      <c r="N160" s="616"/>
      <c r="O160" s="616"/>
      <c r="P160" s="616"/>
      <c r="Q160" s="616"/>
      <c r="U160" s="616"/>
      <c r="Y160" s="616"/>
    </row>
    <row r="161" spans="2:27">
      <c r="D161" s="541"/>
      <c r="E161" s="541"/>
      <c r="I161" s="600"/>
      <c r="T161" s="617"/>
      <c r="U161" s="617"/>
      <c r="V161" s="616"/>
      <c r="W161" s="616"/>
      <c r="X161" s="616"/>
      <c r="Y161" s="616"/>
      <c r="Z161" s="618"/>
    </row>
    <row r="162" spans="2:27">
      <c r="E162" s="312"/>
      <c r="F162" s="312"/>
      <c r="G162" s="312"/>
      <c r="L162" s="312"/>
      <c r="N162" s="312"/>
      <c r="O162" s="312"/>
      <c r="P162" s="312"/>
      <c r="Q162" s="312"/>
      <c r="T162" s="312">
        <f>T137/T140</f>
        <v>0.35867462518789689</v>
      </c>
      <c r="V162" s="312">
        <f>V137/V140</f>
        <v>0.45892686614597933</v>
      </c>
      <c r="W162" s="312">
        <f t="shared" ref="W162:Y162" si="90">W137/W140</f>
        <v>0.42664910729504113</v>
      </c>
      <c r="X162" s="312">
        <f>X137/X140</f>
        <v>0.22999999999999993</v>
      </c>
      <c r="Y162" s="312">
        <f t="shared" si="90"/>
        <v>0.23</v>
      </c>
    </row>
    <row r="163" spans="2:27">
      <c r="T163" s="619"/>
      <c r="U163" s="619"/>
      <c r="V163" s="619"/>
      <c r="W163" s="619"/>
      <c r="X163" s="619"/>
      <c r="Y163" s="620"/>
      <c r="Z163" s="620"/>
      <c r="AA163" s="620"/>
    </row>
    <row r="164" spans="2:27">
      <c r="B164" s="603" t="s">
        <v>180</v>
      </c>
    </row>
    <row r="165" spans="2:27">
      <c r="B165" s="603"/>
      <c r="G165" s="607"/>
      <c r="W165" s="607"/>
    </row>
    <row r="166" spans="2:27">
      <c r="B166" s="603" t="s">
        <v>181</v>
      </c>
    </row>
    <row r="173" spans="2:27">
      <c r="D173" s="607"/>
      <c r="E173" s="607"/>
      <c r="F173" s="607"/>
      <c r="G173" s="607"/>
      <c r="H173" s="607"/>
      <c r="I173" s="621"/>
      <c r="T173" s="607"/>
      <c r="U173" s="607"/>
    </row>
  </sheetData>
  <mergeCells count="12">
    <mergeCell ref="L3:Q3"/>
    <mergeCell ref="T3:Y3"/>
    <mergeCell ref="A141:A144"/>
    <mergeCell ref="B141:B144"/>
    <mergeCell ref="A145:A148"/>
    <mergeCell ref="B145:B148"/>
    <mergeCell ref="A1:I1"/>
    <mergeCell ref="B2:C2"/>
    <mergeCell ref="A3:A4"/>
    <mergeCell ref="B3:B4"/>
    <mergeCell ref="C3:C4"/>
    <mergeCell ref="D3:I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4"/>
  <sheetViews>
    <sheetView showZeros="0" tabSelected="1" zoomScaleNormal="100" workbookViewId="0">
      <pane xSplit="3" ySplit="4" topLeftCell="D5" activePane="bottomRight" state="frozen"/>
      <selection activeCell="M25" sqref="M25"/>
      <selection pane="topRight" activeCell="M25" sqref="M25"/>
      <selection pane="bottomLeft" activeCell="M25" sqref="M25"/>
      <selection pane="bottomRight" activeCell="N21" sqref="N21"/>
    </sheetView>
  </sheetViews>
  <sheetFormatPr defaultColWidth="9.140625" defaultRowHeight="15"/>
  <cols>
    <col min="1" max="1" width="0.42578125" style="400" customWidth="1"/>
    <col min="2" max="2" width="7.85546875" style="414" customWidth="1"/>
    <col min="3" max="3" width="66.28515625" style="400" customWidth="1"/>
    <col min="4" max="4" width="16.85546875" style="400" customWidth="1"/>
    <col min="5" max="5" width="15.42578125" style="400" customWidth="1"/>
    <col min="6" max="6" width="19" style="400" hidden="1" customWidth="1"/>
    <col min="7" max="7" width="15.7109375" style="400" customWidth="1"/>
    <col min="8" max="8" width="53.140625" style="400" hidden="1" customWidth="1"/>
    <col min="9" max="9" width="1.28515625" style="400" customWidth="1"/>
    <col min="10" max="11" width="9.140625" style="400"/>
    <col min="12" max="12" width="15.28515625" style="400" customWidth="1"/>
    <col min="13" max="13" width="19.5703125" style="400" customWidth="1"/>
    <col min="14" max="14" width="9.140625" style="400"/>
    <col min="15" max="15" width="17.140625" style="400" customWidth="1"/>
    <col min="16" max="19" width="9.140625" style="400"/>
    <col min="20" max="20" width="9.5703125" style="400" customWidth="1"/>
    <col min="21" max="21" width="7.28515625" style="400" customWidth="1"/>
    <col min="22" max="16384" width="9.140625" style="400"/>
  </cols>
  <sheetData>
    <row r="1" spans="2:13" ht="60.75" customHeight="1">
      <c r="C1" s="838" t="s">
        <v>464</v>
      </c>
      <c r="D1" s="838"/>
      <c r="E1" s="838"/>
      <c r="F1" s="838"/>
      <c r="G1" s="838"/>
      <c r="H1" s="838"/>
    </row>
    <row r="2" spans="2:13" ht="12.75" customHeight="1">
      <c r="B2" s="867"/>
      <c r="C2" s="868"/>
      <c r="D2" s="868"/>
      <c r="E2" s="868"/>
      <c r="F2" s="868"/>
      <c r="G2" s="868"/>
    </row>
    <row r="3" spans="2:13" ht="30.75" hidden="1" customHeight="1">
      <c r="B3" s="839" t="s">
        <v>299</v>
      </c>
      <c r="C3" s="839" t="s">
        <v>300</v>
      </c>
      <c r="D3" s="840" t="s">
        <v>366</v>
      </c>
      <c r="E3" s="840"/>
      <c r="F3" s="839" t="s">
        <v>301</v>
      </c>
      <c r="G3" s="839" t="s">
        <v>470</v>
      </c>
      <c r="H3" s="841" t="s">
        <v>302</v>
      </c>
    </row>
    <row r="4" spans="2:13" ht="40.5" customHeight="1">
      <c r="B4" s="839"/>
      <c r="C4" s="839"/>
      <c r="D4" s="466" t="s">
        <v>373</v>
      </c>
      <c r="E4" s="466" t="s">
        <v>374</v>
      </c>
      <c r="F4" s="839"/>
      <c r="G4" s="839"/>
      <c r="H4" s="841"/>
    </row>
    <row r="5" spans="2:13" s="417" customFormat="1" ht="15.75" hidden="1">
      <c r="B5" s="428" t="s">
        <v>4</v>
      </c>
      <c r="C5" s="434" t="s">
        <v>303</v>
      </c>
      <c r="D5" s="435">
        <f>SUM(D6:D9)</f>
        <v>6070878.0920951562</v>
      </c>
      <c r="E5" s="435">
        <f>SUM(E6:E9)</f>
        <v>4805832.3559680004</v>
      </c>
      <c r="F5" s="435">
        <f t="shared" ref="F5:F23" si="0">E5-D5</f>
        <v>-1265045.7361271558</v>
      </c>
      <c r="G5" s="436">
        <f>(E5-D5)/D5</f>
        <v>-0.20837936735615928</v>
      </c>
      <c r="H5" s="402"/>
    </row>
    <row r="6" spans="2:13" s="418" customFormat="1" ht="109.5" hidden="1" customHeight="1">
      <c r="B6" s="415">
        <v>1</v>
      </c>
      <c r="C6" s="403" t="s">
        <v>304</v>
      </c>
      <c r="D6" s="404">
        <f>ТС!Q133</f>
        <v>2025042.1545280993</v>
      </c>
      <c r="E6" s="404">
        <f>ТС!BB133</f>
        <v>1928260.9142079998</v>
      </c>
      <c r="F6" s="405">
        <f>E6-D6</f>
        <v>-96781.240320099518</v>
      </c>
      <c r="G6" s="406">
        <f>(E6-D6)/D6</f>
        <v>-4.7792210203472379E-2</v>
      </c>
      <c r="H6" s="407" t="s">
        <v>337</v>
      </c>
    </row>
    <row r="7" spans="2:13" s="418" customFormat="1" ht="94.5" hidden="1" customHeight="1">
      <c r="B7" s="415">
        <v>2</v>
      </c>
      <c r="C7" s="403" t="s">
        <v>305</v>
      </c>
      <c r="D7" s="404">
        <f>ТС!R133</f>
        <v>1614964.8512198529</v>
      </c>
      <c r="E7" s="404">
        <f>ТС!BC133</f>
        <v>888400.85576000006</v>
      </c>
      <c r="F7" s="405">
        <f t="shared" si="0"/>
        <v>-726563.99545985286</v>
      </c>
      <c r="G7" s="406">
        <f>(E7-D7)/D7</f>
        <v>-0.44989461839435552</v>
      </c>
      <c r="H7" s="407" t="s">
        <v>306</v>
      </c>
      <c r="I7" s="422"/>
    </row>
    <row r="8" spans="2:13" s="418" customFormat="1" ht="110.25" hidden="1" customHeight="1">
      <c r="B8" s="415">
        <v>3</v>
      </c>
      <c r="C8" s="403" t="s">
        <v>307</v>
      </c>
      <c r="D8" s="404">
        <f>ТС!S133</f>
        <v>2362884.7848282927</v>
      </c>
      <c r="E8" s="404">
        <f>ТС!BD133</f>
        <v>1987376.7649999999</v>
      </c>
      <c r="F8" s="405">
        <f t="shared" si="0"/>
        <v>-375508.01982829277</v>
      </c>
      <c r="G8" s="406">
        <f>(E8-D8)/D8</f>
        <v>-0.15891931009051732</v>
      </c>
      <c r="H8" s="407" t="s">
        <v>308</v>
      </c>
    </row>
    <row r="9" spans="2:13" s="418" customFormat="1" ht="77.25" hidden="1" customHeight="1">
      <c r="B9" s="415">
        <v>4</v>
      </c>
      <c r="C9" s="403" t="s">
        <v>309</v>
      </c>
      <c r="D9" s="404">
        <f>ТС!T133</f>
        <v>67986.301518910288</v>
      </c>
      <c r="E9" s="404">
        <f>ТС!BE133</f>
        <v>1793.8209999999999</v>
      </c>
      <c r="F9" s="405">
        <f t="shared" si="0"/>
        <v>-66192.480518910292</v>
      </c>
      <c r="G9" s="406">
        <f>(E9-D9)/D9</f>
        <v>-0.97361496419244031</v>
      </c>
      <c r="H9" s="407" t="s">
        <v>310</v>
      </c>
    </row>
    <row r="10" spans="2:13" s="418" customFormat="1" ht="125.25" hidden="1" customHeight="1">
      <c r="B10" s="415">
        <v>5</v>
      </c>
      <c r="C10" s="408" t="s">
        <v>315</v>
      </c>
      <c r="D10" s="405">
        <f>[56]ПП!AV49</f>
        <v>0</v>
      </c>
      <c r="E10" s="405"/>
      <c r="F10" s="405"/>
      <c r="G10" s="406"/>
      <c r="H10" s="409" t="s">
        <v>311</v>
      </c>
    </row>
    <row r="11" spans="2:13" s="419" customFormat="1" ht="22.5" customHeight="1">
      <c r="B11" s="416" t="s">
        <v>4</v>
      </c>
      <c r="C11" s="410" t="s">
        <v>312</v>
      </c>
      <c r="D11" s="438">
        <f>ТС!E6</f>
        <v>1114587.5174498702</v>
      </c>
      <c r="E11" s="438">
        <f>ТС!BB6</f>
        <v>488667.45186748251</v>
      </c>
      <c r="F11" s="438">
        <f t="shared" si="0"/>
        <v>-625920.06558238773</v>
      </c>
      <c r="G11" s="411">
        <f>E11/D11</f>
        <v>0.43842896517048141</v>
      </c>
      <c r="H11" s="412"/>
      <c r="J11" s="418"/>
      <c r="L11" s="441"/>
      <c r="M11" s="441"/>
    </row>
    <row r="12" spans="2:13" s="423" customFormat="1" ht="36.75" customHeight="1">
      <c r="B12" s="415">
        <v>1</v>
      </c>
      <c r="C12" s="403" t="s">
        <v>321</v>
      </c>
      <c r="D12" s="404">
        <f>ТС!E8</f>
        <v>18945</v>
      </c>
      <c r="E12" s="404">
        <f>ТС!BB8</f>
        <v>1175.8738354876743</v>
      </c>
      <c r="F12" s="404">
        <f>E12-D12</f>
        <v>-17769.126164512327</v>
      </c>
      <c r="G12" s="427">
        <f>E12/D12</f>
        <v>6.2067766454878562E-2</v>
      </c>
      <c r="H12" s="407" t="s">
        <v>351</v>
      </c>
      <c r="J12" s="420"/>
      <c r="L12" s="440"/>
      <c r="M12" s="440"/>
    </row>
    <row r="13" spans="2:13" s="423" customFormat="1" ht="23.25" customHeight="1">
      <c r="B13" s="421">
        <v>2</v>
      </c>
      <c r="C13" s="424" t="s">
        <v>322</v>
      </c>
      <c r="D13" s="431">
        <f>ТС!E20</f>
        <v>8956</v>
      </c>
      <c r="E13" s="431">
        <f>ТС!BB20</f>
        <v>336.61937675276869</v>
      </c>
      <c r="F13" s="404">
        <f t="shared" ref="F13:F14" si="1">E13-D13</f>
        <v>-8619.3806232472307</v>
      </c>
      <c r="G13" s="427">
        <f t="shared" ref="G13:G44" si="2">E13/D13</f>
        <v>3.7585906292180511E-2</v>
      </c>
      <c r="H13" s="413" t="s">
        <v>356</v>
      </c>
      <c r="J13" s="420"/>
    </row>
    <row r="14" spans="2:13" s="423" customFormat="1" ht="23.25" customHeight="1">
      <c r="B14" s="421">
        <v>3</v>
      </c>
      <c r="C14" s="424" t="s">
        <v>323</v>
      </c>
      <c r="D14" s="431">
        <f>ТС!E23</f>
        <v>1329.408609269457</v>
      </c>
      <c r="E14" s="431">
        <f>ТС!BB23</f>
        <v>3323.116792157507</v>
      </c>
      <c r="F14" s="404">
        <f t="shared" si="1"/>
        <v>1993.70818288805</v>
      </c>
      <c r="G14" s="427">
        <f t="shared" si="2"/>
        <v>2.4996955555926799</v>
      </c>
      <c r="H14" s="413" t="s">
        <v>343</v>
      </c>
      <c r="J14" s="420"/>
    </row>
    <row r="15" spans="2:13" s="423" customFormat="1" ht="23.25" customHeight="1">
      <c r="B15" s="415">
        <v>4</v>
      </c>
      <c r="C15" s="403" t="s">
        <v>317</v>
      </c>
      <c r="D15" s="404">
        <f>ТС!E24</f>
        <v>24795.492060459339</v>
      </c>
      <c r="E15" s="404">
        <f>ТС!BB24</f>
        <v>35390.270070082704</v>
      </c>
      <c r="F15" s="404">
        <f>E15-D15</f>
        <v>10594.778009623366</v>
      </c>
      <c r="G15" s="427">
        <f t="shared" si="2"/>
        <v>1.427286459320505</v>
      </c>
      <c r="H15" s="407" t="s">
        <v>338</v>
      </c>
      <c r="J15" s="420"/>
    </row>
    <row r="16" spans="2:13" s="418" customFormat="1" ht="23.25" customHeight="1">
      <c r="B16" s="415">
        <v>5</v>
      </c>
      <c r="C16" s="403" t="s">
        <v>324</v>
      </c>
      <c r="D16" s="404">
        <f>ТС!E29</f>
        <v>892841</v>
      </c>
      <c r="E16" s="404">
        <f>ТС!BB29</f>
        <v>384710.81575253711</v>
      </c>
      <c r="F16" s="404">
        <f t="shared" si="0"/>
        <v>-508130.18424746289</v>
      </c>
      <c r="G16" s="427">
        <f t="shared" si="2"/>
        <v>0.43088390402382631</v>
      </c>
      <c r="H16" s="413" t="s">
        <v>350</v>
      </c>
    </row>
    <row r="17" spans="2:15" s="418" customFormat="1" ht="23.25" customHeight="1">
      <c r="B17" s="415">
        <v>6</v>
      </c>
      <c r="C17" s="403" t="s">
        <v>325</v>
      </c>
      <c r="D17" s="404">
        <f>ТС!E32</f>
        <v>586.53784379658339</v>
      </c>
      <c r="E17" s="404">
        <f>ТС!BB32</f>
        <v>37.884494125109974</v>
      </c>
      <c r="F17" s="404">
        <f>E17-D17</f>
        <v>-548.65334967147339</v>
      </c>
      <c r="G17" s="427">
        <f t="shared" si="2"/>
        <v>6.4590025223076067E-2</v>
      </c>
      <c r="H17" s="413" t="s">
        <v>339</v>
      </c>
    </row>
    <row r="18" spans="2:15" s="418" customFormat="1" ht="23.25" customHeight="1">
      <c r="B18" s="415">
        <v>7</v>
      </c>
      <c r="C18" s="403" t="s">
        <v>329</v>
      </c>
      <c r="D18" s="404">
        <f>ТС!E33</f>
        <v>102</v>
      </c>
      <c r="E18" s="432">
        <f>ТС!BB33</f>
        <v>0</v>
      </c>
      <c r="F18" s="404">
        <f>E18-D18</f>
        <v>-102</v>
      </c>
      <c r="G18" s="427">
        <f t="shared" si="2"/>
        <v>0</v>
      </c>
      <c r="H18" s="413" t="s">
        <v>340</v>
      </c>
    </row>
    <row r="19" spans="2:15" s="418" customFormat="1" ht="23.25" customHeight="1">
      <c r="B19" s="415">
        <v>8</v>
      </c>
      <c r="C19" s="403" t="s">
        <v>318</v>
      </c>
      <c r="D19" s="404">
        <f>ТС!E34</f>
        <v>1100</v>
      </c>
      <c r="E19" s="404">
        <f>ТС!BB34</f>
        <v>54.705209801561452</v>
      </c>
      <c r="F19" s="404">
        <f>E19-D19</f>
        <v>-1045.2947901984385</v>
      </c>
      <c r="G19" s="427">
        <f t="shared" si="2"/>
        <v>4.9732008910510411E-2</v>
      </c>
      <c r="H19" s="413" t="s">
        <v>341</v>
      </c>
    </row>
    <row r="20" spans="2:15" s="418" customFormat="1" ht="34.5" customHeight="1">
      <c r="B20" s="415">
        <v>9</v>
      </c>
      <c r="C20" s="403" t="s">
        <v>326</v>
      </c>
      <c r="D20" s="404">
        <f>ТС!E35</f>
        <v>141816.97452340313</v>
      </c>
      <c r="E20" s="404">
        <f>ТС!BB35</f>
        <v>52814.791438032269</v>
      </c>
      <c r="F20" s="404">
        <f>E20-D20</f>
        <v>-89002.183085370867</v>
      </c>
      <c r="G20" s="427">
        <f t="shared" si="2"/>
        <v>0.37241516127053315</v>
      </c>
      <c r="H20" s="413" t="s">
        <v>342</v>
      </c>
    </row>
    <row r="21" spans="2:15" s="418" customFormat="1" ht="61.5" customHeight="1">
      <c r="B21" s="415">
        <v>10</v>
      </c>
      <c r="C21" s="425" t="s">
        <v>471</v>
      </c>
      <c r="D21" s="404">
        <f>ТС!E41</f>
        <v>17234.586146861951</v>
      </c>
      <c r="E21" s="404">
        <f>ТС!BB41</f>
        <v>10017.539855095574</v>
      </c>
      <c r="F21" s="404">
        <f>E21-D21</f>
        <v>-7217.0462917663772</v>
      </c>
      <c r="G21" s="427">
        <f t="shared" si="2"/>
        <v>0.5812463246713675</v>
      </c>
      <c r="H21" s="413" t="s">
        <v>352</v>
      </c>
    </row>
    <row r="22" spans="2:15" s="418" customFormat="1" ht="29.25" hidden="1" customHeight="1">
      <c r="B22" s="442"/>
      <c r="C22" s="403" t="s">
        <v>320</v>
      </c>
      <c r="D22" s="404">
        <f>ТС!E61+ТС!E62</f>
        <v>0</v>
      </c>
      <c r="E22" s="404">
        <f>ТС!BB61+ТС!BB62</f>
        <v>0</v>
      </c>
      <c r="F22" s="404">
        <f t="shared" si="0"/>
        <v>0</v>
      </c>
      <c r="G22" s="427" t="e">
        <f t="shared" si="2"/>
        <v>#DIV/0!</v>
      </c>
      <c r="H22" s="413" t="s">
        <v>344</v>
      </c>
    </row>
    <row r="23" spans="2:15" s="418" customFormat="1" ht="20.25" customHeight="1">
      <c r="B23" s="415">
        <v>11</v>
      </c>
      <c r="C23" s="403" t="s">
        <v>319</v>
      </c>
      <c r="D23" s="404">
        <f>ТС!E63</f>
        <v>2308.298465229499</v>
      </c>
      <c r="E23" s="404">
        <f>ТС!BB63</f>
        <v>153.60298469882807</v>
      </c>
      <c r="F23" s="404">
        <f t="shared" si="0"/>
        <v>-2154.6954805306709</v>
      </c>
      <c r="G23" s="427">
        <f t="shared" si="2"/>
        <v>6.6543814421137396E-2</v>
      </c>
      <c r="H23" s="413" t="s">
        <v>343</v>
      </c>
    </row>
    <row r="24" spans="2:15" s="418" customFormat="1" ht="20.25" customHeight="1">
      <c r="B24" s="415">
        <v>12</v>
      </c>
      <c r="C24" s="403" t="s">
        <v>328</v>
      </c>
      <c r="D24" s="404">
        <f>ТС!E65</f>
        <v>567.51610114249934</v>
      </c>
      <c r="E24" s="404">
        <f>ТС!BB65</f>
        <v>128.12829283803691</v>
      </c>
      <c r="F24" s="404">
        <f>E24-D24</f>
        <v>-439.3878083044624</v>
      </c>
      <c r="G24" s="427">
        <f t="shared" si="2"/>
        <v>0.22577032189940421</v>
      </c>
      <c r="H24" s="407" t="s">
        <v>345</v>
      </c>
    </row>
    <row r="25" spans="2:15" s="418" customFormat="1" ht="45" customHeight="1">
      <c r="B25" s="426">
        <v>13</v>
      </c>
      <c r="C25" s="425" t="s">
        <v>330</v>
      </c>
      <c r="D25" s="433">
        <f>ТС!E70</f>
        <v>4004.7036997078421</v>
      </c>
      <c r="E25" s="433">
        <f>ТС!BB70</f>
        <v>524.10376587336907</v>
      </c>
      <c r="F25" s="404">
        <f>E25-D25</f>
        <v>-3480.5999338344732</v>
      </c>
      <c r="G25" s="427">
        <f t="shared" si="2"/>
        <v>0.13087204576748196</v>
      </c>
      <c r="H25" s="425" t="s">
        <v>353</v>
      </c>
    </row>
    <row r="26" spans="2:15" s="419" customFormat="1" ht="27.75" customHeight="1">
      <c r="B26" s="428" t="s">
        <v>45</v>
      </c>
      <c r="C26" s="429" t="s">
        <v>314</v>
      </c>
      <c r="D26" s="437">
        <f>ТС!E86</f>
        <v>957474.9034175683</v>
      </c>
      <c r="E26" s="437">
        <f>ТС!BB86</f>
        <v>583827.28090036148</v>
      </c>
      <c r="F26" s="437">
        <f>E26-D26</f>
        <v>-373647.62251720682</v>
      </c>
      <c r="G26" s="411">
        <f>E26/D26</f>
        <v>0.60975726759675308</v>
      </c>
      <c r="H26" s="412"/>
      <c r="L26" s="441"/>
      <c r="M26" s="441"/>
      <c r="O26" s="441"/>
    </row>
    <row r="27" spans="2:15" s="418" customFormat="1" ht="22.5" customHeight="1">
      <c r="B27" s="415">
        <v>1</v>
      </c>
      <c r="C27" s="425" t="s">
        <v>331</v>
      </c>
      <c r="D27" s="404">
        <f>ТС!E88+ТС!E89+ТС!E90</f>
        <v>6081.6</v>
      </c>
      <c r="E27" s="404">
        <f>ТС!BB88+ТС!BB89+ТС!BB90</f>
        <v>5889.353558513727</v>
      </c>
      <c r="F27" s="404">
        <f t="shared" ref="F27:F35" si="3">E27-D27</f>
        <v>-192.2464414862734</v>
      </c>
      <c r="G27" s="427">
        <f t="shared" si="2"/>
        <v>0.96838883821917365</v>
      </c>
      <c r="H27" s="407" t="s">
        <v>346</v>
      </c>
      <c r="J27" s="400"/>
    </row>
    <row r="28" spans="2:15" s="418" customFormat="1" ht="22.5" customHeight="1">
      <c r="B28" s="415">
        <v>2</v>
      </c>
      <c r="C28" s="403" t="s">
        <v>316</v>
      </c>
      <c r="D28" s="404">
        <f>ТС!E91</f>
        <v>2291</v>
      </c>
      <c r="E28" s="404">
        <f>ТС!BB91</f>
        <v>2928.6122574996134</v>
      </c>
      <c r="F28" s="404">
        <f t="shared" si="3"/>
        <v>637.61225749961341</v>
      </c>
      <c r="G28" s="427">
        <f t="shared" si="2"/>
        <v>1.2783117666955972</v>
      </c>
      <c r="H28" s="413" t="s">
        <v>313</v>
      </c>
      <c r="J28" s="400"/>
    </row>
    <row r="29" spans="2:15" s="418" customFormat="1" ht="29.25" customHeight="1">
      <c r="B29" s="415">
        <v>3</v>
      </c>
      <c r="C29" s="425" t="s">
        <v>332</v>
      </c>
      <c r="D29" s="404">
        <f>ТС!E92</f>
        <v>2398.131760804275</v>
      </c>
      <c r="E29" s="404">
        <f>ТС!BB92</f>
        <v>221.96815323806325</v>
      </c>
      <c r="F29" s="404">
        <f t="shared" si="3"/>
        <v>-2176.1636075662118</v>
      </c>
      <c r="G29" s="427">
        <f t="shared" si="2"/>
        <v>9.2558781325518383E-2</v>
      </c>
      <c r="H29" s="413" t="s">
        <v>347</v>
      </c>
      <c r="J29" s="400"/>
    </row>
    <row r="30" spans="2:15" s="418" customFormat="1" ht="22.5" customHeight="1">
      <c r="B30" s="415">
        <v>4</v>
      </c>
      <c r="C30" s="403" t="s">
        <v>318</v>
      </c>
      <c r="D30" s="404">
        <f>ТС!E97</f>
        <v>835</v>
      </c>
      <c r="E30" s="404">
        <f>ТС!BB97</f>
        <v>134.04857460659269</v>
      </c>
      <c r="F30" s="404">
        <f t="shared" si="3"/>
        <v>-700.95142539340736</v>
      </c>
      <c r="G30" s="427">
        <f t="shared" si="2"/>
        <v>0.16053721509771579</v>
      </c>
      <c r="H30" s="413" t="s">
        <v>348</v>
      </c>
      <c r="J30" s="400"/>
    </row>
    <row r="31" spans="2:15" s="418" customFormat="1" ht="22.5" customHeight="1">
      <c r="B31" s="415">
        <v>5</v>
      </c>
      <c r="C31" s="403" t="s">
        <v>333</v>
      </c>
      <c r="D31" s="404">
        <f>ТС!E99</f>
        <v>6.3876974278588996</v>
      </c>
      <c r="E31" s="404">
        <f>ТС!BB99</f>
        <v>1.9770703327222447</v>
      </c>
      <c r="F31" s="404">
        <f t="shared" si="3"/>
        <v>-4.4106270951366549</v>
      </c>
      <c r="G31" s="427">
        <f t="shared" si="2"/>
        <v>0.30951220765397797</v>
      </c>
      <c r="H31" s="413" t="s">
        <v>354</v>
      </c>
      <c r="J31" s="400"/>
    </row>
    <row r="32" spans="2:15" s="418" customFormat="1" ht="22.5" customHeight="1">
      <c r="B32" s="415">
        <v>6</v>
      </c>
      <c r="C32" s="403" t="s">
        <v>329</v>
      </c>
      <c r="D32" s="404">
        <f>ТС!E103</f>
        <v>65.980066527090543</v>
      </c>
      <c r="E32" s="404">
        <f>ТС!BB103</f>
        <v>4.183851752843462</v>
      </c>
      <c r="F32" s="404">
        <f t="shared" si="3"/>
        <v>-61.796214774247083</v>
      </c>
      <c r="G32" s="427">
        <f t="shared" si="2"/>
        <v>6.3410844715132683E-2</v>
      </c>
      <c r="H32" s="413" t="s">
        <v>340</v>
      </c>
      <c r="J32" s="400"/>
    </row>
    <row r="33" spans="2:10" s="418" customFormat="1" ht="22.5" customHeight="1">
      <c r="B33" s="415">
        <v>7</v>
      </c>
      <c r="C33" s="403" t="s">
        <v>334</v>
      </c>
      <c r="D33" s="404">
        <f>ТС!E104</f>
        <v>27.794604286419837</v>
      </c>
      <c r="E33" s="404">
        <f>ТС!BB104</f>
        <v>6.0064396540051996</v>
      </c>
      <c r="F33" s="404">
        <f t="shared" si="3"/>
        <v>-21.788164632414638</v>
      </c>
      <c r="G33" s="427">
        <f t="shared" si="2"/>
        <v>0.21610092347815454</v>
      </c>
      <c r="H33" s="407" t="s">
        <v>345</v>
      </c>
      <c r="J33" s="400"/>
    </row>
    <row r="34" spans="2:10" s="418" customFormat="1" ht="48" customHeight="1">
      <c r="B34" s="415">
        <v>8</v>
      </c>
      <c r="C34" s="425" t="s">
        <v>335</v>
      </c>
      <c r="D34" s="404">
        <f>ТС!E107</f>
        <v>1574.0092885226488</v>
      </c>
      <c r="E34" s="404">
        <f>ТС!BB107</f>
        <v>309.50935159781767</v>
      </c>
      <c r="F34" s="404">
        <f t="shared" si="3"/>
        <v>-1264.4999369248312</v>
      </c>
      <c r="G34" s="427">
        <f t="shared" si="2"/>
        <v>0.19663756361204221</v>
      </c>
      <c r="H34" s="413" t="s">
        <v>355</v>
      </c>
      <c r="J34" s="400"/>
    </row>
    <row r="35" spans="2:10" s="418" customFormat="1" ht="24" customHeight="1">
      <c r="B35" s="415">
        <v>9</v>
      </c>
      <c r="C35" s="424" t="s">
        <v>66</v>
      </c>
      <c r="D35" s="404">
        <f>ТС!E125</f>
        <v>944195</v>
      </c>
      <c r="E35" s="404">
        <f>ТС!BB125</f>
        <v>574331.62164316606</v>
      </c>
      <c r="F35" s="404">
        <f t="shared" si="3"/>
        <v>-369863.37835683394</v>
      </c>
      <c r="G35" s="427">
        <f t="shared" si="2"/>
        <v>0.60827649123662597</v>
      </c>
      <c r="H35" s="413" t="s">
        <v>349</v>
      </c>
      <c r="J35" s="400"/>
    </row>
    <row r="36" spans="2:10" ht="18.75" customHeight="1">
      <c r="B36" s="785">
        <v>10</v>
      </c>
      <c r="C36" s="526" t="str">
        <f>ТС!C126</f>
        <v>Всего затрат</v>
      </c>
      <c r="D36" s="524">
        <f>ТС!E126</f>
        <v>2072062.4208674384</v>
      </c>
      <c r="E36" s="524">
        <f>ТС!BB126</f>
        <v>1072494.7327678441</v>
      </c>
      <c r="F36" s="524">
        <f t="shared" ref="F36:F43" si="4">E36-D36</f>
        <v>-999567.68809959432</v>
      </c>
      <c r="G36" s="525">
        <f t="shared" si="2"/>
        <v>0.51759769491831231</v>
      </c>
    </row>
    <row r="37" spans="2:10" ht="18.75" customHeight="1">
      <c r="B37" s="415">
        <v>11</v>
      </c>
      <c r="C37" s="424" t="str">
        <f>ТС!C127</f>
        <v>Прибыль (чистый доход)</v>
      </c>
      <c r="D37" s="404">
        <f>ТС!E127</f>
        <v>2230431</v>
      </c>
      <c r="E37" s="404">
        <f>ТС!BB127</f>
        <v>684612.98526648618</v>
      </c>
      <c r="F37" s="404">
        <f t="shared" si="4"/>
        <v>-1545818.0147335138</v>
      </c>
      <c r="G37" s="427">
        <f t="shared" si="2"/>
        <v>0.30694201491392747</v>
      </c>
      <c r="J37" s="527"/>
    </row>
    <row r="38" spans="2:10" hidden="1">
      <c r="B38" s="415">
        <v>12</v>
      </c>
      <c r="C38" s="424" t="str">
        <f>ТС!C128</f>
        <v>Прочие доходы и расходы</v>
      </c>
      <c r="D38" s="404">
        <f>ТС!E128</f>
        <v>0</v>
      </c>
      <c r="E38" s="404">
        <f>ТС!BB128</f>
        <v>0</v>
      </c>
      <c r="F38" s="404">
        <f t="shared" si="4"/>
        <v>0</v>
      </c>
      <c r="G38" s="427" t="e">
        <f t="shared" si="2"/>
        <v>#DIV/0!</v>
      </c>
      <c r="J38" s="527"/>
    </row>
    <row r="39" spans="2:10" hidden="1">
      <c r="B39" s="415">
        <v>13</v>
      </c>
      <c r="C39" s="424" t="str">
        <f>ТС!C129</f>
        <v>Финансовые доходы и расходы</v>
      </c>
      <c r="D39" s="404">
        <f>ТС!E129</f>
        <v>0</v>
      </c>
      <c r="E39" s="404">
        <f>ТС!BB129</f>
        <v>0</v>
      </c>
      <c r="F39" s="404">
        <f t="shared" si="4"/>
        <v>0</v>
      </c>
      <c r="G39" s="427" t="e">
        <f t="shared" si="2"/>
        <v>#DIV/0!</v>
      </c>
      <c r="J39" s="527"/>
    </row>
    <row r="40" spans="2:10" hidden="1">
      <c r="B40" s="415">
        <v>14</v>
      </c>
      <c r="C40" s="424" t="str">
        <f>ТС!C130</f>
        <v>Невошло в исполнение ТС</v>
      </c>
      <c r="D40" s="404">
        <f>ТС!E130</f>
        <v>0</v>
      </c>
      <c r="E40" s="404">
        <f>ТС!BB130</f>
        <v>0</v>
      </c>
      <c r="F40" s="404">
        <f t="shared" si="4"/>
        <v>0</v>
      </c>
      <c r="G40" s="427" t="e">
        <f t="shared" si="2"/>
        <v>#DIV/0!</v>
      </c>
      <c r="J40" s="527"/>
    </row>
    <row r="41" spans="2:10" ht="18" customHeight="1">
      <c r="B41" s="415">
        <v>15</v>
      </c>
      <c r="C41" s="424" t="str">
        <f>ТС!C131</f>
        <v>КПН</v>
      </c>
      <c r="D41" s="404">
        <f>ТС!E131</f>
        <v>557607.75</v>
      </c>
      <c r="E41" s="404">
        <f>ТС!BB131</f>
        <v>171153.24631662155</v>
      </c>
      <c r="F41" s="404">
        <f t="shared" si="4"/>
        <v>-386454.50368337845</v>
      </c>
      <c r="G41" s="427">
        <f t="shared" si="2"/>
        <v>0.30694201491392747</v>
      </c>
      <c r="J41" s="527"/>
    </row>
    <row r="42" spans="2:10" ht="18" customHeight="1">
      <c r="B42" s="415">
        <v>16</v>
      </c>
      <c r="C42" s="424" t="str">
        <f>ТС!C132</f>
        <v>Итого прибыль</v>
      </c>
      <c r="D42" s="404">
        <f>ТС!E132</f>
        <v>2788038.75</v>
      </c>
      <c r="E42" s="404">
        <f>ТС!BB132</f>
        <v>855766.23158310773</v>
      </c>
      <c r="F42" s="404">
        <f t="shared" si="4"/>
        <v>-1932272.5184168923</v>
      </c>
      <c r="G42" s="427">
        <f t="shared" si="2"/>
        <v>0.30694201491392747</v>
      </c>
      <c r="J42" s="527"/>
    </row>
    <row r="43" spans="2:10" ht="18" customHeight="1">
      <c r="B43" s="785">
        <v>17</v>
      </c>
      <c r="C43" s="526" t="str">
        <f>ТС!C133</f>
        <v>Всего доходов</v>
      </c>
      <c r="D43" s="524">
        <f>ТС!E133</f>
        <v>4860101.1708674384</v>
      </c>
      <c r="E43" s="524">
        <f>ТС!BB133</f>
        <v>1928260.9142079998</v>
      </c>
      <c r="F43" s="524">
        <f t="shared" si="4"/>
        <v>-2931840.2566594388</v>
      </c>
      <c r="G43" s="525">
        <f t="shared" si="2"/>
        <v>0.3967532457485532</v>
      </c>
    </row>
    <row r="44" spans="2:10" ht="18" customHeight="1">
      <c r="B44" s="415">
        <v>18</v>
      </c>
      <c r="C44" s="424" t="str">
        <f>ТС!C134</f>
        <v xml:space="preserve">Объем оказанных услуг </v>
      </c>
      <c r="D44" s="404">
        <f>ТС!E134</f>
        <v>1632149</v>
      </c>
      <c r="E44" s="404">
        <f>ТС!BB134</f>
        <v>647501.99</v>
      </c>
      <c r="F44" s="404">
        <f t="shared" ref="F44:F48" si="5">E44-D44</f>
        <v>-984647.01</v>
      </c>
      <c r="G44" s="427">
        <f t="shared" si="2"/>
        <v>0.39671745042885176</v>
      </c>
    </row>
    <row r="45" spans="2:10" hidden="1">
      <c r="B45" s="415">
        <v>19</v>
      </c>
      <c r="C45" s="424">
        <f>ТС!C135</f>
        <v>0</v>
      </c>
      <c r="D45" s="404">
        <f>ТС!E135</f>
        <v>0</v>
      </c>
      <c r="E45" s="404">
        <f>ТС!BB135</f>
        <v>0</v>
      </c>
      <c r="F45" s="404">
        <f t="shared" si="5"/>
        <v>0</v>
      </c>
      <c r="G45" s="427" t="e">
        <f t="shared" ref="G44:G48" si="6">(E45-D45)/D45</f>
        <v>#DIV/0!</v>
      </c>
    </row>
    <row r="46" spans="2:10" hidden="1">
      <c r="B46" s="415">
        <v>20</v>
      </c>
      <c r="C46" s="424">
        <f>ТС!C136</f>
        <v>0</v>
      </c>
      <c r="D46" s="404">
        <f>ТС!E136</f>
        <v>0</v>
      </c>
      <c r="E46" s="404">
        <f>ТС!BB136</f>
        <v>0</v>
      </c>
      <c r="F46" s="404">
        <f t="shared" si="5"/>
        <v>0</v>
      </c>
      <c r="G46" s="427" t="e">
        <f t="shared" si="6"/>
        <v>#DIV/0!</v>
      </c>
    </row>
    <row r="47" spans="2:10" hidden="1">
      <c r="B47" s="415">
        <v>21</v>
      </c>
      <c r="C47" s="424">
        <f>ТС!C137</f>
        <v>0</v>
      </c>
      <c r="D47" s="404">
        <f>ТС!E137</f>
        <v>0</v>
      </c>
      <c r="E47" s="404">
        <f>ТС!BB137</f>
        <v>0</v>
      </c>
      <c r="F47" s="404">
        <f t="shared" si="5"/>
        <v>0</v>
      </c>
      <c r="G47" s="427" t="e">
        <f t="shared" si="6"/>
        <v>#DIV/0!</v>
      </c>
    </row>
    <row r="48" spans="2:10" hidden="1">
      <c r="B48" s="415">
        <v>22</v>
      </c>
      <c r="C48" s="424">
        <f>ТС!C138</f>
        <v>0</v>
      </c>
      <c r="D48" s="404">
        <f>ТС!E138</f>
        <v>0</v>
      </c>
      <c r="E48" s="404">
        <f>ТС!BB138</f>
        <v>0</v>
      </c>
      <c r="F48" s="404">
        <f t="shared" si="5"/>
        <v>0</v>
      </c>
      <c r="G48" s="427" t="e">
        <f t="shared" si="6"/>
        <v>#DIV/0!</v>
      </c>
    </row>
    <row r="49" spans="2:7" ht="19.5" customHeight="1">
      <c r="B49" s="415">
        <v>19</v>
      </c>
      <c r="C49" s="424" t="str">
        <f>ТС!C139</f>
        <v>Тариф</v>
      </c>
      <c r="D49" s="404">
        <f>ТС!E139</f>
        <v>2977.7313044749212</v>
      </c>
      <c r="E49" s="404">
        <f>ТС!BB139</f>
        <v>2977.9999814487055</v>
      </c>
      <c r="F49" s="404"/>
      <c r="G49" s="427"/>
    </row>
    <row r="52" spans="2:7">
      <c r="C52" s="866" t="s">
        <v>466</v>
      </c>
      <c r="D52" s="866" t="s">
        <v>468</v>
      </c>
    </row>
    <row r="53" spans="2:7">
      <c r="C53" s="866"/>
      <c r="D53" s="866"/>
    </row>
    <row r="54" spans="2:7">
      <c r="C54" s="866" t="s">
        <v>467</v>
      </c>
      <c r="D54" s="866" t="s">
        <v>469</v>
      </c>
    </row>
  </sheetData>
  <mergeCells count="7">
    <mergeCell ref="C1:H1"/>
    <mergeCell ref="B3:B4"/>
    <mergeCell ref="C3:C4"/>
    <mergeCell ref="D3:E3"/>
    <mergeCell ref="F3:F4"/>
    <mergeCell ref="G3:G4"/>
    <mergeCell ref="H3:H4"/>
  </mergeCells>
  <printOptions horizontalCentered="1"/>
  <pageMargins left="0.39370078740157483" right="0.19685039370078741" top="0.39370078740157483" bottom="0.39370078740157483" header="0.31496062992125984" footer="0.31496062992125984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5"/>
  <sheetViews>
    <sheetView showZeros="0" zoomScaleNormal="100" workbookViewId="0">
      <pane xSplit="3" ySplit="4" topLeftCell="D5" activePane="bottomRight" state="frozen"/>
      <selection pane="topRight" activeCell="C1" sqref="C1"/>
      <selection pane="bottomLeft" activeCell="A6" sqref="A6"/>
      <selection pane="bottomRight" activeCell="M43" sqref="M43"/>
    </sheetView>
  </sheetViews>
  <sheetFormatPr defaultColWidth="9.140625" defaultRowHeight="15"/>
  <cols>
    <col min="1" max="1" width="0.42578125" style="400" customWidth="1"/>
    <col min="2" max="2" width="6.85546875" style="414" customWidth="1"/>
    <col min="3" max="3" width="68.140625" style="400" customWidth="1"/>
    <col min="4" max="4" width="15.140625" style="400" customWidth="1"/>
    <col min="5" max="5" width="15.42578125" style="400" customWidth="1"/>
    <col min="6" max="6" width="19" style="400" hidden="1" customWidth="1"/>
    <col min="7" max="7" width="15.28515625" style="400" customWidth="1"/>
    <col min="8" max="8" width="53.140625" style="400" hidden="1" customWidth="1"/>
    <col min="9" max="9" width="1.28515625" style="400" customWidth="1"/>
    <col min="10" max="11" width="9.140625" style="400"/>
    <col min="12" max="12" width="15.28515625" style="400" customWidth="1"/>
    <col min="13" max="13" width="19.5703125" style="400" customWidth="1"/>
    <col min="14" max="14" width="9.140625" style="400"/>
    <col min="15" max="15" width="17.140625" style="400" customWidth="1"/>
    <col min="16" max="19" width="9.140625" style="400"/>
    <col min="20" max="20" width="9.5703125" style="400" customWidth="1"/>
    <col min="21" max="21" width="7.28515625" style="400" customWidth="1"/>
    <col min="22" max="16384" width="9.140625" style="400"/>
  </cols>
  <sheetData>
    <row r="1" spans="2:13" ht="92.25" customHeight="1">
      <c r="C1" s="838" t="s">
        <v>465</v>
      </c>
      <c r="D1" s="838"/>
      <c r="E1" s="838"/>
      <c r="F1" s="838"/>
      <c r="G1" s="838"/>
      <c r="H1" s="838"/>
    </row>
    <row r="2" spans="2:13" ht="9.75" customHeight="1">
      <c r="B2" s="867"/>
      <c r="C2" s="868"/>
      <c r="D2" s="868"/>
      <c r="E2" s="868"/>
      <c r="F2" s="868"/>
      <c r="G2" s="868"/>
    </row>
    <row r="3" spans="2:13" ht="30.75" hidden="1" customHeight="1">
      <c r="B3" s="839" t="s">
        <v>299</v>
      </c>
      <c r="C3" s="839" t="s">
        <v>300</v>
      </c>
      <c r="D3" s="840" t="s">
        <v>366</v>
      </c>
      <c r="E3" s="840"/>
      <c r="F3" s="839" t="s">
        <v>301</v>
      </c>
      <c r="G3" s="839" t="s">
        <v>336</v>
      </c>
      <c r="H3" s="841" t="s">
        <v>302</v>
      </c>
    </row>
    <row r="4" spans="2:13" ht="31.5">
      <c r="B4" s="839"/>
      <c r="C4" s="839"/>
      <c r="D4" s="466" t="s">
        <v>373</v>
      </c>
      <c r="E4" s="466" t="s">
        <v>374</v>
      </c>
      <c r="F4" s="839"/>
      <c r="G4" s="839"/>
      <c r="H4" s="841"/>
    </row>
    <row r="5" spans="2:13" s="417" customFormat="1" ht="15.75" hidden="1">
      <c r="B5" s="428" t="s">
        <v>4</v>
      </c>
      <c r="C5" s="434" t="s">
        <v>303</v>
      </c>
      <c r="D5" s="435">
        <f>SUM(D6:D9)</f>
        <v>6070878.0920951562</v>
      </c>
      <c r="E5" s="435">
        <f>SUM(E6:E9)</f>
        <v>4805832.3559680004</v>
      </c>
      <c r="F5" s="435">
        <f>E5-D5</f>
        <v>-1265045.7361271558</v>
      </c>
      <c r="G5" s="436">
        <f>(E5-D5)/D5</f>
        <v>-0.20837936735615928</v>
      </c>
      <c r="H5" s="402"/>
    </row>
    <row r="6" spans="2:13" s="418" customFormat="1" ht="109.5" hidden="1" customHeight="1">
      <c r="B6" s="415">
        <v>1</v>
      </c>
      <c r="C6" s="403" t="s">
        <v>304</v>
      </c>
      <c r="D6" s="404">
        <f>ТС!Q133</f>
        <v>2025042.1545280993</v>
      </c>
      <c r="E6" s="404">
        <f>ТС!BB133</f>
        <v>1928260.9142079998</v>
      </c>
      <c r="F6" s="405">
        <f>E6-D6</f>
        <v>-96781.240320099518</v>
      </c>
      <c r="G6" s="406">
        <f>(E6-D6)/D6</f>
        <v>-4.7792210203472379E-2</v>
      </c>
      <c r="H6" s="407" t="s">
        <v>337</v>
      </c>
    </row>
    <row r="7" spans="2:13" s="418" customFormat="1" ht="94.5" hidden="1" customHeight="1">
      <c r="B7" s="415">
        <v>2</v>
      </c>
      <c r="C7" s="403" t="s">
        <v>305</v>
      </c>
      <c r="D7" s="404">
        <f>ТС!R133</f>
        <v>1614964.8512198529</v>
      </c>
      <c r="E7" s="404">
        <f>ТС!BC133</f>
        <v>888400.85576000006</v>
      </c>
      <c r="F7" s="405">
        <f>E7-D7</f>
        <v>-726563.99545985286</v>
      </c>
      <c r="G7" s="406">
        <f>(E7-D7)/D7</f>
        <v>-0.44989461839435552</v>
      </c>
      <c r="H7" s="407" t="s">
        <v>306</v>
      </c>
      <c r="I7" s="422"/>
    </row>
    <row r="8" spans="2:13" s="418" customFormat="1" ht="110.25" hidden="1" customHeight="1">
      <c r="B8" s="415">
        <v>3</v>
      </c>
      <c r="C8" s="403" t="s">
        <v>307</v>
      </c>
      <c r="D8" s="404">
        <f>ТС!S133</f>
        <v>2362884.7848282927</v>
      </c>
      <c r="E8" s="404">
        <f>ТС!BD133</f>
        <v>1987376.7649999999</v>
      </c>
      <c r="F8" s="405">
        <f>E8-D8</f>
        <v>-375508.01982829277</v>
      </c>
      <c r="G8" s="406">
        <f>(E8-D8)/D8</f>
        <v>-0.15891931009051732</v>
      </c>
      <c r="H8" s="407" t="s">
        <v>308</v>
      </c>
    </row>
    <row r="9" spans="2:13" s="418" customFormat="1" ht="77.25" hidden="1" customHeight="1">
      <c r="B9" s="415">
        <v>4</v>
      </c>
      <c r="C9" s="403" t="s">
        <v>309</v>
      </c>
      <c r="D9" s="404">
        <f>ТС!T133</f>
        <v>67986.301518910288</v>
      </c>
      <c r="E9" s="404">
        <f>ТС!BE133</f>
        <v>1793.8209999999999</v>
      </c>
      <c r="F9" s="405">
        <f>E9-D9</f>
        <v>-66192.480518910292</v>
      </c>
      <c r="G9" s="406">
        <f>(E9-D9)/D9</f>
        <v>-0.97361496419244031</v>
      </c>
      <c r="H9" s="407" t="s">
        <v>310</v>
      </c>
    </row>
    <row r="10" spans="2:13" s="418" customFormat="1" ht="125.25" hidden="1" customHeight="1">
      <c r="B10" s="415">
        <v>5</v>
      </c>
      <c r="C10" s="408" t="s">
        <v>315</v>
      </c>
      <c r="D10" s="405">
        <f>[56]ПП!AV49</f>
        <v>0</v>
      </c>
      <c r="E10" s="405"/>
      <c r="F10" s="405"/>
      <c r="G10" s="406"/>
      <c r="H10" s="409" t="s">
        <v>311</v>
      </c>
    </row>
    <row r="11" spans="2:13" s="419" customFormat="1" ht="15.75">
      <c r="B11" s="416" t="s">
        <v>4</v>
      </c>
      <c r="C11" s="410" t="s">
        <v>312</v>
      </c>
      <c r="D11" s="438">
        <f>ТС!F6</f>
        <v>994883.7768598689</v>
      </c>
      <c r="E11" s="438">
        <f>ТС!BC6</f>
        <v>401501.60688068136</v>
      </c>
      <c r="F11" s="438">
        <f t="shared" ref="F11:F35" si="0">E11-D11</f>
        <v>-593382.16997918754</v>
      </c>
      <c r="G11" s="411">
        <f>E11/D11</f>
        <v>0.40356634233993904</v>
      </c>
      <c r="H11" s="412"/>
      <c r="J11" s="418"/>
      <c r="L11" s="441"/>
      <c r="M11" s="441"/>
    </row>
    <row r="12" spans="2:13" s="423" customFormat="1" ht="34.5" customHeight="1">
      <c r="B12" s="415">
        <v>1</v>
      </c>
      <c r="C12" s="403" t="s">
        <v>321</v>
      </c>
      <c r="D12" s="404">
        <f>ТС!F8</f>
        <v>25026</v>
      </c>
      <c r="E12" s="404">
        <f>ТС!BC8</f>
        <v>1633.7519966355262</v>
      </c>
      <c r="F12" s="404">
        <f t="shared" si="0"/>
        <v>-23392.248003364475</v>
      </c>
      <c r="G12" s="427">
        <f>E12/D12</f>
        <v>6.5282186391573807E-2</v>
      </c>
      <c r="H12" s="407" t="s">
        <v>351</v>
      </c>
      <c r="J12" s="420"/>
      <c r="L12" s="440"/>
      <c r="M12" s="440"/>
    </row>
    <row r="13" spans="2:13" s="423" customFormat="1" ht="22.5" customHeight="1">
      <c r="B13" s="421">
        <v>2</v>
      </c>
      <c r="C13" s="424" t="s">
        <v>322</v>
      </c>
      <c r="D13" s="431">
        <f>ТС!F20</f>
        <v>13516</v>
      </c>
      <c r="E13" s="431">
        <f>ТС!BC20</f>
        <v>483.94465818895327</v>
      </c>
      <c r="F13" s="404">
        <f t="shared" si="0"/>
        <v>-13032.055341811047</v>
      </c>
      <c r="G13" s="427">
        <f t="shared" ref="G13:G43" si="1">E13/D13</f>
        <v>3.5805316527741438E-2</v>
      </c>
      <c r="H13" s="413" t="s">
        <v>356</v>
      </c>
      <c r="J13" s="420"/>
    </row>
    <row r="14" spans="2:13" s="423" customFormat="1" ht="21" customHeight="1">
      <c r="B14" s="421">
        <v>3</v>
      </c>
      <c r="C14" s="424" t="s">
        <v>323</v>
      </c>
      <c r="D14" s="431">
        <f>ТС!F23</f>
        <v>2020.014689048257</v>
      </c>
      <c r="E14" s="431">
        <f>ТС!BC23</f>
        <v>2529.5233411371505</v>
      </c>
      <c r="F14" s="404">
        <f t="shared" si="0"/>
        <v>509.50865208889354</v>
      </c>
      <c r="G14" s="427">
        <f t="shared" si="1"/>
        <v>1.2522301718157069</v>
      </c>
      <c r="H14" s="413" t="s">
        <v>343</v>
      </c>
      <c r="J14" s="420"/>
    </row>
    <row r="15" spans="2:13" s="423" customFormat="1" ht="22.5" customHeight="1">
      <c r="B15" s="415">
        <v>4</v>
      </c>
      <c r="C15" s="403" t="s">
        <v>317</v>
      </c>
      <c r="D15" s="404">
        <f>ТС!F24</f>
        <v>37288.399999999994</v>
      </c>
      <c r="E15" s="404">
        <f>ТС!BC24</f>
        <v>48802.19183510232</v>
      </c>
      <c r="F15" s="404">
        <f t="shared" si="0"/>
        <v>11513.791835102325</v>
      </c>
      <c r="G15" s="427">
        <f t="shared" si="1"/>
        <v>1.3087767733424422</v>
      </c>
      <c r="H15" s="407" t="s">
        <v>338</v>
      </c>
      <c r="J15" s="420"/>
    </row>
    <row r="16" spans="2:13" s="418" customFormat="1" ht="22.5" customHeight="1">
      <c r="B16" s="415">
        <v>5</v>
      </c>
      <c r="C16" s="403" t="s">
        <v>324</v>
      </c>
      <c r="D16" s="404">
        <f>ТС!F29</f>
        <v>768165</v>
      </c>
      <c r="E16" s="404">
        <f>ТС!BC29</f>
        <v>292838.03395972616</v>
      </c>
      <c r="F16" s="404">
        <f t="shared" si="0"/>
        <v>-475326.96604027384</v>
      </c>
      <c r="G16" s="427">
        <f t="shared" si="1"/>
        <v>0.38121762116176361</v>
      </c>
      <c r="H16" s="413" t="s">
        <v>350</v>
      </c>
    </row>
    <row r="17" spans="2:15" s="418" customFormat="1" ht="22.5" customHeight="1">
      <c r="B17" s="415">
        <v>6</v>
      </c>
      <c r="C17" s="403" t="s">
        <v>325</v>
      </c>
      <c r="D17" s="404">
        <f>ТС!F32</f>
        <v>808.81926910486698</v>
      </c>
      <c r="E17" s="404">
        <f>ТС!BC32</f>
        <v>52.24165699239331</v>
      </c>
      <c r="F17" s="404">
        <f t="shared" si="0"/>
        <v>-756.57761211247362</v>
      </c>
      <c r="G17" s="427">
        <f t="shared" si="1"/>
        <v>6.4590025223076067E-2</v>
      </c>
      <c r="H17" s="413" t="s">
        <v>339</v>
      </c>
    </row>
    <row r="18" spans="2:15" s="418" customFormat="1" ht="22.5" customHeight="1">
      <c r="B18" s="415">
        <v>7</v>
      </c>
      <c r="C18" s="403" t="s">
        <v>329</v>
      </c>
      <c r="D18" s="404">
        <f>ТС!F33</f>
        <v>165.86356616311124</v>
      </c>
      <c r="E18" s="432">
        <f>ТС!BC33</f>
        <v>0</v>
      </c>
      <c r="F18" s="404">
        <f t="shared" si="0"/>
        <v>-165.86356616311124</v>
      </c>
      <c r="G18" s="427">
        <f t="shared" si="1"/>
        <v>0</v>
      </c>
      <c r="H18" s="413" t="s">
        <v>340</v>
      </c>
    </row>
    <row r="19" spans="2:15" s="418" customFormat="1" ht="22.5" customHeight="1">
      <c r="B19" s="415">
        <v>8</v>
      </c>
      <c r="C19" s="403" t="s">
        <v>318</v>
      </c>
      <c r="D19" s="404">
        <f>ТС!F34</f>
        <v>1784</v>
      </c>
      <c r="E19" s="404">
        <f>ТС!BC34</f>
        <v>75.436953089888718</v>
      </c>
      <c r="F19" s="404">
        <f t="shared" si="0"/>
        <v>-1708.5630469101113</v>
      </c>
      <c r="G19" s="427">
        <f t="shared" si="1"/>
        <v>4.2285287606439861E-2</v>
      </c>
      <c r="H19" s="413" t="s">
        <v>341</v>
      </c>
    </row>
    <row r="20" spans="2:15" s="418" customFormat="1" ht="20.25" customHeight="1">
      <c r="B20" s="415">
        <v>9</v>
      </c>
      <c r="C20" s="403" t="s">
        <v>326</v>
      </c>
      <c r="D20" s="404">
        <f>ТС!F35</f>
        <v>112228.27534451782</v>
      </c>
      <c r="E20" s="404">
        <f>ТС!BC35</f>
        <v>40202.092209060422</v>
      </c>
      <c r="F20" s="404">
        <f t="shared" si="0"/>
        <v>-72026.183135457395</v>
      </c>
      <c r="G20" s="427">
        <f t="shared" si="1"/>
        <v>0.35821714345737055</v>
      </c>
      <c r="H20" s="413" t="s">
        <v>342</v>
      </c>
    </row>
    <row r="21" spans="2:15" s="418" customFormat="1" ht="63" customHeight="1">
      <c r="B21" s="415">
        <v>10</v>
      </c>
      <c r="C21" s="425" t="s">
        <v>471</v>
      </c>
      <c r="D21" s="404">
        <f>ТС!F41</f>
        <v>24155.567072327249</v>
      </c>
      <c r="E21" s="404">
        <f>ТС!BC41</f>
        <v>13797.509489094729</v>
      </c>
      <c r="F21" s="404">
        <f t="shared" si="0"/>
        <v>-10358.057583232519</v>
      </c>
      <c r="G21" s="427">
        <f t="shared" si="1"/>
        <v>0.57119377275564909</v>
      </c>
      <c r="H21" s="413" t="s">
        <v>352</v>
      </c>
    </row>
    <row r="22" spans="2:15" s="418" customFormat="1" ht="29.25" hidden="1" customHeight="1">
      <c r="B22" s="442"/>
      <c r="C22" s="403" t="s">
        <v>320</v>
      </c>
      <c r="D22" s="404">
        <f>ТС!F61+ТС!F62</f>
        <v>0</v>
      </c>
      <c r="E22" s="404">
        <f>ТС!BC61+ТС!BC62</f>
        <v>0</v>
      </c>
      <c r="F22" s="404">
        <f t="shared" si="0"/>
        <v>0</v>
      </c>
      <c r="G22" s="427" t="e">
        <f t="shared" si="1"/>
        <v>#DIV/0!</v>
      </c>
      <c r="H22" s="413" t="s">
        <v>344</v>
      </c>
    </row>
    <row r="23" spans="2:15" s="418" customFormat="1" ht="19.5" customHeight="1">
      <c r="B23" s="415">
        <v>11</v>
      </c>
      <c r="C23" s="403" t="s">
        <v>319</v>
      </c>
      <c r="D23" s="404">
        <f>ТС!F63</f>
        <v>3183.0789731110704</v>
      </c>
      <c r="E23" s="404">
        <f>ТС!BC63</f>
        <v>211.81421647452763</v>
      </c>
      <c r="F23" s="404">
        <f t="shared" si="0"/>
        <v>-2971.2647566365426</v>
      </c>
      <c r="G23" s="427">
        <f t="shared" si="1"/>
        <v>6.6543814421137382E-2</v>
      </c>
      <c r="H23" s="413" t="s">
        <v>343</v>
      </c>
    </row>
    <row r="24" spans="2:15" s="418" customFormat="1" ht="19.5" customHeight="1">
      <c r="B24" s="415">
        <v>12</v>
      </c>
      <c r="C24" s="403" t="s">
        <v>328</v>
      </c>
      <c r="D24" s="404">
        <f>ТС!F65</f>
        <v>789.22704102149214</v>
      </c>
      <c r="E24" s="404">
        <f>ТС!BC65</f>
        <v>152.34214196911259</v>
      </c>
      <c r="F24" s="404">
        <f t="shared" si="0"/>
        <v>-636.88489905237952</v>
      </c>
      <c r="G24" s="427">
        <f t="shared" si="1"/>
        <v>0.19302701763986319</v>
      </c>
      <c r="H24" s="407" t="s">
        <v>345</v>
      </c>
    </row>
    <row r="25" spans="2:15" s="418" customFormat="1" ht="48" customHeight="1">
      <c r="B25" s="426">
        <v>13</v>
      </c>
      <c r="C25" s="425" t="s">
        <v>330</v>
      </c>
      <c r="D25" s="433">
        <f>ТС!F70</f>
        <v>5753.5309045750673</v>
      </c>
      <c r="E25" s="433">
        <f>ТС!BC70</f>
        <v>722.72442321014296</v>
      </c>
      <c r="F25" s="404">
        <f t="shared" si="0"/>
        <v>-5030.8064813649244</v>
      </c>
      <c r="G25" s="427">
        <f t="shared" si="1"/>
        <v>0.12561406816037959</v>
      </c>
      <c r="H25" s="425" t="s">
        <v>353</v>
      </c>
    </row>
    <row r="26" spans="2:15" s="419" customFormat="1" ht="20.25" customHeight="1">
      <c r="B26" s="428" t="s">
        <v>45</v>
      </c>
      <c r="C26" s="429" t="s">
        <v>314</v>
      </c>
      <c r="D26" s="437">
        <f>ТС!F86</f>
        <v>802930.86606777809</v>
      </c>
      <c r="E26" s="437">
        <f>ТС!BC86</f>
        <v>448388.58786646958</v>
      </c>
      <c r="F26" s="437">
        <f t="shared" si="0"/>
        <v>-354542.27820130851</v>
      </c>
      <c r="G26" s="430">
        <f>E26/D26</f>
        <v>0.55843984434473037</v>
      </c>
      <c r="H26" s="412"/>
      <c r="L26" s="441"/>
      <c r="M26" s="441"/>
      <c r="O26" s="441"/>
    </row>
    <row r="27" spans="2:15" s="418" customFormat="1" ht="19.5" customHeight="1">
      <c r="B27" s="415">
        <v>1</v>
      </c>
      <c r="C27" s="425" t="s">
        <v>331</v>
      </c>
      <c r="D27" s="404">
        <f>ТС!F88+ТС!F89+ТС!F90</f>
        <v>3949.7</v>
      </c>
      <c r="E27" s="404">
        <f>ТС!BC88+ТС!BC89+ТС!BC90</f>
        <v>8121.2537112084747</v>
      </c>
      <c r="F27" s="404">
        <f t="shared" si="0"/>
        <v>4171.5537112084749</v>
      </c>
      <c r="G27" s="427">
        <f t="shared" si="1"/>
        <v>2.0561697625663911</v>
      </c>
      <c r="H27" s="407" t="s">
        <v>346</v>
      </c>
      <c r="J27" s="400"/>
    </row>
    <row r="28" spans="2:15" s="418" customFormat="1" ht="19.5" customHeight="1">
      <c r="B28" s="415">
        <v>2</v>
      </c>
      <c r="C28" s="403" t="s">
        <v>316</v>
      </c>
      <c r="D28" s="404">
        <f>ТС!F91</f>
        <v>1809</v>
      </c>
      <c r="E28" s="404">
        <f>ТС!BC91</f>
        <v>2229.2304260772175</v>
      </c>
      <c r="F28" s="404">
        <f t="shared" si="0"/>
        <v>420.23042607721754</v>
      </c>
      <c r="G28" s="427">
        <f t="shared" si="1"/>
        <v>1.2322998485777874</v>
      </c>
      <c r="H28" s="413" t="s">
        <v>313</v>
      </c>
      <c r="J28" s="400"/>
    </row>
    <row r="29" spans="2:15" s="418" customFormat="1" ht="33" customHeight="1">
      <c r="B29" s="415">
        <v>3</v>
      </c>
      <c r="C29" s="425" t="s">
        <v>332</v>
      </c>
      <c r="D29" s="404">
        <f>ТС!F92</f>
        <v>3306.9565732293504</v>
      </c>
      <c r="E29" s="404">
        <f>ТС!BC92</f>
        <v>306.08787031452107</v>
      </c>
      <c r="F29" s="404">
        <f t="shared" si="0"/>
        <v>-3000.8687029148296</v>
      </c>
      <c r="G29" s="427">
        <f t="shared" si="1"/>
        <v>9.2558781325518383E-2</v>
      </c>
      <c r="H29" s="413" t="s">
        <v>347</v>
      </c>
      <c r="J29" s="400"/>
    </row>
    <row r="30" spans="2:15" s="418" customFormat="1" ht="19.5" customHeight="1">
      <c r="B30" s="415">
        <v>4</v>
      </c>
      <c r="C30" s="403" t="s">
        <v>318</v>
      </c>
      <c r="D30" s="404">
        <f>ТС!F97</f>
        <v>1354</v>
      </c>
      <c r="E30" s="404">
        <f>ТС!BC97</f>
        <v>184.84923229515428</v>
      </c>
      <c r="F30" s="404">
        <f t="shared" si="0"/>
        <v>-1169.1507677048457</v>
      </c>
      <c r="G30" s="427">
        <f t="shared" si="1"/>
        <v>0.1365208510303946</v>
      </c>
      <c r="H30" s="413" t="s">
        <v>348</v>
      </c>
      <c r="J30" s="400"/>
    </row>
    <row r="31" spans="2:15" s="418" customFormat="1" ht="19.5" customHeight="1">
      <c r="B31" s="415">
        <v>5</v>
      </c>
      <c r="C31" s="403" t="s">
        <v>333</v>
      </c>
      <c r="D31" s="404">
        <f>ТС!F99</f>
        <v>4.7549899603638757</v>
      </c>
      <c r="E31" s="404">
        <f>ТС!BC99</f>
        <v>1.5049262082792525</v>
      </c>
      <c r="F31" s="404">
        <f t="shared" si="0"/>
        <v>-3.2500637520846229</v>
      </c>
      <c r="G31" s="427">
        <f t="shared" si="1"/>
        <v>0.31649408743737661</v>
      </c>
      <c r="H31" s="413" t="s">
        <v>354</v>
      </c>
      <c r="J31" s="400"/>
    </row>
    <row r="32" spans="2:15" s="418" customFormat="1" ht="19.5" customHeight="1">
      <c r="B32" s="415">
        <v>6</v>
      </c>
      <c r="C32" s="403" t="s">
        <v>329</v>
      </c>
      <c r="D32" s="404">
        <f>ТС!F103</f>
        <v>107.2</v>
      </c>
      <c r="E32" s="404">
        <f>ТС!BC103</f>
        <v>5.7694144590464997</v>
      </c>
      <c r="F32" s="404">
        <f t="shared" si="0"/>
        <v>-101.4305855409535</v>
      </c>
      <c r="G32" s="427">
        <f t="shared" si="1"/>
        <v>5.3819164729911377E-2</v>
      </c>
      <c r="H32" s="413" t="s">
        <v>340</v>
      </c>
      <c r="J32" s="400"/>
    </row>
    <row r="33" spans="2:10" s="418" customFormat="1" ht="19.5" customHeight="1">
      <c r="B33" s="415">
        <v>7</v>
      </c>
      <c r="C33" s="403" t="s">
        <v>334</v>
      </c>
      <c r="D33" s="404">
        <f>ТС!F104</f>
        <v>38.327981325954553</v>
      </c>
      <c r="E33" s="404">
        <f>ТС!BC104</f>
        <v>8.2827121595922417</v>
      </c>
      <c r="F33" s="404">
        <f t="shared" si="0"/>
        <v>-30.04526916636231</v>
      </c>
      <c r="G33" s="427">
        <f t="shared" si="1"/>
        <v>0.21610092347815454</v>
      </c>
      <c r="H33" s="407" t="s">
        <v>345</v>
      </c>
      <c r="J33" s="400"/>
    </row>
    <row r="34" spans="2:10" s="418" customFormat="1" ht="48.75" customHeight="1">
      <c r="B34" s="415">
        <v>8</v>
      </c>
      <c r="C34" s="425" t="s">
        <v>335</v>
      </c>
      <c r="D34" s="404">
        <f>ТС!F107</f>
        <v>2152.5265232623533</v>
      </c>
      <c r="E34" s="404">
        <f>ТС!BC107</f>
        <v>356.11037730460532</v>
      </c>
      <c r="F34" s="404">
        <f t="shared" si="0"/>
        <v>-1796.4161459577481</v>
      </c>
      <c r="G34" s="427">
        <f t="shared" si="1"/>
        <v>0.16543832257401739</v>
      </c>
      <c r="H34" s="413" t="s">
        <v>355</v>
      </c>
      <c r="J34" s="400"/>
    </row>
    <row r="35" spans="2:10" s="418" customFormat="1" ht="21" customHeight="1">
      <c r="B35" s="415">
        <v>9</v>
      </c>
      <c r="C35" s="424" t="s">
        <v>66</v>
      </c>
      <c r="D35" s="404">
        <f>ТС!F125</f>
        <v>790208.4</v>
      </c>
      <c r="E35" s="404">
        <f>ТС!BC125</f>
        <v>437175.49919644266</v>
      </c>
      <c r="F35" s="404">
        <f t="shared" si="0"/>
        <v>-353032.90080355736</v>
      </c>
      <c r="G35" s="427">
        <f t="shared" si="1"/>
        <v>0.55324076433057745</v>
      </c>
      <c r="H35" s="413" t="s">
        <v>349</v>
      </c>
      <c r="J35" s="400"/>
    </row>
    <row r="36" spans="2:10" ht="21" customHeight="1">
      <c r="B36" s="523">
        <v>10</v>
      </c>
      <c r="C36" s="526" t="str">
        <f>ТС!C126</f>
        <v>Всего затрат</v>
      </c>
      <c r="D36" s="524">
        <f>ТС!F126</f>
        <v>1797814.6429276471</v>
      </c>
      <c r="E36" s="524">
        <f>ТС!BC126</f>
        <v>849890.19474715088</v>
      </c>
      <c r="F36" s="524">
        <f t="shared" ref="F36:F46" si="2">E36-D36</f>
        <v>-947924.44818049623</v>
      </c>
      <c r="G36" s="525">
        <f t="shared" si="1"/>
        <v>0.47273516104149044</v>
      </c>
    </row>
    <row r="37" spans="2:10" ht="21" customHeight="1">
      <c r="B37" s="415">
        <v>11</v>
      </c>
      <c r="C37" s="424" t="str">
        <f>ТС!C127</f>
        <v>Прибыль (чистый доход)</v>
      </c>
      <c r="D37" s="404">
        <f>ТС!F127</f>
        <v>1653656</v>
      </c>
      <c r="E37" s="404">
        <f>ТС!BC127</f>
        <v>30808.54942429837</v>
      </c>
      <c r="F37" s="404">
        <f t="shared" si="2"/>
        <v>-1622847.4505757017</v>
      </c>
      <c r="G37" s="427">
        <f t="shared" si="1"/>
        <v>1.8630567315268937E-2</v>
      </c>
      <c r="J37" s="527"/>
    </row>
    <row r="38" spans="2:10" hidden="1">
      <c r="B38" s="415">
        <v>12</v>
      </c>
      <c r="C38" s="424" t="str">
        <f>ТС!C128</f>
        <v>Прочие доходы и расходы</v>
      </c>
      <c r="D38" s="404">
        <f>ТС!F128</f>
        <v>0</v>
      </c>
      <c r="E38" s="404">
        <f>ТС!BC128</f>
        <v>0</v>
      </c>
      <c r="F38" s="404">
        <f t="shared" si="2"/>
        <v>0</v>
      </c>
      <c r="G38" s="427" t="e">
        <f t="shared" si="1"/>
        <v>#DIV/0!</v>
      </c>
      <c r="J38" s="527"/>
    </row>
    <row r="39" spans="2:10" hidden="1">
      <c r="B39" s="415">
        <v>13</v>
      </c>
      <c r="C39" s="424" t="str">
        <f>ТС!C129</f>
        <v>Финансовые доходы и расходы</v>
      </c>
      <c r="D39" s="404">
        <f>ТС!F129</f>
        <v>0</v>
      </c>
      <c r="E39" s="404">
        <f>ТС!BC129</f>
        <v>0</v>
      </c>
      <c r="F39" s="404">
        <f t="shared" si="2"/>
        <v>0</v>
      </c>
      <c r="G39" s="427" t="e">
        <f t="shared" si="1"/>
        <v>#DIV/0!</v>
      </c>
      <c r="J39" s="527"/>
    </row>
    <row r="40" spans="2:10" hidden="1">
      <c r="B40" s="415">
        <v>14</v>
      </c>
      <c r="C40" s="424" t="str">
        <f>ТС!C130</f>
        <v>Невошло в исполнение ТС</v>
      </c>
      <c r="D40" s="404">
        <f>ТС!F130</f>
        <v>0</v>
      </c>
      <c r="E40" s="404">
        <f>ТС!BC130</f>
        <v>0</v>
      </c>
      <c r="F40" s="404">
        <f t="shared" si="2"/>
        <v>0</v>
      </c>
      <c r="G40" s="427" t="e">
        <f t="shared" si="1"/>
        <v>#DIV/0!</v>
      </c>
      <c r="J40" s="527"/>
    </row>
    <row r="41" spans="2:10" ht="21" customHeight="1">
      <c r="B41" s="415">
        <v>15</v>
      </c>
      <c r="C41" s="424" t="str">
        <f>ТС!C131</f>
        <v>КПН</v>
      </c>
      <c r="D41" s="404">
        <f>ТС!F131</f>
        <v>424445</v>
      </c>
      <c r="E41" s="404">
        <f>ТС!BC131</f>
        <v>7702.1373560745915</v>
      </c>
      <c r="F41" s="404">
        <f t="shared" si="2"/>
        <v>-416742.86264392541</v>
      </c>
      <c r="G41" s="427">
        <f t="shared" si="1"/>
        <v>1.8146373160420292E-2</v>
      </c>
      <c r="J41" s="527"/>
    </row>
    <row r="42" spans="2:10" ht="21" customHeight="1">
      <c r="B42" s="415">
        <v>16</v>
      </c>
      <c r="C42" s="424" t="str">
        <f>ТС!C132</f>
        <v>Итого прибыль</v>
      </c>
      <c r="D42" s="404">
        <f>ТС!F132</f>
        <v>2078101</v>
      </c>
      <c r="E42" s="404">
        <f>ТС!BC132</f>
        <v>38510.686780372955</v>
      </c>
      <c r="F42" s="404">
        <f t="shared" si="2"/>
        <v>-2039590.3132196271</v>
      </c>
      <c r="G42" s="427">
        <f t="shared" si="1"/>
        <v>1.853167232024476E-2</v>
      </c>
      <c r="J42" s="527"/>
    </row>
    <row r="43" spans="2:10" ht="21" customHeight="1">
      <c r="B43" s="523">
        <v>17</v>
      </c>
      <c r="C43" s="526" t="str">
        <f>ТС!C133</f>
        <v>Всего доходов</v>
      </c>
      <c r="D43" s="524">
        <f>ТС!F133</f>
        <v>3875915.6429276471</v>
      </c>
      <c r="E43" s="524">
        <f>ТС!BC133</f>
        <v>888400.85576000006</v>
      </c>
      <c r="F43" s="524">
        <f t="shared" si="2"/>
        <v>-2987514.7871676469</v>
      </c>
      <c r="G43" s="525">
        <f t="shared" si="1"/>
        <v>0.22921057566901853</v>
      </c>
    </row>
    <row r="44" spans="2:10" hidden="1">
      <c r="B44" s="415">
        <v>18</v>
      </c>
      <c r="C44" s="424" t="str">
        <f>ТС!C134</f>
        <v xml:space="preserve">Объем оказанных услуг </v>
      </c>
      <c r="D44" s="404">
        <f>ТС!F134</f>
        <v>0</v>
      </c>
      <c r="E44" s="404">
        <f>ТС!BC134</f>
        <v>0</v>
      </c>
      <c r="F44" s="404">
        <f t="shared" si="2"/>
        <v>0</v>
      </c>
      <c r="G44" s="427" t="e">
        <f t="shared" ref="G36:G46" si="3">(E44-D44)/D44</f>
        <v>#DIV/0!</v>
      </c>
    </row>
    <row r="45" spans="2:10" ht="18.75" customHeight="1">
      <c r="B45" s="415">
        <v>18</v>
      </c>
      <c r="C45" s="511" t="s">
        <v>76</v>
      </c>
      <c r="D45" s="404">
        <f>ТС!F135</f>
        <v>750083</v>
      </c>
      <c r="E45" s="404">
        <f>ТС!BC135</f>
        <v>171938.61849999998</v>
      </c>
      <c r="F45" s="404">
        <f t="shared" si="2"/>
        <v>-578144.38150000002</v>
      </c>
      <c r="G45" s="427">
        <f t="shared" ref="G45" si="4">E45/D45</f>
        <v>0.2292261236423169</v>
      </c>
    </row>
    <row r="46" spans="2:10" hidden="1">
      <c r="B46" s="415">
        <v>20</v>
      </c>
      <c r="C46" s="424">
        <f>ТС!C136</f>
        <v>0</v>
      </c>
      <c r="D46" s="404">
        <f>ТС!F136</f>
        <v>0</v>
      </c>
      <c r="E46" s="404">
        <f>ТС!BC136</f>
        <v>0</v>
      </c>
      <c r="F46" s="404">
        <f t="shared" si="2"/>
        <v>0</v>
      </c>
      <c r="G46" s="427" t="e">
        <f t="shared" si="3"/>
        <v>#DIV/0!</v>
      </c>
    </row>
    <row r="47" spans="2:10" hidden="1">
      <c r="B47" s="415">
        <v>21</v>
      </c>
      <c r="C47" s="424">
        <f>ТС!C137</f>
        <v>0</v>
      </c>
      <c r="D47" s="404">
        <f>ТС!F137</f>
        <v>0</v>
      </c>
      <c r="E47" s="404">
        <f>ТС!BC137</f>
        <v>0</v>
      </c>
      <c r="F47" s="404">
        <f t="shared" ref="F47:F49" si="5">E47-D47</f>
        <v>0</v>
      </c>
      <c r="G47" s="427" t="e">
        <f t="shared" ref="G47:G49" si="6">(E47-D47)/D47</f>
        <v>#DIV/0!</v>
      </c>
    </row>
    <row r="48" spans="2:10" hidden="1">
      <c r="B48" s="415">
        <v>22</v>
      </c>
      <c r="C48" s="424">
        <f>ТС!C138</f>
        <v>0</v>
      </c>
      <c r="D48" s="404">
        <f>ТС!F138</f>
        <v>0</v>
      </c>
      <c r="E48" s="404">
        <f>ТС!BC138</f>
        <v>0</v>
      </c>
      <c r="F48" s="404">
        <f t="shared" si="5"/>
        <v>0</v>
      </c>
      <c r="G48" s="427" t="e">
        <f t="shared" si="6"/>
        <v>#DIV/0!</v>
      </c>
    </row>
    <row r="49" spans="2:7" hidden="1">
      <c r="B49" s="415">
        <v>23</v>
      </c>
      <c r="C49" s="424" t="str">
        <f>ТС!C139</f>
        <v>Тариф</v>
      </c>
      <c r="D49" s="404">
        <f>ТС!F139</f>
        <v>0</v>
      </c>
      <c r="E49" s="404">
        <f>ТС!BC139</f>
        <v>0</v>
      </c>
      <c r="F49" s="404">
        <f t="shared" si="5"/>
        <v>0</v>
      </c>
      <c r="G49" s="427" t="e">
        <f t="shared" si="6"/>
        <v>#DIV/0!</v>
      </c>
    </row>
    <row r="50" spans="2:7" ht="22.5" customHeight="1">
      <c r="B50" s="415">
        <v>19</v>
      </c>
      <c r="C50" s="424" t="s">
        <v>79</v>
      </c>
      <c r="D50" s="404">
        <f>ТС!F140</f>
        <v>5167.31567430224</v>
      </c>
      <c r="E50" s="404">
        <f>ТС!BC140</f>
        <v>5166.9651850785358</v>
      </c>
      <c r="F50" s="404"/>
      <c r="G50" s="427"/>
    </row>
    <row r="53" spans="2:7">
      <c r="C53" s="866" t="s">
        <v>466</v>
      </c>
      <c r="D53" s="866" t="s">
        <v>468</v>
      </c>
    </row>
    <row r="54" spans="2:7">
      <c r="C54" s="866"/>
      <c r="D54" s="866"/>
    </row>
    <row r="55" spans="2:7">
      <c r="C55" s="866" t="s">
        <v>467</v>
      </c>
      <c r="D55" s="866" t="s">
        <v>469</v>
      </c>
    </row>
  </sheetData>
  <mergeCells count="7">
    <mergeCell ref="C1:H1"/>
    <mergeCell ref="B3:B4"/>
    <mergeCell ref="C3:C4"/>
    <mergeCell ref="D3:E3"/>
    <mergeCell ref="F3:F4"/>
    <mergeCell ref="G3:G4"/>
    <mergeCell ref="H3:H4"/>
  </mergeCells>
  <printOptions horizontalCentered="1"/>
  <pageMargins left="0.39370078740157483" right="0.19685039370078741" top="0.59055118110236227" bottom="0.39370078740157483" header="0.31496062992125984" footer="0.31496062992125984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4"/>
  <sheetViews>
    <sheetView showZeros="0" zoomScale="70" zoomScaleNormal="70" workbookViewId="0">
      <pane xSplit="3" ySplit="4" topLeftCell="D26" activePane="bottomRight" state="frozen"/>
      <selection pane="topRight" activeCell="C1" sqref="C1"/>
      <selection pane="bottomLeft" activeCell="A6" sqref="A6"/>
      <selection pane="bottomRight" activeCell="B52" sqref="B52"/>
    </sheetView>
  </sheetViews>
  <sheetFormatPr defaultColWidth="9.140625" defaultRowHeight="15"/>
  <cols>
    <col min="1" max="1" width="0.42578125" style="400" customWidth="1"/>
    <col min="2" max="2" width="7.85546875" style="414" customWidth="1"/>
    <col min="3" max="3" width="68.140625" style="400" customWidth="1"/>
    <col min="4" max="4" width="20.140625" style="400" customWidth="1"/>
    <col min="5" max="5" width="15.42578125" style="400" customWidth="1"/>
    <col min="6" max="6" width="19" style="400" customWidth="1"/>
    <col min="7" max="7" width="17.85546875" style="400" customWidth="1"/>
    <col min="8" max="8" width="53.140625" style="400" hidden="1" customWidth="1"/>
    <col min="9" max="9" width="1.28515625" style="400" customWidth="1"/>
    <col min="10" max="11" width="9.140625" style="400"/>
    <col min="12" max="12" width="15.28515625" style="400" customWidth="1"/>
    <col min="13" max="13" width="19.5703125" style="400" customWidth="1"/>
    <col min="14" max="14" width="9.140625" style="400"/>
    <col min="15" max="15" width="17.140625" style="400" customWidth="1"/>
    <col min="16" max="19" width="9.140625" style="400"/>
    <col min="20" max="20" width="9.5703125" style="400" customWidth="1"/>
    <col min="21" max="21" width="7.28515625" style="400" customWidth="1"/>
    <col min="22" max="16384" width="9.140625" style="400"/>
  </cols>
  <sheetData>
    <row r="1" spans="2:13" ht="18">
      <c r="C1" s="842" t="s">
        <v>359</v>
      </c>
      <c r="D1" s="842"/>
      <c r="E1" s="842"/>
      <c r="F1" s="842"/>
      <c r="G1" s="842"/>
      <c r="H1" s="842"/>
    </row>
    <row r="2" spans="2:13" ht="9.75" customHeight="1"/>
    <row r="3" spans="2:13" ht="30.75" customHeight="1">
      <c r="B3" s="839" t="s">
        <v>299</v>
      </c>
      <c r="C3" s="839" t="s">
        <v>300</v>
      </c>
      <c r="D3" s="840" t="s">
        <v>366</v>
      </c>
      <c r="E3" s="840"/>
      <c r="F3" s="839" t="s">
        <v>301</v>
      </c>
      <c r="G3" s="839" t="s">
        <v>336</v>
      </c>
      <c r="H3" s="841" t="s">
        <v>302</v>
      </c>
    </row>
    <row r="4" spans="2:13" ht="47.25">
      <c r="B4" s="839"/>
      <c r="C4" s="839"/>
      <c r="D4" s="466" t="s">
        <v>373</v>
      </c>
      <c r="E4" s="466" t="s">
        <v>374</v>
      </c>
      <c r="F4" s="839"/>
      <c r="G4" s="839"/>
      <c r="H4" s="841"/>
    </row>
    <row r="5" spans="2:13" s="417" customFormat="1" ht="15.75" hidden="1">
      <c r="B5" s="428" t="s">
        <v>4</v>
      </c>
      <c r="C5" s="434" t="s">
        <v>303</v>
      </c>
      <c r="D5" s="435">
        <f>SUM(D6:D9)</f>
        <v>6070878.0920951562</v>
      </c>
      <c r="E5" s="435">
        <f>SUM(E6:E9)</f>
        <v>4805832.3559680004</v>
      </c>
      <c r="F5" s="435">
        <f>E5-D5</f>
        <v>-1265045.7361271558</v>
      </c>
      <c r="G5" s="436">
        <f>(E5-D5)/D5</f>
        <v>-0.20837936735615928</v>
      </c>
      <c r="H5" s="402"/>
    </row>
    <row r="6" spans="2:13" s="418" customFormat="1" ht="109.5" hidden="1" customHeight="1">
      <c r="B6" s="415">
        <v>1</v>
      </c>
      <c r="C6" s="403" t="s">
        <v>304</v>
      </c>
      <c r="D6" s="404">
        <f>ТС!Q133</f>
        <v>2025042.1545280993</v>
      </c>
      <c r="E6" s="404">
        <f>ТС!BB133</f>
        <v>1928260.9142079998</v>
      </c>
      <c r="F6" s="405">
        <f>E6-D6</f>
        <v>-96781.240320099518</v>
      </c>
      <c r="G6" s="406">
        <f>(E6-D6)/D6</f>
        <v>-4.7792210203472379E-2</v>
      </c>
      <c r="H6" s="407" t="s">
        <v>337</v>
      </c>
    </row>
    <row r="7" spans="2:13" s="418" customFormat="1" ht="94.5" hidden="1" customHeight="1">
      <c r="B7" s="415">
        <v>2</v>
      </c>
      <c r="C7" s="403" t="s">
        <v>305</v>
      </c>
      <c r="D7" s="404">
        <f>ТС!R133</f>
        <v>1614964.8512198529</v>
      </c>
      <c r="E7" s="404">
        <f>ТС!BC133</f>
        <v>888400.85576000006</v>
      </c>
      <c r="F7" s="405">
        <f>E7-D7</f>
        <v>-726563.99545985286</v>
      </c>
      <c r="G7" s="406">
        <f>(E7-D7)/D7</f>
        <v>-0.44989461839435552</v>
      </c>
      <c r="H7" s="407" t="s">
        <v>306</v>
      </c>
      <c r="I7" s="422"/>
    </row>
    <row r="8" spans="2:13" s="418" customFormat="1" ht="110.25" hidden="1" customHeight="1">
      <c r="B8" s="415">
        <v>3</v>
      </c>
      <c r="C8" s="403" t="s">
        <v>307</v>
      </c>
      <c r="D8" s="404">
        <f>ТС!S133</f>
        <v>2362884.7848282927</v>
      </c>
      <c r="E8" s="404">
        <f>ТС!BD133</f>
        <v>1987376.7649999999</v>
      </c>
      <c r="F8" s="405">
        <f>E8-D8</f>
        <v>-375508.01982829277</v>
      </c>
      <c r="G8" s="406">
        <f>(E8-D8)/D8</f>
        <v>-0.15891931009051732</v>
      </c>
      <c r="H8" s="407" t="s">
        <v>308</v>
      </c>
    </row>
    <row r="9" spans="2:13" s="418" customFormat="1" ht="77.25" hidden="1" customHeight="1">
      <c r="B9" s="415">
        <v>4</v>
      </c>
      <c r="C9" s="403" t="s">
        <v>309</v>
      </c>
      <c r="D9" s="404">
        <f>ТС!T133</f>
        <v>67986.301518910288</v>
      </c>
      <c r="E9" s="404">
        <f>ТС!BE133</f>
        <v>1793.8209999999999</v>
      </c>
      <c r="F9" s="405">
        <f>E9-D9</f>
        <v>-66192.480518910292</v>
      </c>
      <c r="G9" s="406">
        <f>(E9-D9)/D9</f>
        <v>-0.97361496419244031</v>
      </c>
      <c r="H9" s="407" t="s">
        <v>310</v>
      </c>
    </row>
    <row r="10" spans="2:13" s="418" customFormat="1" ht="125.25" hidden="1" customHeight="1">
      <c r="B10" s="415">
        <v>5</v>
      </c>
      <c r="C10" s="408" t="s">
        <v>315</v>
      </c>
      <c r="D10" s="405">
        <f>[56]ПП!AV49</f>
        <v>0</v>
      </c>
      <c r="E10" s="405"/>
      <c r="F10" s="405"/>
      <c r="G10" s="406"/>
      <c r="H10" s="409" t="s">
        <v>311</v>
      </c>
    </row>
    <row r="11" spans="2:13" s="419" customFormat="1" ht="15.75">
      <c r="B11" s="416" t="s">
        <v>4</v>
      </c>
      <c r="C11" s="410" t="s">
        <v>312</v>
      </c>
      <c r="D11" s="438">
        <f>ТС!G6</f>
        <v>2554319.5634809919</v>
      </c>
      <c r="E11" s="438">
        <f>ТС!BD6</f>
        <v>728168.49864916154</v>
      </c>
      <c r="F11" s="438">
        <f t="shared" ref="F11:F35" si="0">E11-D11</f>
        <v>-1826151.0648318303</v>
      </c>
      <c r="G11" s="411">
        <f t="shared" ref="G11:G18" si="1">(E11-D11)/D11</f>
        <v>-0.71492662505515814</v>
      </c>
      <c r="H11" s="412"/>
      <c r="J11" s="418"/>
      <c r="L11" s="441"/>
      <c r="M11" s="441"/>
    </row>
    <row r="12" spans="2:13" s="423" customFormat="1" ht="42.75" customHeight="1">
      <c r="B12" s="415">
        <v>1</v>
      </c>
      <c r="C12" s="403" t="s">
        <v>321</v>
      </c>
      <c r="D12" s="404">
        <f>ТС!G8</f>
        <v>66270.324095073142</v>
      </c>
      <c r="E12" s="404">
        <f>ТС!BD8</f>
        <v>28272.37257128895</v>
      </c>
      <c r="F12" s="404">
        <f t="shared" si="0"/>
        <v>-37997.951523784192</v>
      </c>
      <c r="G12" s="427">
        <f t="shared" si="1"/>
        <v>-0.57337808502749033</v>
      </c>
      <c r="H12" s="407" t="s">
        <v>351</v>
      </c>
      <c r="J12" s="420"/>
      <c r="L12" s="440"/>
      <c r="M12" s="440"/>
    </row>
    <row r="13" spans="2:13" s="423" customFormat="1" ht="30" customHeight="1">
      <c r="B13" s="421">
        <v>2</v>
      </c>
      <c r="C13" s="424" t="s">
        <v>322</v>
      </c>
      <c r="D13" s="431">
        <f>ТС!G20</f>
        <v>288240.30711875088</v>
      </c>
      <c r="E13" s="431">
        <f>ТС!BD20</f>
        <v>48961.448686189113</v>
      </c>
      <c r="F13" s="404">
        <f t="shared" si="0"/>
        <v>-239278.85843256177</v>
      </c>
      <c r="G13" s="427">
        <f t="shared" si="1"/>
        <v>-0.83013670372611115</v>
      </c>
      <c r="H13" s="413" t="s">
        <v>356</v>
      </c>
      <c r="J13" s="420"/>
    </row>
    <row r="14" spans="2:13" s="423" customFormat="1" ht="30" customHeight="1">
      <c r="B14" s="421">
        <v>3</v>
      </c>
      <c r="C14" s="424" t="s">
        <v>323</v>
      </c>
      <c r="D14" s="431">
        <f>ТС!G23</f>
        <v>58303.043415682296</v>
      </c>
      <c r="E14" s="431">
        <f>ТС!BD23</f>
        <v>1513.0541796361442</v>
      </c>
      <c r="F14" s="404">
        <f t="shared" si="0"/>
        <v>-56789.989236046153</v>
      </c>
      <c r="G14" s="427">
        <f t="shared" si="1"/>
        <v>-0.97404845285950947</v>
      </c>
      <c r="H14" s="413" t="s">
        <v>343</v>
      </c>
      <c r="J14" s="420"/>
    </row>
    <row r="15" spans="2:13" s="423" customFormat="1" ht="30" customHeight="1">
      <c r="B15" s="415">
        <v>4</v>
      </c>
      <c r="C15" s="403" t="s">
        <v>317</v>
      </c>
      <c r="D15" s="404">
        <f>ТС!G24</f>
        <v>1061988.9649979121</v>
      </c>
      <c r="E15" s="404">
        <f>ТС!BD24</f>
        <v>268262.17428177787</v>
      </c>
      <c r="F15" s="404">
        <f t="shared" si="0"/>
        <v>-793726.79071613424</v>
      </c>
      <c r="G15" s="427">
        <f t="shared" si="1"/>
        <v>-0.74739645785085418</v>
      </c>
      <c r="H15" s="407" t="s">
        <v>338</v>
      </c>
      <c r="J15" s="420"/>
    </row>
    <row r="16" spans="2:13" s="418" customFormat="1" ht="30" customHeight="1">
      <c r="B16" s="415">
        <v>5</v>
      </c>
      <c r="C16" s="403" t="s">
        <v>324</v>
      </c>
      <c r="D16" s="404">
        <f>ТС!G29</f>
        <v>550321.19612014398</v>
      </c>
      <c r="E16" s="404">
        <f>ТС!BD29</f>
        <v>175163.3614260336</v>
      </c>
      <c r="F16" s="404">
        <f t="shared" si="0"/>
        <v>-375157.83469411038</v>
      </c>
      <c r="G16" s="427">
        <f t="shared" si="1"/>
        <v>-0.68170704188578513</v>
      </c>
      <c r="H16" s="413" t="s">
        <v>350</v>
      </c>
    </row>
    <row r="17" spans="2:15" s="418" customFormat="1" ht="30" customHeight="1">
      <c r="B17" s="415">
        <v>6</v>
      </c>
      <c r="C17" s="403" t="s">
        <v>325</v>
      </c>
      <c r="D17" s="404">
        <f>ТС!G32</f>
        <v>4622.0264107423882</v>
      </c>
      <c r="E17" s="404">
        <f>ТС!BD32</f>
        <v>287.16866939533611</v>
      </c>
      <c r="F17" s="404">
        <f t="shared" si="0"/>
        <v>-4334.8577413470521</v>
      </c>
      <c r="G17" s="427">
        <f t="shared" si="1"/>
        <v>-0.93786953083437463</v>
      </c>
      <c r="H17" s="413" t="s">
        <v>339</v>
      </c>
    </row>
    <row r="18" spans="2:15" s="418" customFormat="1" ht="30" customHeight="1">
      <c r="B18" s="415">
        <v>7</v>
      </c>
      <c r="C18" s="403" t="s">
        <v>329</v>
      </c>
      <c r="D18" s="404">
        <f>ТС!G33</f>
        <v>1076.5627630937847</v>
      </c>
      <c r="E18" s="432">
        <f>ТС!BD33</f>
        <v>0</v>
      </c>
      <c r="F18" s="404">
        <f t="shared" si="0"/>
        <v>-1076.5627630937847</v>
      </c>
      <c r="G18" s="427">
        <f t="shared" si="1"/>
        <v>-1</v>
      </c>
      <c r="H18" s="413" t="s">
        <v>340</v>
      </c>
    </row>
    <row r="19" spans="2:15" s="418" customFormat="1" ht="30" customHeight="1">
      <c r="B19" s="415">
        <v>8</v>
      </c>
      <c r="C19" s="403" t="s">
        <v>318</v>
      </c>
      <c r="D19" s="404">
        <f>ТС!G34</f>
        <v>11563.857749254872</v>
      </c>
      <c r="E19" s="404">
        <f>ТС!BD34</f>
        <v>414.67156076645915</v>
      </c>
      <c r="F19" s="404">
        <f t="shared" si="0"/>
        <v>-11149.186188488413</v>
      </c>
      <c r="G19" s="427"/>
      <c r="H19" s="413" t="s">
        <v>341</v>
      </c>
    </row>
    <row r="20" spans="2:15" s="418" customFormat="1" ht="34.5" customHeight="1">
      <c r="B20" s="415">
        <v>9</v>
      </c>
      <c r="C20" s="403" t="s">
        <v>326</v>
      </c>
      <c r="D20" s="404">
        <f>ТС!G35</f>
        <v>72383.666270550326</v>
      </c>
      <c r="E20" s="404">
        <f>ТС!BD35</f>
        <v>24047.196030099189</v>
      </c>
      <c r="F20" s="404">
        <f t="shared" si="0"/>
        <v>-48336.470240451134</v>
      </c>
      <c r="G20" s="427">
        <f t="shared" ref="G20:G35" si="2">(E20-D20)/D20</f>
        <v>-0.66778145859291849</v>
      </c>
      <c r="H20" s="413" t="s">
        <v>342</v>
      </c>
    </row>
    <row r="21" spans="2:15" s="418" customFormat="1" ht="70.5" customHeight="1">
      <c r="B21" s="415">
        <v>10</v>
      </c>
      <c r="C21" s="425" t="s">
        <v>327</v>
      </c>
      <c r="D21" s="404">
        <f>ТС!G41</f>
        <v>383258.20269459306</v>
      </c>
      <c r="E21" s="404">
        <f>ТС!BD41</f>
        <v>175379.68201410389</v>
      </c>
      <c r="F21" s="404">
        <f t="shared" si="0"/>
        <v>-207878.52068048916</v>
      </c>
      <c r="G21" s="427">
        <f t="shared" si="2"/>
        <v>-0.54239809929427996</v>
      </c>
      <c r="H21" s="413" t="s">
        <v>352</v>
      </c>
    </row>
    <row r="22" spans="2:15" s="418" customFormat="1" ht="29.25" customHeight="1">
      <c r="B22" s="442"/>
      <c r="C22" s="403" t="s">
        <v>320</v>
      </c>
      <c r="D22" s="404">
        <f>ТС!G61+ТС!G62</f>
        <v>220858.22142857141</v>
      </c>
      <c r="E22" s="404">
        <f>ТС!BD61+ТС!BD62</f>
        <v>99723.312579999998</v>
      </c>
      <c r="F22" s="404">
        <f t="shared" si="0"/>
        <v>-121134.90884857142</v>
      </c>
      <c r="G22" s="427">
        <f t="shared" si="2"/>
        <v>-0.5484736228746101</v>
      </c>
      <c r="H22" s="413" t="s">
        <v>344</v>
      </c>
    </row>
    <row r="23" spans="2:15" s="418" customFormat="1" ht="29.25" customHeight="1">
      <c r="B23" s="415">
        <v>11</v>
      </c>
      <c r="C23" s="403" t="s">
        <v>319</v>
      </c>
      <c r="D23" s="404">
        <f>ТС!G63</f>
        <v>18189.817729590482</v>
      </c>
      <c r="E23" s="404">
        <f>ТС!BD63</f>
        <v>1164.3276688728013</v>
      </c>
      <c r="F23" s="404">
        <f t="shared" si="0"/>
        <v>-17025.490060717682</v>
      </c>
      <c r="G23" s="427">
        <f t="shared" si="2"/>
        <v>-0.9359901409578878</v>
      </c>
      <c r="H23" s="413" t="s">
        <v>343</v>
      </c>
    </row>
    <row r="24" spans="2:15" s="418" customFormat="1" ht="29.25" customHeight="1">
      <c r="B24" s="415">
        <v>12</v>
      </c>
      <c r="C24" s="403" t="s">
        <v>328</v>
      </c>
      <c r="D24" s="404">
        <f>ТС!G65</f>
        <v>4112.5910499120364</v>
      </c>
      <c r="E24" s="404">
        <f>ТС!BD65</f>
        <v>690.47986747829805</v>
      </c>
      <c r="F24" s="404">
        <f t="shared" si="0"/>
        <v>-3422.1111824337386</v>
      </c>
      <c r="G24" s="427">
        <f t="shared" si="2"/>
        <v>-0.83210587702536909</v>
      </c>
      <c r="H24" s="407" t="s">
        <v>345</v>
      </c>
    </row>
    <row r="25" spans="2:15" s="418" customFormat="1" ht="55.5" customHeight="1">
      <c r="B25" s="426">
        <v>13</v>
      </c>
      <c r="C25" s="425" t="s">
        <v>330</v>
      </c>
      <c r="D25" s="433">
        <f>ТС!G70</f>
        <v>33989.003065692443</v>
      </c>
      <c r="E25" s="433">
        <f>ТС!BD70</f>
        <v>4012.5616935198013</v>
      </c>
      <c r="F25" s="404">
        <f t="shared" si="0"/>
        <v>-29976.441372172641</v>
      </c>
      <c r="G25" s="427">
        <f t="shared" si="2"/>
        <v>-0.88194529607813155</v>
      </c>
      <c r="H25" s="425" t="s">
        <v>353</v>
      </c>
    </row>
    <row r="26" spans="2:15" s="419" customFormat="1" ht="20.25" customHeight="1">
      <c r="B26" s="428" t="s">
        <v>45</v>
      </c>
      <c r="C26" s="429" t="s">
        <v>314</v>
      </c>
      <c r="D26" s="437">
        <f>ТС!G86</f>
        <v>1486213.4185753881</v>
      </c>
      <c r="E26" s="437">
        <f>ТС!BD86</f>
        <v>311840.57203440729</v>
      </c>
      <c r="F26" s="437">
        <f t="shared" si="0"/>
        <v>-1174372.846540981</v>
      </c>
      <c r="G26" s="430">
        <f t="shared" si="2"/>
        <v>-0.79017779806259425</v>
      </c>
      <c r="H26" s="412"/>
      <c r="L26" s="441"/>
      <c r="M26" s="441"/>
      <c r="O26" s="441"/>
    </row>
    <row r="27" spans="2:15" s="418" customFormat="1" ht="30" customHeight="1">
      <c r="B27" s="415">
        <v>1</v>
      </c>
      <c r="C27" s="425" t="s">
        <v>331</v>
      </c>
      <c r="D27" s="404">
        <f>ТС!G88+ТС!G89+ТС!G90</f>
        <v>129561.3564283692</v>
      </c>
      <c r="E27" s="404">
        <f>ТС!BD88+ТС!BD89+ТС!BD90</f>
        <v>44641.953497172777</v>
      </c>
      <c r="F27" s="404">
        <f t="shared" si="0"/>
        <v>-84919.402931196411</v>
      </c>
      <c r="G27" s="427">
        <f t="shared" si="2"/>
        <v>-0.65543774218006079</v>
      </c>
      <c r="H27" s="407" t="s">
        <v>346</v>
      </c>
      <c r="J27" s="400"/>
    </row>
    <row r="28" spans="2:15" s="418" customFormat="1" ht="30" customHeight="1">
      <c r="B28" s="415">
        <v>2</v>
      </c>
      <c r="C28" s="403" t="s">
        <v>316</v>
      </c>
      <c r="D28" s="404">
        <f>ТС!G91</f>
        <v>1112.3974632173199</v>
      </c>
      <c r="E28" s="404">
        <f>ТС!BD91</f>
        <v>1333.4316227467123</v>
      </c>
      <c r="F28" s="404">
        <f t="shared" si="0"/>
        <v>221.03415952939235</v>
      </c>
      <c r="G28" s="427">
        <f t="shared" si="2"/>
        <v>0.19870070441378807</v>
      </c>
      <c r="H28" s="413" t="s">
        <v>313</v>
      </c>
      <c r="J28" s="400"/>
    </row>
    <row r="29" spans="2:15" s="418" customFormat="1" ht="37.5" customHeight="1">
      <c r="B29" s="415">
        <v>3</v>
      </c>
      <c r="C29" s="425" t="s">
        <v>332</v>
      </c>
      <c r="D29" s="404">
        <f>ТС!G92</f>
        <v>18897.720670725583</v>
      </c>
      <c r="E29" s="404">
        <f>ТС!BD92</f>
        <v>1682.5432326748712</v>
      </c>
      <c r="F29" s="404">
        <f t="shared" si="0"/>
        <v>-17215.177438050712</v>
      </c>
      <c r="G29" s="427">
        <f t="shared" si="2"/>
        <v>-0.9109658110630614</v>
      </c>
      <c r="H29" s="413" t="s">
        <v>347</v>
      </c>
      <c r="J29" s="400"/>
    </row>
    <row r="30" spans="2:15" s="418" customFormat="1" ht="30" customHeight="1">
      <c r="B30" s="415">
        <v>4</v>
      </c>
      <c r="C30" s="403" t="s">
        <v>318</v>
      </c>
      <c r="D30" s="404">
        <f>ТС!G97</f>
        <v>8781.8672133020827</v>
      </c>
      <c r="E30" s="404">
        <f>ТС!BD97</f>
        <v>1016.1030704802879</v>
      </c>
      <c r="F30" s="404">
        <f t="shared" si="0"/>
        <v>-7765.7641428217948</v>
      </c>
      <c r="G30" s="427">
        <f t="shared" si="2"/>
        <v>-0.88429532742863903</v>
      </c>
      <c r="H30" s="413" t="s">
        <v>348</v>
      </c>
      <c r="J30" s="400"/>
    </row>
    <row r="31" spans="2:15" s="418" customFormat="1" ht="30" customHeight="1">
      <c r="B31" s="415">
        <v>5</v>
      </c>
      <c r="C31" s="403" t="s">
        <v>333</v>
      </c>
      <c r="D31" s="404">
        <f>ТС!G99</f>
        <v>3.2596777601811997</v>
      </c>
      <c r="E31" s="404">
        <f>ТС!BD99</f>
        <v>0.90018338730064995</v>
      </c>
      <c r="F31" s="404">
        <f t="shared" si="0"/>
        <v>-2.3594943728805498</v>
      </c>
      <c r="G31" s="439">
        <f t="shared" si="2"/>
        <v>-0.72384282940574762</v>
      </c>
      <c r="H31" s="413" t="s">
        <v>354</v>
      </c>
      <c r="J31" s="400"/>
    </row>
    <row r="32" spans="2:15" s="418" customFormat="1" ht="30" customHeight="1">
      <c r="B32" s="415">
        <v>6</v>
      </c>
      <c r="C32" s="403" t="s">
        <v>329</v>
      </c>
      <c r="D32" s="404">
        <f>ТС!G103</f>
        <v>695.14519331049326</v>
      </c>
      <c r="E32" s="404">
        <f>ТС!BD103</f>
        <v>31.714060555847905</v>
      </c>
      <c r="F32" s="404">
        <f t="shared" si="0"/>
        <v>-663.43113275464532</v>
      </c>
      <c r="G32" s="439">
        <f t="shared" si="2"/>
        <v>-0.95437778918557159</v>
      </c>
      <c r="H32" s="413" t="s">
        <v>340</v>
      </c>
      <c r="J32" s="400"/>
    </row>
    <row r="33" spans="2:10" s="418" customFormat="1" ht="30" customHeight="1">
      <c r="B33" s="415">
        <v>7</v>
      </c>
      <c r="C33" s="403" t="s">
        <v>334</v>
      </c>
      <c r="D33" s="404">
        <f>ТС!G104</f>
        <v>219.02660918929516</v>
      </c>
      <c r="E33" s="404">
        <f>ТС!BD104</f>
        <v>45.529479093685794</v>
      </c>
      <c r="F33" s="404">
        <f t="shared" si="0"/>
        <v>-173.49713009560935</v>
      </c>
      <c r="G33" s="427">
        <f t="shared" si="2"/>
        <v>-0.79212809227970715</v>
      </c>
      <c r="H33" s="407" t="s">
        <v>345</v>
      </c>
      <c r="J33" s="400"/>
    </row>
    <row r="34" spans="2:10" s="418" customFormat="1" ht="48.75" customHeight="1">
      <c r="B34" s="415">
        <v>8</v>
      </c>
      <c r="C34" s="425" t="s">
        <v>335</v>
      </c>
      <c r="D34" s="404">
        <f>ТС!G107</f>
        <v>12446.364916674036</v>
      </c>
      <c r="E34" s="404">
        <f>ТС!BD107</f>
        <v>1588.4512122339827</v>
      </c>
      <c r="F34" s="404">
        <f t="shared" si="0"/>
        <v>-10857.913704440054</v>
      </c>
      <c r="G34" s="427">
        <f t="shared" si="2"/>
        <v>-0.87237629437443376</v>
      </c>
      <c r="H34" s="413" t="s">
        <v>355</v>
      </c>
      <c r="J34" s="400"/>
    </row>
    <row r="35" spans="2:10" s="418" customFormat="1" ht="30" customHeight="1">
      <c r="B35" s="415">
        <v>9</v>
      </c>
      <c r="C35" s="424" t="s">
        <v>66</v>
      </c>
      <c r="D35" s="404">
        <f>ТС!G125</f>
        <v>1314496.2804028399</v>
      </c>
      <c r="E35" s="404">
        <f>ТС!BD125</f>
        <v>261499.94567606185</v>
      </c>
      <c r="F35" s="404">
        <f t="shared" si="0"/>
        <v>-1052996.3347267781</v>
      </c>
      <c r="G35" s="427">
        <f t="shared" si="2"/>
        <v>-0.80106452214842128</v>
      </c>
      <c r="H35" s="413" t="s">
        <v>349</v>
      </c>
      <c r="J35" s="400"/>
    </row>
    <row r="36" spans="2:10">
      <c r="B36" s="415">
        <v>10</v>
      </c>
      <c r="C36" s="424" t="str">
        <f>ТС!C126</f>
        <v>Всего затрат</v>
      </c>
      <c r="D36" s="404">
        <f>ТС!G126</f>
        <v>4040532.9820563802</v>
      </c>
      <c r="E36" s="404">
        <f>ТС!BD126</f>
        <v>1040009.0706835688</v>
      </c>
      <c r="F36" s="404">
        <f t="shared" ref="F36:F51" si="3">E36-D36</f>
        <v>-3000523.9113728115</v>
      </c>
      <c r="G36" s="427">
        <f t="shared" ref="G36:G51" si="4">(E36-D36)/D36</f>
        <v>-0.74260596923669497</v>
      </c>
    </row>
    <row r="37" spans="2:10">
      <c r="B37" s="415">
        <v>11</v>
      </c>
      <c r="C37" s="424" t="str">
        <f>ТС!C127</f>
        <v>Прибыль (чистый доход)</v>
      </c>
      <c r="D37" s="404">
        <f>ТС!G127</f>
        <v>1304312.4012252174</v>
      </c>
      <c r="E37" s="404">
        <f>ТС!BD127</f>
        <v>591461.61701587168</v>
      </c>
      <c r="F37" s="404">
        <f t="shared" si="3"/>
        <v>-712850.7842093457</v>
      </c>
      <c r="G37" s="427">
        <f t="shared" si="4"/>
        <v>-0.54653377790452884</v>
      </c>
    </row>
    <row r="38" spans="2:10">
      <c r="B38" s="415">
        <v>12</v>
      </c>
      <c r="C38" s="424" t="str">
        <f>ТС!C128</f>
        <v>Прочие доходы и расходы</v>
      </c>
      <c r="D38" s="404">
        <f>ТС!G128</f>
        <v>0</v>
      </c>
      <c r="E38" s="404">
        <f>ТС!BD128</f>
        <v>-202574.69626</v>
      </c>
      <c r="F38" s="404">
        <f t="shared" si="3"/>
        <v>-202574.69626</v>
      </c>
      <c r="G38" s="427" t="e">
        <f t="shared" si="4"/>
        <v>#DIV/0!</v>
      </c>
    </row>
    <row r="39" spans="2:10">
      <c r="B39" s="415">
        <v>13</v>
      </c>
      <c r="C39" s="424" t="str">
        <f>ТС!C129</f>
        <v>Финансовые доходы и расходы</v>
      </c>
      <c r="D39" s="404">
        <f>ТС!G129</f>
        <v>0</v>
      </c>
      <c r="E39" s="404">
        <f>ТС!BD129</f>
        <v>-13384.287</v>
      </c>
      <c r="F39" s="404">
        <f t="shared" si="3"/>
        <v>-13384.287</v>
      </c>
      <c r="G39" s="427" t="e">
        <f t="shared" si="4"/>
        <v>#DIV/0!</v>
      </c>
    </row>
    <row r="40" spans="2:10">
      <c r="B40" s="415">
        <v>14</v>
      </c>
      <c r="C40" s="424" t="str">
        <f>ТС!C130</f>
        <v>Невошло в исполнение ТС</v>
      </c>
      <c r="D40" s="404">
        <f>ТС!G130</f>
        <v>0</v>
      </c>
      <c r="E40" s="404">
        <f>ТС!BD130</f>
        <v>138335.39207</v>
      </c>
      <c r="F40" s="404">
        <f t="shared" si="3"/>
        <v>138335.39207</v>
      </c>
      <c r="G40" s="427" t="e">
        <f t="shared" si="4"/>
        <v>#DIV/0!</v>
      </c>
    </row>
    <row r="41" spans="2:10">
      <c r="B41" s="415">
        <v>15</v>
      </c>
      <c r="C41" s="424" t="str">
        <f>ТС!C131</f>
        <v>КПН</v>
      </c>
      <c r="D41" s="404">
        <f>ТС!G131</f>
        <v>326078.1003063044</v>
      </c>
      <c r="E41" s="404">
        <f>ТС!BD131</f>
        <v>433529.52432730392</v>
      </c>
      <c r="F41" s="404">
        <f t="shared" si="3"/>
        <v>107451.42402099952</v>
      </c>
      <c r="G41" s="427">
        <f t="shared" si="4"/>
        <v>0.32952664996534281</v>
      </c>
    </row>
    <row r="42" spans="2:10">
      <c r="B42" s="415">
        <v>16</v>
      </c>
      <c r="C42" s="424" t="str">
        <f>ТС!C132</f>
        <v>Итого прибыль</v>
      </c>
      <c r="D42" s="404">
        <f>ТС!G132</f>
        <v>1630390.5015315218</v>
      </c>
      <c r="E42" s="404">
        <f>ТС!BD132</f>
        <v>1024991.1413431754</v>
      </c>
      <c r="F42" s="404">
        <f t="shared" si="3"/>
        <v>-605399.36018834636</v>
      </c>
      <c r="G42" s="427">
        <f t="shared" si="4"/>
        <v>-0.37132169233055462</v>
      </c>
    </row>
    <row r="43" spans="2:10">
      <c r="B43" s="415">
        <v>17</v>
      </c>
      <c r="C43" s="424" t="str">
        <f>ТС!C133</f>
        <v>Всего доходов</v>
      </c>
      <c r="D43" s="404">
        <f>ТС!G133</f>
        <v>5670923.483587902</v>
      </c>
      <c r="E43" s="404">
        <f>ТС!BD133</f>
        <v>1987376.7649999999</v>
      </c>
      <c r="F43" s="404">
        <f t="shared" si="3"/>
        <v>-3683546.7185879024</v>
      </c>
      <c r="G43" s="427">
        <f t="shared" si="4"/>
        <v>-0.64954971253771554</v>
      </c>
    </row>
    <row r="44" spans="2:10" hidden="1">
      <c r="B44" s="415">
        <v>18</v>
      </c>
      <c r="C44" s="424" t="str">
        <f>ТС!C134</f>
        <v xml:space="preserve">Объем оказанных услуг </v>
      </c>
      <c r="D44" s="404">
        <f>ТС!G134</f>
        <v>0</v>
      </c>
      <c r="E44" s="404">
        <f>ТС!BD134</f>
        <v>0</v>
      </c>
      <c r="F44" s="404">
        <f t="shared" si="3"/>
        <v>0</v>
      </c>
      <c r="G44" s="427" t="e">
        <f t="shared" si="4"/>
        <v>#DIV/0!</v>
      </c>
    </row>
    <row r="45" spans="2:10" hidden="1">
      <c r="B45" s="415">
        <v>19</v>
      </c>
      <c r="C45" s="424">
        <f>ТС!C135</f>
        <v>0</v>
      </c>
      <c r="D45" s="404">
        <f>ТС!G135</f>
        <v>0</v>
      </c>
      <c r="E45" s="404">
        <f>ТС!BD135</f>
        <v>0</v>
      </c>
      <c r="F45" s="404">
        <f t="shared" si="3"/>
        <v>0</v>
      </c>
      <c r="G45" s="427" t="e">
        <f t="shared" si="4"/>
        <v>#DIV/0!</v>
      </c>
    </row>
    <row r="46" spans="2:10">
      <c r="B46" s="415">
        <v>18</v>
      </c>
      <c r="C46" s="424" t="s">
        <v>76</v>
      </c>
      <c r="D46" s="404">
        <f>ТС!G136</f>
        <v>2154015</v>
      </c>
      <c r="E46" s="404">
        <f>ТС!BD136</f>
        <v>921040.4950018588</v>
      </c>
      <c r="F46" s="404">
        <f t="shared" si="3"/>
        <v>-1232974.5049981412</v>
      </c>
      <c r="G46" s="427">
        <f t="shared" si="4"/>
        <v>-0.57240757608379755</v>
      </c>
    </row>
    <row r="47" spans="2:10" hidden="1">
      <c r="B47" s="415">
        <v>21</v>
      </c>
      <c r="C47" s="424">
        <f>ТС!C137</f>
        <v>0</v>
      </c>
      <c r="D47" s="404">
        <f>ТС!G137</f>
        <v>0</v>
      </c>
      <c r="E47" s="404">
        <f>ТС!BD137</f>
        <v>0</v>
      </c>
      <c r="F47" s="404">
        <f t="shared" si="3"/>
        <v>0</v>
      </c>
      <c r="G47" s="427" t="e">
        <f t="shared" si="4"/>
        <v>#DIV/0!</v>
      </c>
    </row>
    <row r="48" spans="2:10" hidden="1">
      <c r="B48" s="415">
        <v>22</v>
      </c>
      <c r="C48" s="424">
        <f>ТС!C138</f>
        <v>0</v>
      </c>
      <c r="D48" s="404">
        <f>ТС!G138</f>
        <v>0</v>
      </c>
      <c r="E48" s="404">
        <f>ТС!BD138</f>
        <v>0</v>
      </c>
      <c r="F48" s="404">
        <f t="shared" si="3"/>
        <v>0</v>
      </c>
      <c r="G48" s="427" t="e">
        <f t="shared" si="4"/>
        <v>#DIV/0!</v>
      </c>
    </row>
    <row r="49" spans="2:7" hidden="1">
      <c r="B49" s="415">
        <v>23</v>
      </c>
      <c r="C49" s="424" t="str">
        <f>ТС!C139</f>
        <v>Тариф</v>
      </c>
      <c r="D49" s="404">
        <f>ТС!G139</f>
        <v>0</v>
      </c>
      <c r="E49" s="404">
        <f>ТС!BD139</f>
        <v>0</v>
      </c>
      <c r="F49" s="404">
        <f t="shared" si="3"/>
        <v>0</v>
      </c>
      <c r="G49" s="427" t="e">
        <f t="shared" si="4"/>
        <v>#DIV/0!</v>
      </c>
    </row>
    <row r="50" spans="2:7" hidden="1">
      <c r="B50" s="415">
        <v>24</v>
      </c>
      <c r="C50" s="424">
        <f>ТС!C140</f>
        <v>0</v>
      </c>
      <c r="D50" s="404">
        <f>ТС!G140</f>
        <v>0</v>
      </c>
      <c r="E50" s="404">
        <f>ТС!BD140</f>
        <v>0</v>
      </c>
      <c r="F50" s="404">
        <f t="shared" si="3"/>
        <v>0</v>
      </c>
      <c r="G50" s="427" t="e">
        <f t="shared" si="4"/>
        <v>#DIV/0!</v>
      </c>
    </row>
    <row r="51" spans="2:7">
      <c r="B51" s="415">
        <v>19</v>
      </c>
      <c r="C51" s="424" t="s">
        <v>79</v>
      </c>
      <c r="D51" s="404">
        <f>ТС!G141</f>
        <v>2152</v>
      </c>
      <c r="E51" s="404">
        <f>ТС!BD141</f>
        <v>2152</v>
      </c>
      <c r="F51" s="404">
        <f t="shared" si="3"/>
        <v>0</v>
      </c>
      <c r="G51" s="427">
        <f t="shared" si="4"/>
        <v>0</v>
      </c>
    </row>
    <row r="52" spans="2:7">
      <c r="B52" s="512"/>
      <c r="C52" s="513"/>
      <c r="D52" s="514"/>
      <c r="E52" s="514"/>
      <c r="F52" s="514"/>
      <c r="G52" s="515"/>
    </row>
    <row r="53" spans="2:7">
      <c r="B53" s="512"/>
      <c r="C53" s="513"/>
      <c r="D53" s="514"/>
      <c r="E53" s="514"/>
      <c r="F53" s="514"/>
      <c r="G53" s="515"/>
    </row>
    <row r="54" spans="2:7">
      <c r="B54" s="516"/>
      <c r="C54" s="517"/>
      <c r="D54" s="517"/>
      <c r="E54" s="517"/>
      <c r="F54" s="517"/>
      <c r="G54" s="517"/>
    </row>
  </sheetData>
  <mergeCells count="7">
    <mergeCell ref="C1:H1"/>
    <mergeCell ref="B3:B4"/>
    <mergeCell ref="C3:C4"/>
    <mergeCell ref="D3:E3"/>
    <mergeCell ref="F3:F4"/>
    <mergeCell ref="G3:G4"/>
    <mergeCell ref="H3:H4"/>
  </mergeCells>
  <printOptions horizontalCentered="1"/>
  <pageMargins left="0.59055118110236227" right="0.39370078740157483" top="0.39370078740157483" bottom="0.39370078740157483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Проект ТС-6 усл.свод</vt:lpstr>
      <vt:lpstr>Проект ТС-2усл.КРЕМ 05.07.17г.</vt:lpstr>
      <vt:lpstr>Проект ТС-2усл.СЕМ-ДКРЕМ</vt:lpstr>
      <vt:lpstr>Проект ТС-4 усл.</vt:lpstr>
      <vt:lpstr>Проект ТС-4 усл. (2)</vt:lpstr>
      <vt:lpstr>ТС-4 усл.ДКРЕМ</vt:lpstr>
      <vt:lpstr>1 усл.</vt:lpstr>
      <vt:lpstr>2 усл.</vt:lpstr>
      <vt:lpstr>3 усл.</vt:lpstr>
      <vt:lpstr>4 усл.</vt:lpstr>
      <vt:lpstr>Пояснительная</vt:lpstr>
      <vt:lpstr>ТС</vt:lpstr>
      <vt:lpstr>Для работы</vt:lpstr>
      <vt:lpstr>Проект ТС-4 усл.+КРЕМ (2)</vt:lpstr>
      <vt:lpstr>'Для работы'!Заголовки_для_печати</vt:lpstr>
      <vt:lpstr>'Проект ТС-2усл.КРЕМ 05.07.17г.'!Заголовки_для_печати</vt:lpstr>
      <vt:lpstr>'Проект ТС-2усл.СЕМ-ДКРЕМ'!Заголовки_для_печати</vt:lpstr>
      <vt:lpstr>'Проект ТС-4 усл.'!Заголовки_для_печати</vt:lpstr>
      <vt:lpstr>'Проект ТС-4 усл. (2)'!Заголовки_для_печати</vt:lpstr>
      <vt:lpstr>'Проект ТС-4 усл.+КРЕМ (2)'!Заголовки_для_печати</vt:lpstr>
      <vt:lpstr>'Проект ТС-6 усл.свод'!Заголовки_для_печати</vt:lpstr>
      <vt:lpstr>ТС!Заголовки_для_печати</vt:lpstr>
      <vt:lpstr>'ТС-4 усл.ДКРЕМ'!Заголовки_для_печати</vt:lpstr>
      <vt:lpstr>ТС!Область_печати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Sechina Lidia</dc:creator>
  <cp:lastModifiedBy>Пользователь Windows</cp:lastModifiedBy>
  <cp:lastPrinted>2018-05-11T03:07:18Z</cp:lastPrinted>
  <dcterms:created xsi:type="dcterms:W3CDTF">2013-11-26T02:35:06Z</dcterms:created>
  <dcterms:modified xsi:type="dcterms:W3CDTF">2018-05-11T03:08:33Z</dcterms:modified>
</cp:coreProperties>
</file>